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 Implementation Files/Volume PDF Prep/"/>
    </mc:Choice>
  </mc:AlternateContent>
  <xr:revisionPtr revIDLastSave="39" documentId="8_{F9C2454C-881E-42F4-9BB0-BA3B2DD2309E}" xr6:coauthVersionLast="47" xr6:coauthVersionMax="47" xr10:uidLastSave="{7D2743CC-B74E-4933-8D91-B42380B7DAC7}"/>
  <bookViews>
    <workbookView xWindow="-120" yWindow="-120" windowWidth="29040" windowHeight="15720" tabRatio="900" xr2:uid="{00000000-000D-0000-FFFF-FFFF00000000}"/>
  </bookViews>
  <sheets>
    <sheet name="Comparison of Revenues" sheetId="25" r:id="rId1"/>
    <sheet name="Summary of Revs @ Changed Rates" sheetId="6" r:id="rId2"/>
    <sheet name="A-Revenues@Changed Rates" sheetId="5" r:id="rId3"/>
    <sheet name="B-Revenues@Changed Rates" sheetId="9" r:id="rId4"/>
    <sheet name="C-Revenues@Changed Rates" sheetId="31" r:id="rId5"/>
    <sheet name="A-Med &amp; Lrg C-I" sheetId="18" r:id="rId6"/>
    <sheet name="B-Med &amp; Lrg C-I" sheetId="30" r:id="rId7"/>
    <sheet name="C-Med &amp; Lrg C-I" sheetId="27" r:id="rId8"/>
    <sheet name="D-Med &amp; Lrg C-I" sheetId="29" r:id="rId9"/>
    <sheet name="E-Med &amp; Lrg C-I" sheetId="39" r:id="rId10"/>
    <sheet name="F-Med &amp; Lrg C-I" sheetId="40" r:id="rId11"/>
    <sheet name="San Diego Unified Port District" sheetId="43" r:id="rId12"/>
    <sheet name="PA-T-1" sheetId="36" r:id="rId13"/>
    <sheet name="Standby" sheetId="19" r:id="rId14"/>
    <sheet name="Wholesale TAC Rates" sheetId="41" r:id="rId15"/>
    <sheet name="Escondido" sheetId="42" r:id="rId16"/>
    <sheet name="Rate Impact" sheetId="32" r:id="rId17"/>
    <sheet name="A-Billing Determinants" sheetId="7" r:id="rId18"/>
    <sheet name="B-Billing Determinants" sheetId="1" r:id="rId19"/>
    <sheet name="Billing Determinants-12 Month" sheetId="2" r:id="rId20"/>
    <sheet name="Workpaper 1" sheetId="23" r:id="rId21"/>
    <sheet name="Workpaper 2" sheetId="35" r:id="rId22"/>
  </sheets>
  <externalReferences>
    <externalReference r:id="rId23"/>
    <externalReference r:id="rId24"/>
    <externalReference r:id="rId25"/>
    <externalReference r:id="rId26"/>
  </externalReferences>
  <definedNames>
    <definedName name="_xlnm.Print_Area" localSheetId="17">'A-Billing Determinants'!$A$1:$O$48</definedName>
    <definedName name="_xlnm.Print_Area" localSheetId="5">'A-Med &amp; Lrg C-I'!$A$1:$K$66</definedName>
    <definedName name="_xlnm.Print_Area" localSheetId="2">'A-Revenues@Changed Rates'!$A$1:$K$97</definedName>
    <definedName name="_xlnm.Print_Area" localSheetId="18">'B-Billing Determinants'!$A$1:$O$48</definedName>
    <definedName name="_xlnm.Print_Area" localSheetId="19">'Billing Determinants-12 Month'!$A$1:$E$45</definedName>
    <definedName name="_xlnm.Print_Area" localSheetId="6">'B-Med &amp; Lrg C-I'!$A$1:$K$58</definedName>
    <definedName name="_xlnm.Print_Area" localSheetId="3">'B-Revenues@Changed Rates'!$A$1:$K$97</definedName>
    <definedName name="_xlnm.Print_Area" localSheetId="7">'C-Med &amp; Lrg C-I'!$A$1:$K$59</definedName>
    <definedName name="_xlnm.Print_Area" localSheetId="0">'Comparison of Revenues'!$A$1:$H$45</definedName>
    <definedName name="_xlnm.Print_Area" localSheetId="4">'C-Revenues@Changed Rates'!$A$1:$M$97</definedName>
    <definedName name="_xlnm.Print_Area" localSheetId="8">'D-Med &amp; Lrg C-I'!$A$1:$K$75</definedName>
    <definedName name="_xlnm.Print_Area" localSheetId="9">'E-Med &amp; Lrg C-I'!$A$1:$K$59</definedName>
    <definedName name="_xlnm.Print_Area" localSheetId="10">'F-Med &amp; Lrg C-I'!$A$1:$K$75</definedName>
    <definedName name="_xlnm.Print_Area" localSheetId="12">'PA-T-1'!$A$1:$K$66</definedName>
    <definedName name="_xlnm.Print_Area" localSheetId="16">'Rate Impact'!$A$1:$G$21</definedName>
    <definedName name="_xlnm.Print_Area" localSheetId="11">'San Diego Unified Port District'!$A$1:$K$76</definedName>
    <definedName name="_xlnm.Print_Area" localSheetId="13">Standby!$A$1:$K$61</definedName>
    <definedName name="_xlnm.Print_Area" localSheetId="1">'Summary of Revs @ Changed Rates'!$A$1:$J$54</definedName>
    <definedName name="_xlnm.Print_Area" localSheetId="20">'Workpaper 1'!$A$1:$P$219</definedName>
    <definedName name="_xlnm.Print_Area" localSheetId="21">'Workpaper 2'!$A$1:$E$30</definedName>
    <definedName name="_xlnm.Print_Titles" localSheetId="20">'Workpaper 1'!$1:$2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35" l="1"/>
  <c r="C22" i="35"/>
  <c r="C16" i="32"/>
  <c r="N15" i="42"/>
  <c r="M15" i="42"/>
  <c r="L15" i="42"/>
  <c r="K15" i="42"/>
  <c r="J15" i="42"/>
  <c r="I15" i="42"/>
  <c r="H15" i="42"/>
  <c r="G15" i="42"/>
  <c r="F15" i="42"/>
  <c r="E15" i="42"/>
  <c r="D15" i="42"/>
  <c r="E22" i="41"/>
  <c r="D22" i="41"/>
  <c r="D20" i="41"/>
  <c r="C20" i="41"/>
  <c r="C24" i="41"/>
  <c r="E18" i="41"/>
  <c r="E16" i="41"/>
  <c r="E14" i="41"/>
  <c r="E20" i="41"/>
  <c r="D24" i="41"/>
  <c r="E24" i="41"/>
  <c r="N212" i="23"/>
  <c r="M212" i="23"/>
  <c r="L212" i="23"/>
  <c r="K212" i="23"/>
  <c r="J212" i="23"/>
  <c r="I212" i="23"/>
  <c r="H212" i="23"/>
  <c r="G212" i="23"/>
  <c r="F212" i="23"/>
  <c r="E212" i="23"/>
  <c r="D212" i="23"/>
  <c r="C212" i="23"/>
  <c r="N211" i="23"/>
  <c r="M211" i="23"/>
  <c r="L211" i="23"/>
  <c r="K211" i="23"/>
  <c r="J211" i="23"/>
  <c r="I211" i="23"/>
  <c r="H211" i="23"/>
  <c r="G211" i="23"/>
  <c r="F211" i="23"/>
  <c r="E211" i="23"/>
  <c r="D211" i="23"/>
  <c r="C211" i="23"/>
  <c r="N210" i="23"/>
  <c r="M210" i="23"/>
  <c r="L210" i="23"/>
  <c r="K210" i="23"/>
  <c r="J210" i="23"/>
  <c r="I210" i="23"/>
  <c r="H210" i="23"/>
  <c r="G210" i="23"/>
  <c r="F210" i="23"/>
  <c r="E210" i="23"/>
  <c r="D210" i="23"/>
  <c r="C210" i="23"/>
  <c r="N207" i="23"/>
  <c r="M207" i="23"/>
  <c r="L207" i="23"/>
  <c r="K207" i="23"/>
  <c r="J207" i="23"/>
  <c r="I207" i="23"/>
  <c r="H207" i="23"/>
  <c r="G207" i="23"/>
  <c r="F207" i="23"/>
  <c r="E207" i="23"/>
  <c r="D207" i="23"/>
  <c r="C207" i="23"/>
  <c r="N201" i="23"/>
  <c r="M201" i="23"/>
  <c r="L201" i="23"/>
  <c r="K201" i="23"/>
  <c r="J201" i="23"/>
  <c r="I201" i="23"/>
  <c r="H201" i="23"/>
  <c r="G201" i="23"/>
  <c r="F201" i="23"/>
  <c r="E201" i="23"/>
  <c r="D201" i="23"/>
  <c r="C201" i="23"/>
  <c r="N200" i="23"/>
  <c r="M200" i="23"/>
  <c r="L200" i="23"/>
  <c r="K200" i="23"/>
  <c r="J200" i="23"/>
  <c r="I200" i="23"/>
  <c r="H200" i="23"/>
  <c r="G200" i="23"/>
  <c r="F200" i="23"/>
  <c r="E200" i="23"/>
  <c r="D200" i="23"/>
  <c r="C200" i="23"/>
  <c r="N199" i="23"/>
  <c r="M199" i="23"/>
  <c r="L199" i="23"/>
  <c r="K199" i="23"/>
  <c r="J199" i="23"/>
  <c r="I199" i="23"/>
  <c r="H199" i="23"/>
  <c r="G199" i="23"/>
  <c r="F199" i="23"/>
  <c r="E199" i="23"/>
  <c r="D199" i="23"/>
  <c r="C199" i="23"/>
  <c r="N186" i="23"/>
  <c r="M186" i="23"/>
  <c r="L186" i="23"/>
  <c r="K186" i="23"/>
  <c r="J186" i="23"/>
  <c r="I186" i="23"/>
  <c r="H186" i="23"/>
  <c r="G186" i="23"/>
  <c r="F186" i="23"/>
  <c r="E186" i="23"/>
  <c r="D186" i="23"/>
  <c r="C186" i="23"/>
  <c r="N185" i="23"/>
  <c r="M185" i="23"/>
  <c r="L185" i="23"/>
  <c r="K185" i="23"/>
  <c r="J185" i="23"/>
  <c r="I185" i="23"/>
  <c r="H185" i="23"/>
  <c r="G185" i="23"/>
  <c r="F185" i="23"/>
  <c r="E185" i="23"/>
  <c r="D185" i="23"/>
  <c r="C185" i="23"/>
  <c r="N184" i="23"/>
  <c r="M184" i="23"/>
  <c r="L184" i="23"/>
  <c r="K184" i="23"/>
  <c r="J184" i="23"/>
  <c r="I184" i="23"/>
  <c r="H184" i="23"/>
  <c r="G184" i="23"/>
  <c r="F184" i="23"/>
  <c r="E184" i="23"/>
  <c r="D184" i="23"/>
  <c r="C184" i="23"/>
  <c r="N176" i="23"/>
  <c r="M176" i="23"/>
  <c r="L176" i="23"/>
  <c r="K176" i="23"/>
  <c r="J176" i="23"/>
  <c r="I176" i="23"/>
  <c r="H176" i="23"/>
  <c r="G176" i="23"/>
  <c r="F176" i="23"/>
  <c r="E176" i="23"/>
  <c r="D176" i="23"/>
  <c r="C176" i="23"/>
  <c r="N175" i="23"/>
  <c r="M175" i="23"/>
  <c r="L175" i="23"/>
  <c r="K175" i="23"/>
  <c r="J175" i="23"/>
  <c r="I175" i="23"/>
  <c r="H175" i="23"/>
  <c r="G175" i="23"/>
  <c r="F175" i="23"/>
  <c r="E175" i="23"/>
  <c r="D175" i="23"/>
  <c r="C175" i="23"/>
  <c r="N174" i="23"/>
  <c r="M174" i="23"/>
  <c r="L174" i="23"/>
  <c r="K174" i="23"/>
  <c r="J174" i="23"/>
  <c r="I174" i="23"/>
  <c r="H174" i="23"/>
  <c r="G174" i="23"/>
  <c r="F174" i="23"/>
  <c r="E174" i="23"/>
  <c r="D174" i="23"/>
  <c r="C174" i="23"/>
  <c r="N166" i="23"/>
  <c r="M166" i="23"/>
  <c r="L166" i="23"/>
  <c r="K166" i="23"/>
  <c r="J166" i="23"/>
  <c r="I166" i="23"/>
  <c r="H166" i="23"/>
  <c r="G166" i="23"/>
  <c r="F166" i="23"/>
  <c r="E166" i="23"/>
  <c r="D166" i="23"/>
  <c r="C166" i="23"/>
  <c r="N164" i="23"/>
  <c r="M164" i="23"/>
  <c r="L164" i="23"/>
  <c r="K164" i="23"/>
  <c r="J164" i="23"/>
  <c r="I164" i="23"/>
  <c r="H164" i="23"/>
  <c r="G164" i="23"/>
  <c r="F164" i="23"/>
  <c r="E164" i="23"/>
  <c r="D164" i="23"/>
  <c r="C164" i="23"/>
  <c r="N162" i="23"/>
  <c r="M162" i="23"/>
  <c r="L162" i="23"/>
  <c r="K162" i="23"/>
  <c r="J162" i="23"/>
  <c r="I162" i="23"/>
  <c r="H162" i="23"/>
  <c r="G162" i="23"/>
  <c r="F162" i="23"/>
  <c r="E162" i="23"/>
  <c r="D162" i="23"/>
  <c r="C162" i="23"/>
  <c r="N135" i="23"/>
  <c r="M135" i="23"/>
  <c r="L135" i="23"/>
  <c r="K135" i="23"/>
  <c r="J135" i="23"/>
  <c r="I135" i="23"/>
  <c r="H135" i="23"/>
  <c r="G135" i="23"/>
  <c r="F135" i="23"/>
  <c r="E135" i="23"/>
  <c r="D135" i="23"/>
  <c r="C135" i="23"/>
  <c r="N134" i="23"/>
  <c r="M134" i="23"/>
  <c r="L134" i="23"/>
  <c r="K134" i="23"/>
  <c r="J134" i="23"/>
  <c r="I134" i="23"/>
  <c r="H134" i="23"/>
  <c r="G134" i="23"/>
  <c r="F134" i="23"/>
  <c r="E134" i="23"/>
  <c r="D134" i="23"/>
  <c r="C134" i="23"/>
  <c r="N133" i="23"/>
  <c r="M133" i="23"/>
  <c r="L133" i="23"/>
  <c r="K133" i="23"/>
  <c r="J133" i="23"/>
  <c r="I133" i="23"/>
  <c r="H133" i="23"/>
  <c r="G133" i="23"/>
  <c r="F133" i="23"/>
  <c r="E133" i="23"/>
  <c r="D133" i="23"/>
  <c r="C133" i="23"/>
  <c r="N125" i="23"/>
  <c r="M125" i="23"/>
  <c r="L125" i="23"/>
  <c r="K125" i="23"/>
  <c r="J125" i="23"/>
  <c r="I125" i="23"/>
  <c r="H125" i="23"/>
  <c r="G125" i="23"/>
  <c r="F125" i="23"/>
  <c r="E125" i="23"/>
  <c r="D125" i="23"/>
  <c r="C125" i="23"/>
  <c r="N124" i="23"/>
  <c r="M124" i="23"/>
  <c r="L124" i="23"/>
  <c r="K124" i="23"/>
  <c r="J124" i="23"/>
  <c r="I124" i="23"/>
  <c r="H124" i="23"/>
  <c r="G124" i="23"/>
  <c r="F124" i="23"/>
  <c r="E124" i="23"/>
  <c r="D124" i="23"/>
  <c r="C124" i="23"/>
  <c r="N123" i="23"/>
  <c r="M123" i="23"/>
  <c r="L123" i="23"/>
  <c r="K123" i="23"/>
  <c r="J123" i="23"/>
  <c r="I123" i="23"/>
  <c r="H123" i="23"/>
  <c r="G123" i="23"/>
  <c r="F123" i="23"/>
  <c r="E123" i="23"/>
  <c r="D123" i="23"/>
  <c r="C123" i="23"/>
  <c r="N115" i="23"/>
  <c r="M115" i="23"/>
  <c r="L115" i="23"/>
  <c r="K115" i="23"/>
  <c r="J115" i="23"/>
  <c r="I115" i="23"/>
  <c r="H115" i="23"/>
  <c r="G115" i="23"/>
  <c r="F115" i="23"/>
  <c r="E115" i="23"/>
  <c r="D115" i="23"/>
  <c r="C115" i="23"/>
  <c r="N114" i="23"/>
  <c r="M114" i="23"/>
  <c r="L114" i="23"/>
  <c r="K114" i="23"/>
  <c r="J114" i="23"/>
  <c r="I114" i="23"/>
  <c r="H114" i="23"/>
  <c r="G114" i="23"/>
  <c r="F114" i="23"/>
  <c r="E114" i="23"/>
  <c r="D114" i="23"/>
  <c r="C114" i="23"/>
  <c r="N113" i="23"/>
  <c r="M113" i="23"/>
  <c r="L113" i="23"/>
  <c r="K113" i="23"/>
  <c r="J113" i="23"/>
  <c r="I113" i="23"/>
  <c r="H113" i="23"/>
  <c r="G113" i="23"/>
  <c r="F113" i="23"/>
  <c r="E113" i="23"/>
  <c r="D113" i="23"/>
  <c r="C113" i="23"/>
  <c r="N106" i="23"/>
  <c r="M106" i="23"/>
  <c r="L106" i="23"/>
  <c r="K106" i="23"/>
  <c r="J106" i="23"/>
  <c r="I106" i="23"/>
  <c r="H106" i="23"/>
  <c r="G106" i="23"/>
  <c r="F106" i="23"/>
  <c r="E106" i="23"/>
  <c r="D106" i="23"/>
  <c r="C106" i="23"/>
  <c r="N105" i="23"/>
  <c r="M105" i="23"/>
  <c r="L105" i="23"/>
  <c r="K105" i="23"/>
  <c r="J105" i="23"/>
  <c r="I105" i="23"/>
  <c r="H105" i="23"/>
  <c r="G105" i="23"/>
  <c r="F105" i="23"/>
  <c r="E105" i="23"/>
  <c r="D105" i="23"/>
  <c r="C105" i="23"/>
  <c r="N104" i="23"/>
  <c r="M104" i="23"/>
  <c r="L104" i="23"/>
  <c r="K104" i="23"/>
  <c r="J104" i="23"/>
  <c r="I104" i="23"/>
  <c r="H104" i="23"/>
  <c r="G104" i="23"/>
  <c r="F104" i="23"/>
  <c r="E104" i="23"/>
  <c r="D104" i="23"/>
  <c r="C104" i="23"/>
  <c r="N103" i="23"/>
  <c r="M103" i="23"/>
  <c r="L103" i="23"/>
  <c r="K103" i="23"/>
  <c r="J103" i="23"/>
  <c r="I103" i="23"/>
  <c r="H103" i="23"/>
  <c r="G103" i="23"/>
  <c r="F103" i="23"/>
  <c r="E103" i="23"/>
  <c r="D103" i="23"/>
  <c r="C103" i="23"/>
  <c r="N89" i="23"/>
  <c r="M89" i="23"/>
  <c r="L89" i="23"/>
  <c r="K89" i="23"/>
  <c r="J89" i="23"/>
  <c r="I89" i="23"/>
  <c r="H89" i="23"/>
  <c r="G89" i="23"/>
  <c r="F89" i="23"/>
  <c r="E89" i="23"/>
  <c r="D89" i="23"/>
  <c r="C89" i="23"/>
  <c r="N88" i="23"/>
  <c r="M88" i="23"/>
  <c r="L88" i="23"/>
  <c r="K88" i="23"/>
  <c r="J88" i="23"/>
  <c r="I88" i="23"/>
  <c r="H88" i="23"/>
  <c r="G88" i="23"/>
  <c r="F88" i="23"/>
  <c r="E88" i="23"/>
  <c r="D88" i="23"/>
  <c r="C88" i="23"/>
  <c r="N87" i="23"/>
  <c r="M87" i="23"/>
  <c r="L87" i="23"/>
  <c r="K87" i="23"/>
  <c r="J87" i="23"/>
  <c r="I87" i="23"/>
  <c r="H87" i="23"/>
  <c r="G87" i="23"/>
  <c r="F87" i="23"/>
  <c r="E87" i="23"/>
  <c r="D87" i="23"/>
  <c r="C87" i="23"/>
  <c r="N79" i="23"/>
  <c r="M79" i="23"/>
  <c r="L79" i="23"/>
  <c r="K79" i="23"/>
  <c r="J79" i="23"/>
  <c r="I79" i="23"/>
  <c r="H79" i="23"/>
  <c r="G79" i="23"/>
  <c r="F79" i="23"/>
  <c r="E79" i="23"/>
  <c r="D79" i="23"/>
  <c r="C79" i="23"/>
  <c r="N78" i="23"/>
  <c r="M78" i="23"/>
  <c r="L78" i="23"/>
  <c r="K78" i="23"/>
  <c r="J78" i="23"/>
  <c r="I78" i="23"/>
  <c r="H78" i="23"/>
  <c r="G78" i="23"/>
  <c r="F78" i="23"/>
  <c r="E78" i="23"/>
  <c r="D78" i="23"/>
  <c r="C78" i="23"/>
  <c r="N77" i="23"/>
  <c r="M77" i="23"/>
  <c r="L77" i="23"/>
  <c r="K77" i="23"/>
  <c r="J77" i="23"/>
  <c r="I77" i="23"/>
  <c r="H77" i="23"/>
  <c r="G77" i="23"/>
  <c r="F77" i="23"/>
  <c r="E77" i="23"/>
  <c r="D77" i="23"/>
  <c r="C77" i="23"/>
  <c r="N69" i="23"/>
  <c r="M69" i="23"/>
  <c r="L69" i="23"/>
  <c r="K69" i="23"/>
  <c r="J69" i="23"/>
  <c r="I69" i="23"/>
  <c r="H69" i="23"/>
  <c r="G69" i="23"/>
  <c r="F69" i="23"/>
  <c r="E69" i="23"/>
  <c r="D69" i="23"/>
  <c r="C69" i="23"/>
  <c r="N68" i="23"/>
  <c r="M68" i="23"/>
  <c r="L68" i="23"/>
  <c r="K68" i="23"/>
  <c r="J68" i="23"/>
  <c r="I68" i="23"/>
  <c r="H68" i="23"/>
  <c r="G68" i="23"/>
  <c r="F68" i="23"/>
  <c r="E68" i="23"/>
  <c r="D68" i="23"/>
  <c r="C68" i="23"/>
  <c r="N67" i="23"/>
  <c r="M67" i="23"/>
  <c r="L67" i="23"/>
  <c r="K67" i="23"/>
  <c r="J67" i="23"/>
  <c r="I67" i="23"/>
  <c r="H67" i="23"/>
  <c r="G67" i="23"/>
  <c r="F67" i="23"/>
  <c r="E67" i="23"/>
  <c r="D67" i="23"/>
  <c r="C67" i="23"/>
  <c r="N60" i="23"/>
  <c r="M60" i="23"/>
  <c r="L60" i="23"/>
  <c r="K60" i="23"/>
  <c r="J60" i="23"/>
  <c r="I60" i="23"/>
  <c r="H60" i="23"/>
  <c r="G60" i="23"/>
  <c r="F60" i="23"/>
  <c r="E60" i="23"/>
  <c r="D60" i="23"/>
  <c r="C60" i="23"/>
  <c r="N59" i="23"/>
  <c r="M59" i="23"/>
  <c r="L59" i="23"/>
  <c r="K59" i="23"/>
  <c r="J59" i="23"/>
  <c r="I59" i="23"/>
  <c r="H59" i="23"/>
  <c r="G59" i="23"/>
  <c r="F59" i="23"/>
  <c r="E59" i="23"/>
  <c r="D59" i="23"/>
  <c r="C59" i="23"/>
  <c r="N58" i="23"/>
  <c r="M58" i="23"/>
  <c r="L58" i="23"/>
  <c r="K58" i="23"/>
  <c r="J58" i="23"/>
  <c r="I58" i="23"/>
  <c r="H58" i="23"/>
  <c r="G58" i="23"/>
  <c r="F58" i="23"/>
  <c r="E58" i="23"/>
  <c r="D58" i="23"/>
  <c r="C58" i="23"/>
  <c r="N57" i="23"/>
  <c r="M57" i="23"/>
  <c r="L57" i="23"/>
  <c r="K57" i="23"/>
  <c r="J57" i="23"/>
  <c r="I57" i="23"/>
  <c r="H57" i="23"/>
  <c r="G57" i="23"/>
  <c r="F57" i="23"/>
  <c r="E57" i="23"/>
  <c r="D57" i="23"/>
  <c r="C57" i="23"/>
  <c r="N42" i="23"/>
  <c r="M42" i="23"/>
  <c r="L42" i="23"/>
  <c r="K42" i="23"/>
  <c r="J42" i="23"/>
  <c r="I42" i="23"/>
  <c r="H42" i="23"/>
  <c r="G42" i="23"/>
  <c r="F42" i="23"/>
  <c r="E42" i="23"/>
  <c r="D42" i="23"/>
  <c r="C42" i="23"/>
  <c r="N41" i="23"/>
  <c r="M41" i="23"/>
  <c r="L41" i="23"/>
  <c r="K41" i="23"/>
  <c r="J41" i="23"/>
  <c r="I41" i="23"/>
  <c r="H41" i="23"/>
  <c r="G41" i="23"/>
  <c r="F41" i="23"/>
  <c r="E41" i="23"/>
  <c r="D41" i="23"/>
  <c r="C41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N32" i="23"/>
  <c r="M32" i="23"/>
  <c r="L32" i="23"/>
  <c r="K32" i="23"/>
  <c r="J32" i="23"/>
  <c r="I32" i="23"/>
  <c r="H32" i="23"/>
  <c r="G32" i="23"/>
  <c r="F32" i="23"/>
  <c r="E32" i="23"/>
  <c r="D32" i="23"/>
  <c r="C32" i="23"/>
  <c r="N31" i="23"/>
  <c r="M31" i="23"/>
  <c r="L31" i="23"/>
  <c r="K31" i="23"/>
  <c r="J31" i="23"/>
  <c r="I31" i="23"/>
  <c r="H31" i="23"/>
  <c r="G31" i="23"/>
  <c r="F31" i="23"/>
  <c r="E31" i="23"/>
  <c r="D31" i="23"/>
  <c r="C31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N15" i="23"/>
  <c r="M15" i="23"/>
  <c r="L15" i="23"/>
  <c r="K15" i="23"/>
  <c r="J15" i="23"/>
  <c r="I15" i="23"/>
  <c r="H15" i="23"/>
  <c r="G15" i="23"/>
  <c r="F15" i="23"/>
  <c r="E15" i="23"/>
  <c r="D15" i="23"/>
  <c r="C15" i="23"/>
  <c r="N14" i="23"/>
  <c r="M14" i="23"/>
  <c r="L14" i="23"/>
  <c r="K14" i="23"/>
  <c r="J14" i="23"/>
  <c r="I14" i="23"/>
  <c r="H14" i="23"/>
  <c r="G14" i="23"/>
  <c r="F14" i="23"/>
  <c r="E14" i="23"/>
  <c r="D14" i="23"/>
  <c r="C14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N11" i="23"/>
  <c r="M11" i="23"/>
  <c r="L11" i="23"/>
  <c r="K11" i="23"/>
  <c r="J11" i="23"/>
  <c r="I11" i="23"/>
  <c r="H11" i="23"/>
  <c r="G11" i="23"/>
  <c r="F11" i="23"/>
  <c r="E11" i="23"/>
  <c r="D11" i="23"/>
  <c r="C11" i="23"/>
  <c r="N10" i="23"/>
  <c r="M10" i="23"/>
  <c r="L10" i="23"/>
  <c r="K10" i="23"/>
  <c r="J10" i="23"/>
  <c r="I10" i="23"/>
  <c r="H10" i="23"/>
  <c r="G10" i="23"/>
  <c r="F10" i="23"/>
  <c r="E10" i="23"/>
  <c r="D10" i="23"/>
  <c r="C10" i="23"/>
  <c r="N9" i="23"/>
  <c r="M9" i="23"/>
  <c r="L9" i="23"/>
  <c r="K9" i="23"/>
  <c r="J9" i="23"/>
  <c r="I9" i="23"/>
  <c r="H9" i="23"/>
  <c r="G9" i="23"/>
  <c r="F9" i="23"/>
  <c r="E9" i="23"/>
  <c r="D9" i="23"/>
  <c r="C9" i="23"/>
  <c r="N8" i="23"/>
  <c r="M8" i="23"/>
  <c r="L8" i="23"/>
  <c r="K8" i="23"/>
  <c r="J8" i="23"/>
  <c r="I8" i="23"/>
  <c r="H8" i="23"/>
  <c r="G8" i="23"/>
  <c r="F8" i="23"/>
  <c r="E8" i="23"/>
  <c r="D8" i="23"/>
  <c r="C8" i="23"/>
  <c r="N12" i="42"/>
  <c r="M12" i="42"/>
  <c r="L12" i="42"/>
  <c r="K12" i="42"/>
  <c r="J12" i="42"/>
  <c r="I12" i="42"/>
  <c r="H12" i="42"/>
  <c r="G12" i="42"/>
  <c r="F12" i="42"/>
  <c r="E12" i="42"/>
  <c r="D12" i="42"/>
  <c r="C12" i="42"/>
  <c r="O12" i="42"/>
  <c r="C17" i="42"/>
  <c r="M20" i="42"/>
  <c r="L20" i="42"/>
  <c r="K20" i="42"/>
  <c r="J20" i="42"/>
  <c r="I20" i="42"/>
  <c r="H20" i="42"/>
  <c r="G20" i="42"/>
  <c r="F20" i="42"/>
  <c r="E20" i="42"/>
  <c r="D20" i="42"/>
  <c r="N20" i="42"/>
  <c r="C20" i="42"/>
  <c r="F17" i="42"/>
  <c r="F22" i="42"/>
  <c r="F24" i="42"/>
  <c r="G17" i="42"/>
  <c r="G22" i="42"/>
  <c r="G24" i="42"/>
  <c r="K17" i="42"/>
  <c r="K22" i="42"/>
  <c r="K24" i="42"/>
  <c r="J17" i="42"/>
  <c r="J22" i="42"/>
  <c r="J24" i="42"/>
  <c r="I17" i="42"/>
  <c r="I22" i="42"/>
  <c r="I24" i="42"/>
  <c r="H17" i="42"/>
  <c r="H22" i="42"/>
  <c r="H24" i="42"/>
  <c r="C22" i="42"/>
  <c r="C24" i="42"/>
  <c r="D17" i="42"/>
  <c r="D22" i="42"/>
  <c r="D24" i="42"/>
  <c r="L17" i="42"/>
  <c r="L22" i="42"/>
  <c r="L24" i="42"/>
  <c r="M17" i="42"/>
  <c r="M22" i="42"/>
  <c r="M24" i="42"/>
  <c r="N17" i="42"/>
  <c r="N22" i="42"/>
  <c r="N24" i="42"/>
  <c r="E17" i="42"/>
  <c r="E22" i="42"/>
  <c r="E24" i="42"/>
  <c r="O20" i="42"/>
  <c r="O22" i="42"/>
  <c r="O24" i="42"/>
  <c r="O13" i="23"/>
  <c r="O9" i="23"/>
  <c r="A24" i="25"/>
  <c r="O10" i="23"/>
  <c r="O12" i="23"/>
  <c r="O11" i="23"/>
  <c r="K74" i="5"/>
  <c r="A74" i="5"/>
  <c r="K74" i="9"/>
  <c r="A74" i="9"/>
  <c r="M74" i="31"/>
  <c r="A74" i="31"/>
  <c r="O201" i="23"/>
  <c r="N26" i="1"/>
  <c r="N25" i="1"/>
  <c r="L26" i="1"/>
  <c r="L25" i="1"/>
  <c r="J26" i="1"/>
  <c r="J25" i="1"/>
  <c r="H26" i="1"/>
  <c r="H25" i="1"/>
  <c r="F26" i="1"/>
  <c r="F25" i="1"/>
  <c r="D26" i="1"/>
  <c r="D25" i="1"/>
  <c r="N26" i="7"/>
  <c r="N25" i="7"/>
  <c r="L26" i="7"/>
  <c r="L25" i="7"/>
  <c r="J26" i="7"/>
  <c r="J25" i="7"/>
  <c r="H26" i="7"/>
  <c r="H25" i="7"/>
  <c r="F26" i="7"/>
  <c r="F25" i="7"/>
  <c r="D26" i="7"/>
  <c r="D25" i="7"/>
  <c r="D60" i="43"/>
  <c r="E60" i="43"/>
  <c r="F60" i="43"/>
  <c r="G60" i="43"/>
  <c r="H60" i="43"/>
  <c r="C60" i="43"/>
  <c r="D27" i="43"/>
  <c r="E27" i="43"/>
  <c r="F27" i="43"/>
  <c r="G27" i="43"/>
  <c r="H27" i="43"/>
  <c r="C27" i="43"/>
  <c r="A22" i="25"/>
  <c r="A23" i="25"/>
  <c r="J39" i="6"/>
  <c r="J40" i="6"/>
  <c r="J41" i="6"/>
  <c r="J42" i="6"/>
  <c r="J17" i="6"/>
  <c r="J18" i="6"/>
  <c r="J19" i="6"/>
  <c r="J20" i="6"/>
  <c r="J21" i="6"/>
  <c r="A39" i="6"/>
  <c r="A40" i="6"/>
  <c r="A41" i="6"/>
  <c r="A42" i="6"/>
  <c r="A17" i="6"/>
  <c r="A18" i="6"/>
  <c r="A19" i="6"/>
  <c r="A21" i="31"/>
  <c r="A22" i="31"/>
  <c r="A23" i="31"/>
  <c r="A24" i="31"/>
  <c r="A25" i="31"/>
  <c r="A26" i="31"/>
  <c r="M21" i="31"/>
  <c r="M22" i="31"/>
  <c r="M23" i="31"/>
  <c r="M24" i="31"/>
  <c r="M25" i="31"/>
  <c r="M26" i="31"/>
  <c r="M27" i="31"/>
  <c r="B59" i="9"/>
  <c r="B58" i="9"/>
  <c r="K49" i="9"/>
  <c r="K50" i="9"/>
  <c r="K51" i="9"/>
  <c r="K52" i="9"/>
  <c r="A49" i="9"/>
  <c r="A50" i="9"/>
  <c r="A51" i="9"/>
  <c r="K21" i="9"/>
  <c r="K22" i="9"/>
  <c r="K23" i="9"/>
  <c r="K24" i="9"/>
  <c r="K25" i="9"/>
  <c r="K26" i="9"/>
  <c r="K27" i="9"/>
  <c r="A21" i="9"/>
  <c r="A22" i="9"/>
  <c r="A23" i="9"/>
  <c r="A24" i="9"/>
  <c r="A25" i="9"/>
  <c r="J47" i="18"/>
  <c r="J46" i="18"/>
  <c r="J45" i="18"/>
  <c r="J40" i="18"/>
  <c r="J39" i="30"/>
  <c r="J38" i="30"/>
  <c r="J37" i="30"/>
  <c r="J39" i="27"/>
  <c r="J38" i="27"/>
  <c r="J37" i="27"/>
  <c r="J47" i="29"/>
  <c r="J46" i="29"/>
  <c r="J45" i="29"/>
  <c r="J39" i="39"/>
  <c r="J38" i="39"/>
  <c r="J37" i="39"/>
  <c r="J47" i="40"/>
  <c r="J46" i="40"/>
  <c r="J45" i="40"/>
  <c r="D49" i="43"/>
  <c r="J77" i="9"/>
  <c r="E49" i="43"/>
  <c r="F49" i="43"/>
  <c r="G49" i="43"/>
  <c r="H49" i="43"/>
  <c r="C49" i="43"/>
  <c r="D16" i="43"/>
  <c r="E16" i="43"/>
  <c r="F16" i="43"/>
  <c r="G16" i="43"/>
  <c r="H16" i="43"/>
  <c r="C16" i="43"/>
  <c r="J60" i="43"/>
  <c r="J53" i="43"/>
  <c r="J49" i="43"/>
  <c r="F45" i="43"/>
  <c r="G45" i="43"/>
  <c r="H45" i="43"/>
  <c r="E45" i="43"/>
  <c r="D45" i="43"/>
  <c r="J44" i="43"/>
  <c r="I40" i="43"/>
  <c r="H40" i="43"/>
  <c r="G40" i="43"/>
  <c r="F40" i="43"/>
  <c r="E40" i="43"/>
  <c r="D40" i="43"/>
  <c r="C40" i="43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K35" i="43"/>
  <c r="K36" i="43"/>
  <c r="K37" i="43"/>
  <c r="K43" i="43"/>
  <c r="K44" i="43"/>
  <c r="K45" i="43"/>
  <c r="K46" i="43"/>
  <c r="K47" i="43"/>
  <c r="K48" i="43"/>
  <c r="K49" i="43"/>
  <c r="K50" i="43"/>
  <c r="K51" i="43"/>
  <c r="K52" i="43"/>
  <c r="K53" i="43"/>
  <c r="K54" i="43"/>
  <c r="K55" i="43"/>
  <c r="K56" i="43"/>
  <c r="K57" i="43"/>
  <c r="K58" i="43"/>
  <c r="K59" i="43"/>
  <c r="K60" i="43"/>
  <c r="K61" i="43"/>
  <c r="K62" i="43"/>
  <c r="K63" i="43"/>
  <c r="K64" i="43"/>
  <c r="K65" i="43"/>
  <c r="K66" i="43"/>
  <c r="K67" i="43"/>
  <c r="K68" i="43"/>
  <c r="K69" i="43"/>
  <c r="K70" i="43"/>
  <c r="K71" i="43"/>
  <c r="E12" i="43"/>
  <c r="D12" i="43"/>
  <c r="K11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43" i="43"/>
  <c r="A44" i="43"/>
  <c r="A45" i="43"/>
  <c r="A46" i="43"/>
  <c r="A47" i="43"/>
  <c r="A48" i="43"/>
  <c r="A49" i="43"/>
  <c r="A50" i="43"/>
  <c r="A51" i="43"/>
  <c r="A52" i="43"/>
  <c r="A53" i="43"/>
  <c r="A54" i="43"/>
  <c r="A55" i="43"/>
  <c r="A56" i="43"/>
  <c r="A57" i="43"/>
  <c r="A58" i="43"/>
  <c r="A59" i="43"/>
  <c r="A60" i="43"/>
  <c r="A61" i="43"/>
  <c r="A62" i="43"/>
  <c r="A63" i="43"/>
  <c r="A64" i="43"/>
  <c r="A65" i="43"/>
  <c r="A66" i="43"/>
  <c r="A67" i="43"/>
  <c r="A68" i="43"/>
  <c r="A69" i="43"/>
  <c r="A70" i="43"/>
  <c r="A71" i="43"/>
  <c r="J56" i="36"/>
  <c r="J55" i="36"/>
  <c r="J54" i="36"/>
  <c r="J47" i="36"/>
  <c r="J46" i="36"/>
  <c r="J45" i="36"/>
  <c r="J40" i="36"/>
  <c r="J41" i="19"/>
  <c r="J40" i="19"/>
  <c r="J39" i="19"/>
  <c r="I49" i="43"/>
  <c r="F12" i="43"/>
  <c r="G12" i="43"/>
  <c r="I60" i="43"/>
  <c r="O24" i="1"/>
  <c r="O25" i="1"/>
  <c r="O26" i="1"/>
  <c r="O27" i="1"/>
  <c r="O28" i="1"/>
  <c r="O29" i="1"/>
  <c r="A24" i="1"/>
  <c r="A25" i="1"/>
  <c r="A26" i="1"/>
  <c r="A27" i="1"/>
  <c r="A28" i="1"/>
  <c r="J23" i="31"/>
  <c r="H23" i="31"/>
  <c r="F23" i="31"/>
  <c r="D23" i="31"/>
  <c r="J23" i="9"/>
  <c r="H23" i="9"/>
  <c r="J22" i="31"/>
  <c r="H22" i="31"/>
  <c r="F22" i="31"/>
  <c r="D22" i="31"/>
  <c r="J22" i="9"/>
  <c r="H22" i="9"/>
  <c r="O24" i="7"/>
  <c r="O25" i="7"/>
  <c r="O26" i="7"/>
  <c r="O27" i="7"/>
  <c r="O28" i="7"/>
  <c r="O29" i="7"/>
  <c r="O30" i="7"/>
  <c r="O31" i="7"/>
  <c r="O32" i="7"/>
  <c r="O33" i="7"/>
  <c r="A24" i="7"/>
  <c r="A25" i="7"/>
  <c r="A26" i="7"/>
  <c r="A27" i="7"/>
  <c r="A28" i="7"/>
  <c r="A29" i="7"/>
  <c r="F23" i="9"/>
  <c r="D23" i="9"/>
  <c r="J23" i="5"/>
  <c r="H23" i="5"/>
  <c r="F23" i="5"/>
  <c r="F22" i="9"/>
  <c r="D22" i="9"/>
  <c r="H22" i="5"/>
  <c r="F22" i="5"/>
  <c r="D22" i="5"/>
  <c r="O166" i="23"/>
  <c r="O164" i="23"/>
  <c r="G24" i="1"/>
  <c r="E44" i="43"/>
  <c r="E46" i="43"/>
  <c r="C76" i="31"/>
  <c r="C24" i="7"/>
  <c r="C11" i="43"/>
  <c r="D23" i="2"/>
  <c r="J22" i="5"/>
  <c r="L22" i="31"/>
  <c r="D24" i="2"/>
  <c r="D23" i="5"/>
  <c r="L23" i="31"/>
  <c r="H12" i="43"/>
  <c r="C21" i="5"/>
  <c r="C21" i="31"/>
  <c r="K24" i="7"/>
  <c r="G11" i="43"/>
  <c r="G13" i="43"/>
  <c r="C76" i="9"/>
  <c r="G24" i="7"/>
  <c r="E11" i="43"/>
  <c r="E13" i="43"/>
  <c r="G76" i="5"/>
  <c r="C13" i="43"/>
  <c r="C76" i="5"/>
  <c r="I24" i="1"/>
  <c r="F44" i="43"/>
  <c r="F46" i="43"/>
  <c r="E76" i="31"/>
  <c r="E24" i="7"/>
  <c r="D11" i="43"/>
  <c r="D13" i="43"/>
  <c r="E76" i="5"/>
  <c r="O162" i="23"/>
  <c r="K24" i="1"/>
  <c r="G44" i="43"/>
  <c r="G46" i="43"/>
  <c r="G76" i="31"/>
  <c r="M24" i="1"/>
  <c r="H44" i="43"/>
  <c r="H46" i="43"/>
  <c r="I76" i="31"/>
  <c r="E24" i="1"/>
  <c r="D44" i="43"/>
  <c r="D46" i="43"/>
  <c r="I76" i="9"/>
  <c r="C24" i="1"/>
  <c r="C44" i="43"/>
  <c r="C46" i="43"/>
  <c r="M24" i="7"/>
  <c r="H11" i="43"/>
  <c r="H13" i="43"/>
  <c r="E76" i="9"/>
  <c r="I24" i="7"/>
  <c r="F11" i="43"/>
  <c r="F13" i="43"/>
  <c r="I76" i="5"/>
  <c r="I21" i="5"/>
  <c r="E21" i="31"/>
  <c r="E21" i="9"/>
  <c r="E21" i="5"/>
  <c r="G21" i="9"/>
  <c r="G21" i="31"/>
  <c r="G21" i="5"/>
  <c r="C21" i="9"/>
  <c r="I21" i="9"/>
  <c r="I21" i="31"/>
  <c r="G76" i="9"/>
  <c r="K76" i="31"/>
  <c r="I46" i="43"/>
  <c r="I44" i="43"/>
  <c r="K21" i="31"/>
  <c r="B48" i="1"/>
  <c r="O212" i="23"/>
  <c r="I12" i="7"/>
  <c r="K12" i="7"/>
  <c r="M12" i="7"/>
  <c r="C12" i="1"/>
  <c r="E12" i="1"/>
  <c r="G12" i="1"/>
  <c r="I12" i="1"/>
  <c r="K12" i="1"/>
  <c r="M12" i="1"/>
  <c r="E12" i="7"/>
  <c r="O206" i="23"/>
  <c r="O211" i="23"/>
  <c r="O210" i="23"/>
  <c r="O207" i="23"/>
  <c r="C12" i="7"/>
  <c r="G12" i="7"/>
  <c r="C12" i="2"/>
  <c r="O8" i="23"/>
  <c r="G15" i="41"/>
  <c r="G16" i="41"/>
  <c r="G17" i="41"/>
  <c r="G18" i="41"/>
  <c r="G19" i="41"/>
  <c r="G20" i="41"/>
  <c r="G21" i="41"/>
  <c r="G22" i="41"/>
  <c r="G23" i="41"/>
  <c r="G24" i="41"/>
  <c r="A15" i="41"/>
  <c r="A16" i="41"/>
  <c r="A17" i="41"/>
  <c r="A18" i="41"/>
  <c r="A19" i="41"/>
  <c r="A20" i="41"/>
  <c r="A21" i="41"/>
  <c r="A22" i="41"/>
  <c r="A23" i="41"/>
  <c r="A24" i="41"/>
  <c r="B18" i="9"/>
  <c r="B18" i="31"/>
  <c r="D12" i="19"/>
  <c r="E12" i="19"/>
  <c r="F12" i="19"/>
  <c r="G12" i="19"/>
  <c r="H12" i="19"/>
  <c r="C39" i="19"/>
  <c r="D39" i="19"/>
  <c r="E39" i="19"/>
  <c r="F39" i="19"/>
  <c r="G39" i="19"/>
  <c r="H39" i="19"/>
  <c r="C12" i="19"/>
  <c r="G202" i="23"/>
  <c r="L36" i="7"/>
  <c r="H13" i="19"/>
  <c r="E40" i="19"/>
  <c r="F40" i="19"/>
  <c r="H40" i="19"/>
  <c r="D14" i="19"/>
  <c r="F14" i="19"/>
  <c r="H14" i="19"/>
  <c r="D41" i="19"/>
  <c r="F41" i="19"/>
  <c r="G41" i="19"/>
  <c r="C13" i="19"/>
  <c r="N177" i="23"/>
  <c r="D177" i="23"/>
  <c r="K14" i="7"/>
  <c r="C14" i="1"/>
  <c r="G14" i="1"/>
  <c r="M14" i="1"/>
  <c r="D27" i="23"/>
  <c r="H27" i="23"/>
  <c r="H35" i="23"/>
  <c r="K27" i="23"/>
  <c r="L27" i="23"/>
  <c r="L36" i="23"/>
  <c r="L46" i="23"/>
  <c r="D54" i="23"/>
  <c r="E54" i="23"/>
  <c r="F54" i="23"/>
  <c r="F64" i="23"/>
  <c r="H54" i="23"/>
  <c r="I54" i="23"/>
  <c r="I64" i="23"/>
  <c r="I84" i="23"/>
  <c r="J54" i="23"/>
  <c r="M54" i="23"/>
  <c r="N54" i="23"/>
  <c r="N64" i="23"/>
  <c r="N94" i="23"/>
  <c r="H39" i="39"/>
  <c r="F100" i="23"/>
  <c r="F109" i="23"/>
  <c r="I100" i="23"/>
  <c r="I110" i="23"/>
  <c r="J100" i="23"/>
  <c r="K100" i="23"/>
  <c r="K110" i="23"/>
  <c r="M100" i="23"/>
  <c r="O14" i="23"/>
  <c r="M29" i="7"/>
  <c r="C29" i="1"/>
  <c r="E29" i="1"/>
  <c r="G29" i="1"/>
  <c r="I29" i="1"/>
  <c r="K29" i="1"/>
  <c r="M29" i="1"/>
  <c r="G30" i="7"/>
  <c r="I30" i="7"/>
  <c r="C30" i="1"/>
  <c r="K171" i="23"/>
  <c r="K30" i="1"/>
  <c r="N171" i="23"/>
  <c r="E32" i="7"/>
  <c r="G32" i="7"/>
  <c r="I32" i="7"/>
  <c r="E32" i="1"/>
  <c r="M32" i="1"/>
  <c r="I34" i="7"/>
  <c r="E34" i="1"/>
  <c r="G34" i="1"/>
  <c r="I34" i="1"/>
  <c r="K34" i="1"/>
  <c r="M34" i="1"/>
  <c r="C27" i="23"/>
  <c r="C35" i="23"/>
  <c r="C100" i="23"/>
  <c r="C109" i="23"/>
  <c r="C119" i="23"/>
  <c r="C34" i="7"/>
  <c r="Q13" i="42"/>
  <c r="Q14" i="42"/>
  <c r="Q15" i="42"/>
  <c r="Q16" i="42"/>
  <c r="Q17" i="42"/>
  <c r="Q18" i="42"/>
  <c r="Q19" i="42"/>
  <c r="A13" i="42"/>
  <c r="A14" i="42"/>
  <c r="A15" i="42"/>
  <c r="A16" i="42"/>
  <c r="A17" i="42"/>
  <c r="A18" i="42"/>
  <c r="A19" i="42"/>
  <c r="E26" i="23"/>
  <c r="E53" i="23"/>
  <c r="E99" i="23"/>
  <c r="E145" i="23"/>
  <c r="F26" i="23"/>
  <c r="F53" i="23"/>
  <c r="F99" i="23"/>
  <c r="F145" i="23"/>
  <c r="F197" i="23"/>
  <c r="F206" i="23"/>
  <c r="G26" i="23"/>
  <c r="G53" i="23"/>
  <c r="G99" i="23"/>
  <c r="G145" i="23"/>
  <c r="H26" i="23"/>
  <c r="H53" i="23"/>
  <c r="H99" i="23"/>
  <c r="H145" i="23"/>
  <c r="H170" i="23"/>
  <c r="I26" i="23"/>
  <c r="I53" i="23"/>
  <c r="I99" i="23"/>
  <c r="I145" i="23"/>
  <c r="J26" i="23"/>
  <c r="J53" i="23"/>
  <c r="J99" i="23"/>
  <c r="J145" i="23"/>
  <c r="K26" i="23"/>
  <c r="K53" i="23"/>
  <c r="K99" i="23"/>
  <c r="K145" i="23"/>
  <c r="K197" i="23"/>
  <c r="K206" i="23"/>
  <c r="L26" i="23"/>
  <c r="L53" i="23"/>
  <c r="L99" i="23"/>
  <c r="L145" i="23"/>
  <c r="M26" i="23"/>
  <c r="M53" i="23"/>
  <c r="M99" i="23"/>
  <c r="M145" i="23"/>
  <c r="N26" i="23"/>
  <c r="N53" i="23"/>
  <c r="N99" i="23"/>
  <c r="N145" i="23"/>
  <c r="D26" i="23"/>
  <c r="D53" i="23"/>
  <c r="D99" i="23"/>
  <c r="D145" i="23"/>
  <c r="C26" i="23"/>
  <c r="C53" i="23"/>
  <c r="C99" i="23"/>
  <c r="C145" i="23"/>
  <c r="B95" i="31"/>
  <c r="B96" i="31"/>
  <c r="B95" i="9"/>
  <c r="B46" i="1"/>
  <c r="B44" i="1"/>
  <c r="B45" i="1"/>
  <c r="B43" i="1"/>
  <c r="B47" i="1"/>
  <c r="B97" i="31"/>
  <c r="B96" i="9"/>
  <c r="B97" i="9"/>
  <c r="B19" i="31"/>
  <c r="B59" i="31"/>
  <c r="B58" i="31"/>
  <c r="J56" i="40"/>
  <c r="J55" i="40"/>
  <c r="J54" i="40"/>
  <c r="K11" i="40"/>
  <c r="K12" i="40"/>
  <c r="K13" i="40"/>
  <c r="K14" i="40"/>
  <c r="K15" i="40"/>
  <c r="K16" i="40"/>
  <c r="K17" i="40"/>
  <c r="K18" i="40"/>
  <c r="K19" i="40"/>
  <c r="A11" i="40"/>
  <c r="A12" i="40"/>
  <c r="A13" i="40"/>
  <c r="A14" i="40"/>
  <c r="A15" i="40"/>
  <c r="A16" i="40"/>
  <c r="A17" i="40"/>
  <c r="A18" i="40"/>
  <c r="A19" i="40"/>
  <c r="I7" i="40"/>
  <c r="I40" i="40"/>
  <c r="H7" i="40"/>
  <c r="H40" i="40"/>
  <c r="G7" i="40"/>
  <c r="G40" i="40"/>
  <c r="F7" i="40"/>
  <c r="F40" i="40"/>
  <c r="E7" i="40"/>
  <c r="E40" i="40"/>
  <c r="D7" i="40"/>
  <c r="D40" i="40"/>
  <c r="C7" i="40"/>
  <c r="C40" i="40"/>
  <c r="A3" i="40"/>
  <c r="A2" i="40"/>
  <c r="A1" i="40"/>
  <c r="J48" i="39"/>
  <c r="J47" i="39"/>
  <c r="J46" i="39"/>
  <c r="K11" i="39"/>
  <c r="K12" i="39"/>
  <c r="K13" i="39"/>
  <c r="K14" i="39"/>
  <c r="K15" i="39"/>
  <c r="K16" i="39"/>
  <c r="K17" i="39"/>
  <c r="K18" i="39"/>
  <c r="K19" i="39"/>
  <c r="A11" i="39"/>
  <c r="A12" i="39"/>
  <c r="A13" i="39"/>
  <c r="A14" i="39"/>
  <c r="A15" i="39"/>
  <c r="A16" i="39"/>
  <c r="A17" i="39"/>
  <c r="A18" i="39"/>
  <c r="A19" i="39"/>
  <c r="I7" i="39"/>
  <c r="I32" i="39"/>
  <c r="H7" i="39"/>
  <c r="H32" i="39"/>
  <c r="G7" i="39"/>
  <c r="G32" i="39"/>
  <c r="F7" i="39"/>
  <c r="F32" i="39"/>
  <c r="E7" i="39"/>
  <c r="E32" i="39"/>
  <c r="D7" i="39"/>
  <c r="D32" i="39"/>
  <c r="C7" i="39"/>
  <c r="C32" i="39"/>
  <c r="A3" i="39"/>
  <c r="A2" i="39"/>
  <c r="A1" i="39"/>
  <c r="A4" i="30"/>
  <c r="C41" i="19"/>
  <c r="E41" i="19"/>
  <c r="H41" i="19"/>
  <c r="K14" i="1"/>
  <c r="K54" i="23"/>
  <c r="K62" i="23"/>
  <c r="L100" i="23"/>
  <c r="L109" i="23"/>
  <c r="L129" i="23"/>
  <c r="N100" i="23"/>
  <c r="N108" i="23"/>
  <c r="H171" i="23"/>
  <c r="K32" i="1"/>
  <c r="I14" i="7"/>
  <c r="E14" i="1"/>
  <c r="J27" i="23"/>
  <c r="E171" i="23"/>
  <c r="G27" i="23"/>
  <c r="G37" i="23"/>
  <c r="G47" i="23"/>
  <c r="G54" i="23"/>
  <c r="G62" i="23"/>
  <c r="L54" i="23"/>
  <c r="L63" i="23"/>
  <c r="L83" i="23"/>
  <c r="E100" i="23"/>
  <c r="E109" i="23"/>
  <c r="M30" i="7"/>
  <c r="M34" i="7"/>
  <c r="C39" i="5"/>
  <c r="C62" i="5"/>
  <c r="E39" i="5"/>
  <c r="E62" i="5"/>
  <c r="G39" i="5"/>
  <c r="G62" i="5"/>
  <c r="I39" i="5"/>
  <c r="I62" i="5"/>
  <c r="J48" i="19"/>
  <c r="J49" i="19"/>
  <c r="J47" i="19"/>
  <c r="J55" i="29"/>
  <c r="J56" i="29"/>
  <c r="J54" i="29"/>
  <c r="J47" i="27"/>
  <c r="J48" i="27"/>
  <c r="J46" i="27"/>
  <c r="J47" i="30"/>
  <c r="J48" i="30"/>
  <c r="J46" i="30"/>
  <c r="J55" i="18"/>
  <c r="J56" i="18"/>
  <c r="J54" i="18"/>
  <c r="B81" i="31"/>
  <c r="B80" i="31"/>
  <c r="B93" i="9"/>
  <c r="B94" i="9"/>
  <c r="B82" i="5"/>
  <c r="B81" i="5"/>
  <c r="B80" i="5"/>
  <c r="A3" i="36"/>
  <c r="A2" i="36"/>
  <c r="A1" i="36"/>
  <c r="C36" i="36"/>
  <c r="E36" i="36"/>
  <c r="F36" i="36"/>
  <c r="I36" i="36"/>
  <c r="A11" i="36"/>
  <c r="A12" i="36"/>
  <c r="A13" i="36"/>
  <c r="A14" i="36"/>
  <c r="A15" i="36"/>
  <c r="A16" i="36"/>
  <c r="A17" i="36"/>
  <c r="A18" i="36"/>
  <c r="A19" i="36"/>
  <c r="K11" i="36"/>
  <c r="K12" i="36"/>
  <c r="K13" i="36"/>
  <c r="K14" i="36"/>
  <c r="K15" i="36"/>
  <c r="K16" i="36"/>
  <c r="K17" i="36"/>
  <c r="K18" i="36"/>
  <c r="K19" i="36"/>
  <c r="D12" i="36"/>
  <c r="E12" i="36"/>
  <c r="F12" i="36"/>
  <c r="G12" i="36"/>
  <c r="D36" i="36"/>
  <c r="G36" i="36"/>
  <c r="H36" i="36"/>
  <c r="G29" i="7"/>
  <c r="C29" i="7"/>
  <c r="B94" i="31"/>
  <c r="D7" i="19"/>
  <c r="D34" i="19"/>
  <c r="E7" i="19"/>
  <c r="E34" i="19"/>
  <c r="F7" i="19"/>
  <c r="F34" i="19"/>
  <c r="G7" i="19"/>
  <c r="G34" i="19"/>
  <c r="H7" i="19"/>
  <c r="H34" i="19"/>
  <c r="I7" i="19"/>
  <c r="I34" i="19"/>
  <c r="C7" i="19"/>
  <c r="C34" i="19"/>
  <c r="D7" i="29"/>
  <c r="D40" i="29"/>
  <c r="E7" i="29"/>
  <c r="E40" i="29"/>
  <c r="F7" i="29"/>
  <c r="F40" i="29"/>
  <c r="G7" i="29"/>
  <c r="G40" i="29"/>
  <c r="H7" i="29"/>
  <c r="H40" i="29"/>
  <c r="I7" i="29"/>
  <c r="I40" i="29"/>
  <c r="C7" i="29"/>
  <c r="C40" i="29"/>
  <c r="D7" i="27"/>
  <c r="D32" i="27"/>
  <c r="E7" i="27"/>
  <c r="E32" i="27"/>
  <c r="F7" i="27"/>
  <c r="F32" i="27"/>
  <c r="G7" i="27"/>
  <c r="G32" i="27"/>
  <c r="H7" i="27"/>
  <c r="H32" i="27"/>
  <c r="I7" i="27"/>
  <c r="I32" i="27"/>
  <c r="C7" i="27"/>
  <c r="C32" i="27"/>
  <c r="D7" i="30"/>
  <c r="D32" i="30"/>
  <c r="E7" i="30"/>
  <c r="E32" i="30"/>
  <c r="F7" i="30"/>
  <c r="F32" i="30"/>
  <c r="G7" i="30"/>
  <c r="G32" i="30"/>
  <c r="H7" i="30"/>
  <c r="H32" i="30"/>
  <c r="I7" i="30"/>
  <c r="I32" i="30"/>
  <c r="C7" i="30"/>
  <c r="C32" i="30"/>
  <c r="D7" i="18"/>
  <c r="D36" i="18"/>
  <c r="E7" i="18"/>
  <c r="E36" i="18"/>
  <c r="F7" i="18"/>
  <c r="F36" i="18"/>
  <c r="G7" i="18"/>
  <c r="G36" i="18"/>
  <c r="H7" i="18"/>
  <c r="H36" i="18"/>
  <c r="I7" i="18"/>
  <c r="I36" i="18"/>
  <c r="C7" i="18"/>
  <c r="C36" i="18"/>
  <c r="D28" i="6"/>
  <c r="E28" i="6"/>
  <c r="F28" i="6"/>
  <c r="G28" i="6"/>
  <c r="H28" i="6"/>
  <c r="I28" i="6"/>
  <c r="C28" i="6"/>
  <c r="D66" i="5"/>
  <c r="D66" i="9"/>
  <c r="F66" i="9"/>
  <c r="H66" i="9"/>
  <c r="J66" i="9"/>
  <c r="D66" i="31"/>
  <c r="F66" i="31"/>
  <c r="H66" i="31"/>
  <c r="J66" i="31"/>
  <c r="D68" i="5"/>
  <c r="F68" i="5"/>
  <c r="H68" i="5"/>
  <c r="J68" i="5"/>
  <c r="D68" i="9"/>
  <c r="F68" i="9"/>
  <c r="H68" i="9"/>
  <c r="J68" i="9"/>
  <c r="D68" i="31"/>
  <c r="F68" i="31"/>
  <c r="H68" i="31"/>
  <c r="J68" i="31"/>
  <c r="I70" i="5"/>
  <c r="D84" i="9"/>
  <c r="F84" i="9"/>
  <c r="H84" i="9"/>
  <c r="D84" i="31"/>
  <c r="F84" i="31"/>
  <c r="H84" i="31"/>
  <c r="J84" i="31"/>
  <c r="E13" i="35"/>
  <c r="E14" i="35"/>
  <c r="E15" i="35"/>
  <c r="E16" i="35"/>
  <c r="E17" i="35"/>
  <c r="E18" i="35"/>
  <c r="E19" i="35"/>
  <c r="E20" i="35"/>
  <c r="E21" i="35"/>
  <c r="E22" i="35"/>
  <c r="E23" i="35"/>
  <c r="E24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3" i="32"/>
  <c r="A2" i="32"/>
  <c r="A1" i="32"/>
  <c r="G13" i="32"/>
  <c r="G14" i="32"/>
  <c r="G15" i="32"/>
  <c r="G16" i="32"/>
  <c r="A13" i="32"/>
  <c r="A14" i="32"/>
  <c r="A15" i="32"/>
  <c r="A16" i="32"/>
  <c r="A3" i="35"/>
  <c r="A2" i="35"/>
  <c r="A1" i="35"/>
  <c r="K11" i="27"/>
  <c r="K12" i="27"/>
  <c r="K13" i="27"/>
  <c r="K14" i="27"/>
  <c r="K15" i="27"/>
  <c r="K16" i="27"/>
  <c r="K17" i="27"/>
  <c r="K18" i="27"/>
  <c r="K19" i="27"/>
  <c r="A11" i="27"/>
  <c r="A12" i="27"/>
  <c r="A13" i="27"/>
  <c r="A14" i="27"/>
  <c r="A15" i="27"/>
  <c r="A16" i="27"/>
  <c r="A17" i="27"/>
  <c r="A18" i="27"/>
  <c r="A19" i="27"/>
  <c r="B93" i="31"/>
  <c r="B92" i="31"/>
  <c r="B57" i="31"/>
  <c r="B35" i="31"/>
  <c r="B92" i="9"/>
  <c r="B57" i="9"/>
  <c r="B35" i="9"/>
  <c r="J12" i="6"/>
  <c r="J13" i="6"/>
  <c r="J14" i="6"/>
  <c r="J15" i="6"/>
  <c r="J16" i="6"/>
  <c r="A4" i="6"/>
  <c r="A3" i="6"/>
  <c r="A2" i="6"/>
  <c r="A1" i="6"/>
  <c r="A12" i="6"/>
  <c r="A13" i="6"/>
  <c r="A14" i="6"/>
  <c r="A15" i="6"/>
  <c r="A16" i="6"/>
  <c r="A20" i="6"/>
  <c r="A21" i="6"/>
  <c r="K86" i="31"/>
  <c r="A4" i="9"/>
  <c r="A3" i="9"/>
  <c r="A2" i="9"/>
  <c r="A1" i="9"/>
  <c r="A4" i="5"/>
  <c r="A3" i="5"/>
  <c r="A2" i="5"/>
  <c r="A1" i="5"/>
  <c r="B86" i="5"/>
  <c r="B86" i="9"/>
  <c r="B84" i="5"/>
  <c r="B84" i="9"/>
  <c r="B72" i="5"/>
  <c r="B72" i="9"/>
  <c r="B71" i="5"/>
  <c r="B71" i="9"/>
  <c r="B70" i="5"/>
  <c r="B70" i="9"/>
  <c r="B66" i="5"/>
  <c r="B66" i="9"/>
  <c r="B16" i="9"/>
  <c r="B17" i="9"/>
  <c r="B19" i="9"/>
  <c r="B29" i="9"/>
  <c r="B31" i="9"/>
  <c r="B15" i="9"/>
  <c r="B13" i="9"/>
  <c r="B11" i="9"/>
  <c r="C39" i="9"/>
  <c r="C62" i="9"/>
  <c r="E39" i="9"/>
  <c r="E62" i="9"/>
  <c r="M12" i="31"/>
  <c r="M13" i="31"/>
  <c r="M14" i="31"/>
  <c r="M15" i="31"/>
  <c r="M16" i="31"/>
  <c r="M17" i="31"/>
  <c r="M18" i="31"/>
  <c r="M19" i="31"/>
  <c r="A12" i="9"/>
  <c r="A13" i="9"/>
  <c r="A14" i="9"/>
  <c r="A15" i="9"/>
  <c r="A16" i="9"/>
  <c r="A17" i="9"/>
  <c r="A18" i="9"/>
  <c r="A19" i="9"/>
  <c r="A12" i="5"/>
  <c r="A13" i="5"/>
  <c r="A14" i="5"/>
  <c r="A15" i="5"/>
  <c r="A16" i="5"/>
  <c r="A17" i="5"/>
  <c r="A18" i="5"/>
  <c r="A19" i="5"/>
  <c r="I39" i="31"/>
  <c r="I62" i="31"/>
  <c r="G39" i="31"/>
  <c r="G62" i="31"/>
  <c r="E39" i="31"/>
  <c r="E62" i="31"/>
  <c r="C39" i="31"/>
  <c r="C62" i="31"/>
  <c r="A12" i="31"/>
  <c r="A13" i="31"/>
  <c r="A14" i="31"/>
  <c r="A15" i="31"/>
  <c r="A16" i="31"/>
  <c r="A17" i="31"/>
  <c r="A18" i="31"/>
  <c r="A19" i="31"/>
  <c r="A4" i="31"/>
  <c r="K11" i="29"/>
  <c r="K12" i="29"/>
  <c r="K13" i="29"/>
  <c r="K14" i="29"/>
  <c r="K15" i="29"/>
  <c r="K16" i="29"/>
  <c r="K17" i="29"/>
  <c r="K18" i="29"/>
  <c r="K19" i="29"/>
  <c r="A11" i="29"/>
  <c r="A12" i="29"/>
  <c r="A13" i="29"/>
  <c r="A14" i="29"/>
  <c r="A15" i="29"/>
  <c r="A16" i="29"/>
  <c r="A17" i="29"/>
  <c r="A18" i="29"/>
  <c r="A19" i="29"/>
  <c r="B39" i="2"/>
  <c r="A11" i="30"/>
  <c r="A12" i="30"/>
  <c r="A13" i="30"/>
  <c r="A14" i="30"/>
  <c r="A15" i="30"/>
  <c r="A16" i="30"/>
  <c r="A17" i="30"/>
  <c r="A18" i="30"/>
  <c r="A19" i="30"/>
  <c r="K11" i="30"/>
  <c r="K12" i="30"/>
  <c r="K13" i="30"/>
  <c r="K14" i="30"/>
  <c r="K15" i="30"/>
  <c r="K16" i="30"/>
  <c r="K17" i="30"/>
  <c r="K18" i="30"/>
  <c r="K19" i="30"/>
  <c r="K11" i="18"/>
  <c r="K12" i="18"/>
  <c r="K13" i="18"/>
  <c r="K14" i="18"/>
  <c r="K15" i="18"/>
  <c r="K16" i="18"/>
  <c r="K17" i="18"/>
  <c r="K18" i="18"/>
  <c r="K19" i="18"/>
  <c r="A11" i="18"/>
  <c r="A12" i="18"/>
  <c r="A13" i="18"/>
  <c r="A14" i="18"/>
  <c r="A15" i="18"/>
  <c r="A16" i="18"/>
  <c r="A17" i="18"/>
  <c r="A18" i="18"/>
  <c r="A19" i="18"/>
  <c r="D12" i="18"/>
  <c r="A3" i="30"/>
  <c r="A2" i="30"/>
  <c r="A1" i="30"/>
  <c r="A3" i="18"/>
  <c r="A2" i="18"/>
  <c r="A1" i="18"/>
  <c r="H30" i="6"/>
  <c r="H33" i="30"/>
  <c r="G30" i="6"/>
  <c r="G41" i="29"/>
  <c r="F30" i="6"/>
  <c r="E30" i="6"/>
  <c r="E41" i="29"/>
  <c r="D30" i="6"/>
  <c r="D35" i="19"/>
  <c r="C30" i="6"/>
  <c r="C33" i="39"/>
  <c r="H8" i="6"/>
  <c r="H8" i="40"/>
  <c r="G8" i="6"/>
  <c r="G8" i="39"/>
  <c r="F8" i="6"/>
  <c r="F8" i="40"/>
  <c r="E8" i="6"/>
  <c r="E8" i="18"/>
  <c r="D8" i="6"/>
  <c r="D8" i="18"/>
  <c r="C8" i="6"/>
  <c r="C8" i="36"/>
  <c r="A3" i="29"/>
  <c r="A2" i="29"/>
  <c r="A1" i="29"/>
  <c r="A3" i="27"/>
  <c r="A2" i="27"/>
  <c r="A1" i="27"/>
  <c r="K11" i="19"/>
  <c r="K12" i="19"/>
  <c r="K13" i="19"/>
  <c r="K14" i="19"/>
  <c r="K15" i="19"/>
  <c r="K16" i="19"/>
  <c r="K17" i="19"/>
  <c r="K18" i="19"/>
  <c r="K19" i="19"/>
  <c r="A11" i="19"/>
  <c r="A12" i="19"/>
  <c r="A13" i="19"/>
  <c r="A14" i="19"/>
  <c r="A15" i="19"/>
  <c r="A16" i="19"/>
  <c r="A17" i="19"/>
  <c r="A18" i="19"/>
  <c r="A19" i="19"/>
  <c r="A3" i="19"/>
  <c r="A2" i="19"/>
  <c r="A1" i="19"/>
  <c r="A4" i="23"/>
  <c r="A5" i="23"/>
  <c r="A6" i="23"/>
  <c r="P4" i="23"/>
  <c r="P5" i="23"/>
  <c r="P6" i="23"/>
  <c r="P7" i="23"/>
  <c r="P8" i="23"/>
  <c r="P9" i="23"/>
  <c r="P10" i="23"/>
  <c r="P11" i="23"/>
  <c r="P12" i="23"/>
  <c r="A4" i="2"/>
  <c r="B34" i="2"/>
  <c r="B32" i="2"/>
  <c r="B30" i="2"/>
  <c r="B16" i="2"/>
  <c r="B14" i="2"/>
  <c r="B12" i="2"/>
  <c r="B36" i="1"/>
  <c r="B34" i="1"/>
  <c r="B32" i="1"/>
  <c r="B36" i="7"/>
  <c r="B32" i="7"/>
  <c r="B16" i="1"/>
  <c r="B14" i="1"/>
  <c r="B14" i="7"/>
  <c r="B16" i="7"/>
  <c r="A3" i="1"/>
  <c r="A2" i="1"/>
  <c r="A1" i="1"/>
  <c r="A4" i="1"/>
  <c r="A3" i="7"/>
  <c r="A2" i="7"/>
  <c r="A1" i="7"/>
  <c r="A3" i="2"/>
  <c r="A2" i="2"/>
  <c r="A1" i="2"/>
  <c r="K12" i="9"/>
  <c r="K13" i="9"/>
  <c r="K14" i="9"/>
  <c r="K15" i="9"/>
  <c r="K16" i="9"/>
  <c r="K17" i="9"/>
  <c r="K18" i="9"/>
  <c r="K19" i="9"/>
  <c r="E34" i="7"/>
  <c r="A13" i="1"/>
  <c r="A14" i="1"/>
  <c r="A15" i="1"/>
  <c r="A16" i="1"/>
  <c r="A17" i="1"/>
  <c r="A18" i="1"/>
  <c r="A19" i="1"/>
  <c r="D12" i="2"/>
  <c r="D14" i="2"/>
  <c r="D30" i="2"/>
  <c r="C34" i="2"/>
  <c r="A14" i="25"/>
  <c r="A15" i="25"/>
  <c r="A16" i="25"/>
  <c r="A17" i="25"/>
  <c r="A18" i="25"/>
  <c r="A19" i="25"/>
  <c r="K12" i="5"/>
  <c r="K13" i="5"/>
  <c r="K14" i="5"/>
  <c r="K15" i="5"/>
  <c r="K16" i="5"/>
  <c r="K17" i="5"/>
  <c r="K18" i="5"/>
  <c r="K19" i="5"/>
  <c r="D32" i="2"/>
  <c r="C34" i="1"/>
  <c r="I39" i="9"/>
  <c r="I62" i="9"/>
  <c r="G39" i="9"/>
  <c r="G62" i="9"/>
  <c r="E13" i="2"/>
  <c r="E14" i="2"/>
  <c r="E15" i="2"/>
  <c r="E16" i="2"/>
  <c r="E17" i="2"/>
  <c r="E18" i="2"/>
  <c r="E19" i="2"/>
  <c r="A13" i="2"/>
  <c r="A14" i="2"/>
  <c r="A15" i="2"/>
  <c r="A16" i="2"/>
  <c r="A17" i="2"/>
  <c r="A18" i="2"/>
  <c r="A19" i="2"/>
  <c r="O13" i="1"/>
  <c r="O14" i="1"/>
  <c r="O15" i="1"/>
  <c r="O16" i="1"/>
  <c r="O17" i="1"/>
  <c r="O18" i="1"/>
  <c r="O19" i="1"/>
  <c r="O13" i="7"/>
  <c r="O14" i="7"/>
  <c r="O15" i="7"/>
  <c r="O16" i="7"/>
  <c r="O17" i="7"/>
  <c r="O18" i="7"/>
  <c r="O19" i="7"/>
  <c r="A13" i="7"/>
  <c r="A14" i="7"/>
  <c r="A15" i="7"/>
  <c r="A16" i="7"/>
  <c r="A17" i="7"/>
  <c r="A18" i="7"/>
  <c r="A19" i="7"/>
  <c r="E12" i="18"/>
  <c r="F12" i="18"/>
  <c r="G12" i="18"/>
  <c r="H12" i="18"/>
  <c r="C41" i="18"/>
  <c r="D41" i="18"/>
  <c r="D84" i="5"/>
  <c r="H84" i="5"/>
  <c r="J66" i="5"/>
  <c r="J84" i="5"/>
  <c r="J84" i="9"/>
  <c r="F84" i="5"/>
  <c r="F66" i="5"/>
  <c r="H66" i="5"/>
  <c r="C14" i="7"/>
  <c r="G14" i="19"/>
  <c r="G30" i="1"/>
  <c r="G13" i="19"/>
  <c r="D40" i="19"/>
  <c r="N202" i="23"/>
  <c r="N36" i="1"/>
  <c r="E14" i="19"/>
  <c r="C40" i="19"/>
  <c r="I202" i="23"/>
  <c r="D36" i="1"/>
  <c r="E13" i="19"/>
  <c r="I30" i="1"/>
  <c r="L171" i="23"/>
  <c r="K29" i="7"/>
  <c r="C32" i="1"/>
  <c r="M30" i="1"/>
  <c r="G171" i="23"/>
  <c r="I32" i="1"/>
  <c r="H100" i="23"/>
  <c r="H109" i="23"/>
  <c r="D100" i="23"/>
  <c r="H177" i="23"/>
  <c r="I171" i="23"/>
  <c r="E29" i="7"/>
  <c r="M27" i="23"/>
  <c r="M36" i="23"/>
  <c r="M46" i="23"/>
  <c r="I27" i="23"/>
  <c r="I14" i="1"/>
  <c r="E27" i="23"/>
  <c r="E37" i="23"/>
  <c r="E47" i="23"/>
  <c r="M14" i="7"/>
  <c r="E14" i="7"/>
  <c r="K202" i="23"/>
  <c r="H36" i="1"/>
  <c r="G34" i="7"/>
  <c r="C30" i="7"/>
  <c r="C171" i="23"/>
  <c r="J202" i="23"/>
  <c r="F36" i="1"/>
  <c r="F13" i="19"/>
  <c r="F202" i="23"/>
  <c r="J36" i="7"/>
  <c r="G177" i="23"/>
  <c r="M202" i="23"/>
  <c r="L36" i="1"/>
  <c r="G40" i="19"/>
  <c r="M32" i="7"/>
  <c r="J177" i="23"/>
  <c r="C14" i="19"/>
  <c r="C202" i="23"/>
  <c r="D36" i="7"/>
  <c r="I29" i="7"/>
  <c r="M177" i="23"/>
  <c r="E30" i="7"/>
  <c r="D171" i="23"/>
  <c r="E8" i="30"/>
  <c r="H42" i="19"/>
  <c r="N63" i="23"/>
  <c r="N83" i="23"/>
  <c r="C110" i="23"/>
  <c r="C140" i="23"/>
  <c r="G8" i="27"/>
  <c r="G8" i="36"/>
  <c r="E35" i="19"/>
  <c r="E41" i="40"/>
  <c r="E33" i="27"/>
  <c r="F8" i="39"/>
  <c r="P13" i="23"/>
  <c r="P14" i="23"/>
  <c r="P15" i="23"/>
  <c r="P16" i="23"/>
  <c r="P17" i="23"/>
  <c r="P18" i="23"/>
  <c r="P19" i="23"/>
  <c r="P20" i="23"/>
  <c r="K180" i="23"/>
  <c r="K190" i="23"/>
  <c r="C13" i="9"/>
  <c r="E29" i="5"/>
  <c r="F40" i="36"/>
  <c r="C8" i="18"/>
  <c r="C8" i="19"/>
  <c r="G8" i="40"/>
  <c r="E37" i="36"/>
  <c r="G8" i="30"/>
  <c r="H35" i="19"/>
  <c r="F8" i="30"/>
  <c r="G8" i="29"/>
  <c r="E37" i="18"/>
  <c r="F170" i="23"/>
  <c r="G8" i="18"/>
  <c r="E33" i="39"/>
  <c r="E33" i="30"/>
  <c r="K109" i="23"/>
  <c r="K119" i="23"/>
  <c r="C108" i="23"/>
  <c r="C128" i="23"/>
  <c r="K108" i="23"/>
  <c r="K128" i="23"/>
  <c r="A7" i="23"/>
  <c r="A8" i="23"/>
  <c r="A9" i="23"/>
  <c r="A10" i="23"/>
  <c r="A11" i="23"/>
  <c r="A12" i="23"/>
  <c r="C33" i="30"/>
  <c r="E8" i="27"/>
  <c r="E197" i="23"/>
  <c r="E206" i="23"/>
  <c r="E170" i="23"/>
  <c r="H197" i="23"/>
  <c r="H206" i="23"/>
  <c r="N62" i="23"/>
  <c r="L37" i="23"/>
  <c r="L47" i="23"/>
  <c r="L35" i="23"/>
  <c r="B42" i="1"/>
  <c r="F8" i="36"/>
  <c r="F8" i="27"/>
  <c r="H41" i="29"/>
  <c r="F8" i="19"/>
  <c r="D8" i="40"/>
  <c r="D33" i="39"/>
  <c r="F8" i="18"/>
  <c r="F8" i="29"/>
  <c r="E27" i="5"/>
  <c r="E13" i="31"/>
  <c r="E27" i="31"/>
  <c r="C40" i="36"/>
  <c r="H11" i="36"/>
  <c r="E40" i="36"/>
  <c r="I11" i="5"/>
  <c r="G11" i="36"/>
  <c r="G13" i="36"/>
  <c r="D31" i="5"/>
  <c r="G13" i="9"/>
  <c r="D180" i="23"/>
  <c r="D190" i="23"/>
  <c r="E29" i="9"/>
  <c r="C11" i="31"/>
  <c r="L179" i="23"/>
  <c r="L189" i="23"/>
  <c r="C27" i="31"/>
  <c r="E181" i="23"/>
  <c r="E191" i="23"/>
  <c r="I11" i="9"/>
  <c r="E8" i="36"/>
  <c r="C41" i="40"/>
  <c r="E8" i="39"/>
  <c r="E8" i="29"/>
  <c r="L180" i="23"/>
  <c r="L190" i="23"/>
  <c r="C33" i="27"/>
  <c r="C41" i="29"/>
  <c r="C37" i="36"/>
  <c r="E8" i="40"/>
  <c r="C37" i="18"/>
  <c r="C35" i="19"/>
  <c r="I108" i="23"/>
  <c r="I118" i="23"/>
  <c r="I74" i="23"/>
  <c r="M37" i="23"/>
  <c r="M47" i="23"/>
  <c r="H37" i="23"/>
  <c r="H47" i="23"/>
  <c r="G36" i="23"/>
  <c r="G46" i="23"/>
  <c r="E180" i="23"/>
  <c r="E190" i="23"/>
  <c r="I147" i="23"/>
  <c r="G37" i="36"/>
  <c r="G33" i="39"/>
  <c r="G35" i="19"/>
  <c r="G33" i="30"/>
  <c r="G41" i="40"/>
  <c r="G37" i="18"/>
  <c r="G33" i="27"/>
  <c r="G8" i="19"/>
  <c r="E8" i="19"/>
  <c r="C8" i="40"/>
  <c r="C8" i="30"/>
  <c r="C8" i="29"/>
  <c r="C8" i="27"/>
  <c r="C8" i="39"/>
  <c r="G170" i="23"/>
  <c r="G197" i="23"/>
  <c r="G206" i="23"/>
  <c r="K170" i="23"/>
  <c r="F62" i="23"/>
  <c r="F72" i="23"/>
  <c r="N197" i="23"/>
  <c r="N206" i="23"/>
  <c r="N170" i="23"/>
  <c r="M170" i="23"/>
  <c r="M197" i="23"/>
  <c r="M206" i="23"/>
  <c r="C197" i="23"/>
  <c r="C206" i="23"/>
  <c r="C170" i="23"/>
  <c r="C37" i="23"/>
  <c r="C47" i="23"/>
  <c r="N84" i="23"/>
  <c r="B41" i="1"/>
  <c r="H33" i="27"/>
  <c r="H41" i="40"/>
  <c r="D33" i="30"/>
  <c r="L147" i="23"/>
  <c r="H37" i="18"/>
  <c r="D41" i="40"/>
  <c r="H37" i="36"/>
  <c r="D33" i="27"/>
  <c r="D37" i="18"/>
  <c r="D41" i="29"/>
  <c r="H33" i="39"/>
  <c r="D37" i="36"/>
  <c r="F108" i="23"/>
  <c r="F138" i="23"/>
  <c r="F12" i="40"/>
  <c r="K181" i="23"/>
  <c r="K191" i="23"/>
  <c r="L93" i="23"/>
  <c r="F38" i="39"/>
  <c r="H179" i="23"/>
  <c r="H189" i="23"/>
  <c r="I94" i="23"/>
  <c r="C39" i="39"/>
  <c r="I63" i="23"/>
  <c r="I83" i="23"/>
  <c r="D43" i="19"/>
  <c r="H31" i="9"/>
  <c r="E15" i="19"/>
  <c r="J31" i="31"/>
  <c r="C42" i="19"/>
  <c r="D31" i="31"/>
  <c r="C16" i="19"/>
  <c r="L139" i="23"/>
  <c r="F46" i="40"/>
  <c r="D181" i="23"/>
  <c r="D191" i="23"/>
  <c r="D11" i="36"/>
  <c r="D13" i="36"/>
  <c r="C11" i="9"/>
  <c r="I27" i="31"/>
  <c r="G29" i="31"/>
  <c r="I29" i="31"/>
  <c r="G27" i="9"/>
  <c r="G26" i="31"/>
  <c r="G26" i="9"/>
  <c r="F46" i="18"/>
  <c r="I13" i="31"/>
  <c r="I11" i="31"/>
  <c r="L181" i="23"/>
  <c r="L191" i="23"/>
  <c r="H181" i="23"/>
  <c r="H191" i="23"/>
  <c r="I26" i="5"/>
  <c r="E36" i="23"/>
  <c r="E46" i="23"/>
  <c r="E26" i="5"/>
  <c r="G29" i="9"/>
  <c r="C26" i="9"/>
  <c r="E11" i="5"/>
  <c r="F38" i="27"/>
  <c r="I13" i="9"/>
  <c r="I29" i="9"/>
  <c r="I27" i="5"/>
  <c r="E26" i="31"/>
  <c r="E26" i="9"/>
  <c r="C13" i="31"/>
  <c r="K63" i="23"/>
  <c r="K93" i="23"/>
  <c r="E38" i="39"/>
  <c r="E13" i="9"/>
  <c r="I180" i="23"/>
  <c r="I190" i="23"/>
  <c r="E29" i="31"/>
  <c r="F46" i="29"/>
  <c r="E11" i="9"/>
  <c r="G26" i="5"/>
  <c r="G18" i="18"/>
  <c r="I13" i="5"/>
  <c r="H180" i="23"/>
  <c r="H190" i="23"/>
  <c r="G13" i="31"/>
  <c r="I29" i="5"/>
  <c r="G27" i="31"/>
  <c r="G27" i="5"/>
  <c r="C26" i="31"/>
  <c r="G11" i="9"/>
  <c r="K64" i="23"/>
  <c r="K94" i="23"/>
  <c r="E39" i="39"/>
  <c r="J63" i="23"/>
  <c r="J73" i="23"/>
  <c r="G46" i="18"/>
  <c r="E13" i="5"/>
  <c r="E18" i="18"/>
  <c r="E27" i="9"/>
  <c r="E11" i="36"/>
  <c r="E13" i="36"/>
  <c r="E11" i="31"/>
  <c r="G29" i="5"/>
  <c r="K179" i="23"/>
  <c r="K189" i="23"/>
  <c r="I26" i="31"/>
  <c r="I26" i="9"/>
  <c r="C39" i="27"/>
  <c r="C27" i="5"/>
  <c r="C129" i="23"/>
  <c r="C179" i="23"/>
  <c r="C189" i="23"/>
  <c r="C26" i="5"/>
  <c r="C11" i="5"/>
  <c r="N181" i="23"/>
  <c r="N191" i="23"/>
  <c r="N180" i="23"/>
  <c r="N190" i="23"/>
  <c r="H40" i="36"/>
  <c r="N179" i="23"/>
  <c r="N189" i="23"/>
  <c r="G72" i="23"/>
  <c r="G92" i="23"/>
  <c r="G12" i="39"/>
  <c r="N138" i="23"/>
  <c r="H45" i="40"/>
  <c r="N118" i="23"/>
  <c r="N128" i="23"/>
  <c r="J108" i="23"/>
  <c r="J128" i="23"/>
  <c r="J109" i="23"/>
  <c r="J119" i="23"/>
  <c r="M62" i="23"/>
  <c r="M82" i="23"/>
  <c r="M64" i="23"/>
  <c r="M84" i="23"/>
  <c r="M147" i="23"/>
  <c r="M63" i="23"/>
  <c r="M93" i="23"/>
  <c r="I120" i="23"/>
  <c r="I130" i="23"/>
  <c r="H64" i="23"/>
  <c r="H147" i="23"/>
  <c r="H63" i="23"/>
  <c r="H62" i="23"/>
  <c r="H82" i="23"/>
  <c r="D64" i="23"/>
  <c r="D94" i="23"/>
  <c r="D62" i="23"/>
  <c r="D63" i="23"/>
  <c r="D83" i="23"/>
  <c r="K35" i="23"/>
  <c r="K36" i="23"/>
  <c r="K46" i="23"/>
  <c r="K147" i="23"/>
  <c r="E42" i="19"/>
  <c r="K140" i="23"/>
  <c r="E47" i="40"/>
  <c r="G63" i="23"/>
  <c r="K37" i="23"/>
  <c r="K47" i="23"/>
  <c r="M35" i="23"/>
  <c r="G64" i="23"/>
  <c r="G94" i="23"/>
  <c r="G14" i="39"/>
  <c r="I62" i="23"/>
  <c r="I82" i="23"/>
  <c r="J110" i="23"/>
  <c r="F110" i="23"/>
  <c r="F120" i="23"/>
  <c r="M109" i="23"/>
  <c r="M129" i="23"/>
  <c r="K177" i="23"/>
  <c r="F177" i="23"/>
  <c r="I179" i="23"/>
  <c r="I189" i="23"/>
  <c r="E179" i="23"/>
  <c r="E189" i="23"/>
  <c r="L119" i="23"/>
  <c r="K130" i="23"/>
  <c r="E110" i="23"/>
  <c r="D179" i="23"/>
  <c r="D189" i="23"/>
  <c r="H36" i="23"/>
  <c r="C43" i="19"/>
  <c r="L62" i="23"/>
  <c r="L92" i="23"/>
  <c r="F37" i="39"/>
  <c r="L73" i="23"/>
  <c r="K120" i="23"/>
  <c r="I181" i="23"/>
  <c r="I191" i="23"/>
  <c r="C36" i="23"/>
  <c r="C46" i="23"/>
  <c r="E108" i="23"/>
  <c r="E118" i="23"/>
  <c r="I37" i="23"/>
  <c r="F171" i="23"/>
  <c r="L177" i="23"/>
  <c r="G15" i="19"/>
  <c r="L151" i="23"/>
  <c r="C181" i="23"/>
  <c r="C191" i="23"/>
  <c r="F15" i="19"/>
  <c r="G35" i="23"/>
  <c r="L64" i="23"/>
  <c r="L84" i="23"/>
  <c r="E35" i="23"/>
  <c r="E45" i="23"/>
  <c r="J62" i="23"/>
  <c r="J82" i="23"/>
  <c r="L170" i="23"/>
  <c r="L197" i="23"/>
  <c r="L206" i="23"/>
  <c r="J171" i="23"/>
  <c r="E30" i="1"/>
  <c r="D202" i="23"/>
  <c r="F36" i="7"/>
  <c r="J31" i="5"/>
  <c r="F16" i="19"/>
  <c r="C27" i="2"/>
  <c r="G82" i="23"/>
  <c r="D197" i="23"/>
  <c r="D206" i="23"/>
  <c r="D170" i="23"/>
  <c r="C32" i="7"/>
  <c r="O16" i="23"/>
  <c r="C54" i="23"/>
  <c r="O17" i="23"/>
  <c r="K34" i="7"/>
  <c r="C32" i="2"/>
  <c r="G32" i="1"/>
  <c r="K32" i="7"/>
  <c r="E62" i="23"/>
  <c r="E64" i="23"/>
  <c r="E147" i="23"/>
  <c r="E63" i="23"/>
  <c r="K72" i="23"/>
  <c r="K92" i="23"/>
  <c r="E43" i="19"/>
  <c r="G43" i="19"/>
  <c r="H31" i="31"/>
  <c r="D31" i="9"/>
  <c r="G16" i="19"/>
  <c r="J36" i="23"/>
  <c r="J46" i="23"/>
  <c r="J37" i="23"/>
  <c r="J47" i="23"/>
  <c r="J35" i="23"/>
  <c r="I140" i="23"/>
  <c r="C47" i="40"/>
  <c r="F74" i="23"/>
  <c r="F94" i="23"/>
  <c r="F14" i="39"/>
  <c r="J31" i="9"/>
  <c r="C11" i="36"/>
  <c r="M171" i="23"/>
  <c r="G181" i="23"/>
  <c r="G191" i="23"/>
  <c r="G180" i="23"/>
  <c r="G190" i="23"/>
  <c r="G179" i="23"/>
  <c r="D37" i="23"/>
  <c r="D47" i="23"/>
  <c r="D36" i="23"/>
  <c r="D46" i="23"/>
  <c r="D35" i="23"/>
  <c r="D8" i="36"/>
  <c r="D8" i="19"/>
  <c r="D8" i="39"/>
  <c r="D8" i="29"/>
  <c r="D8" i="27"/>
  <c r="D8" i="30"/>
  <c r="J170" i="23"/>
  <c r="J197" i="23"/>
  <c r="J206" i="23"/>
  <c r="N27" i="23"/>
  <c r="F27" i="23"/>
  <c r="F147" i="23"/>
  <c r="G14" i="7"/>
  <c r="I41" i="19"/>
  <c r="N74" i="23"/>
  <c r="L84" i="31"/>
  <c r="H12" i="36"/>
  <c r="C41" i="36"/>
  <c r="D41" i="36"/>
  <c r="E41" i="36"/>
  <c r="F41" i="36"/>
  <c r="G41" i="36"/>
  <c r="H41" i="36"/>
  <c r="N110" i="23"/>
  <c r="N140" i="23"/>
  <c r="H47" i="40"/>
  <c r="N109" i="23"/>
  <c r="I170" i="23"/>
  <c r="I197" i="23"/>
  <c r="I206" i="23"/>
  <c r="K30" i="7"/>
  <c r="O15" i="23"/>
  <c r="J147" i="23"/>
  <c r="G100" i="23"/>
  <c r="O100" i="23"/>
  <c r="F63" i="23"/>
  <c r="D42" i="19"/>
  <c r="L108" i="23"/>
  <c r="I177" i="23"/>
  <c r="H108" i="23"/>
  <c r="H43" i="19"/>
  <c r="I109" i="23"/>
  <c r="L68" i="31"/>
  <c r="C177" i="23"/>
  <c r="H45" i="23"/>
  <c r="C15" i="19"/>
  <c r="E41" i="18"/>
  <c r="F41" i="18"/>
  <c r="G41" i="18"/>
  <c r="D108" i="23"/>
  <c r="D110" i="23"/>
  <c r="D147" i="23"/>
  <c r="D109" i="23"/>
  <c r="F119" i="23"/>
  <c r="F129" i="23"/>
  <c r="F139" i="23"/>
  <c r="C45" i="23"/>
  <c r="E119" i="23"/>
  <c r="E139" i="23"/>
  <c r="E129" i="23"/>
  <c r="F84" i="23"/>
  <c r="C139" i="23"/>
  <c r="G42" i="19"/>
  <c r="H8" i="30"/>
  <c r="H8" i="19"/>
  <c r="H8" i="18"/>
  <c r="H8" i="36"/>
  <c r="H8" i="27"/>
  <c r="H8" i="39"/>
  <c r="H8" i="29"/>
  <c r="F41" i="40"/>
  <c r="F33" i="30"/>
  <c r="F37" i="18"/>
  <c r="F37" i="36"/>
  <c r="F41" i="29"/>
  <c r="F33" i="27"/>
  <c r="F33" i="39"/>
  <c r="L202" i="23"/>
  <c r="J36" i="1"/>
  <c r="H202" i="23"/>
  <c r="N36" i="7"/>
  <c r="O200" i="23"/>
  <c r="H129" i="23"/>
  <c r="H139" i="23"/>
  <c r="H119" i="23"/>
  <c r="C180" i="23"/>
  <c r="D13" i="19"/>
  <c r="E202" i="23"/>
  <c r="H36" i="7"/>
  <c r="O199" i="23"/>
  <c r="F35" i="19"/>
  <c r="C13" i="5"/>
  <c r="L66" i="31"/>
  <c r="H110" i="23"/>
  <c r="J64" i="23"/>
  <c r="I36" i="23"/>
  <c r="I35" i="23"/>
  <c r="K82" i="23"/>
  <c r="L110" i="23"/>
  <c r="M110" i="23"/>
  <c r="M108" i="23"/>
  <c r="M138" i="23"/>
  <c r="E177" i="23"/>
  <c r="N93" i="23"/>
  <c r="H38" i="39"/>
  <c r="N73" i="23"/>
  <c r="H44" i="19"/>
  <c r="C130" i="23"/>
  <c r="N65" i="23"/>
  <c r="C14" i="40"/>
  <c r="C120" i="23"/>
  <c r="D14" i="39"/>
  <c r="J156" i="23"/>
  <c r="D38" i="30"/>
  <c r="F38" i="30"/>
  <c r="L156" i="23"/>
  <c r="A13" i="23"/>
  <c r="A14" i="23"/>
  <c r="A15" i="23"/>
  <c r="A16" i="23"/>
  <c r="A17" i="23"/>
  <c r="A18" i="23"/>
  <c r="A19" i="23"/>
  <c r="A20" i="23"/>
  <c r="E46" i="36"/>
  <c r="K139" i="23"/>
  <c r="E46" i="40"/>
  <c r="F11" i="36"/>
  <c r="F13" i="36"/>
  <c r="F47" i="18"/>
  <c r="E11" i="18"/>
  <c r="C12" i="29"/>
  <c r="C138" i="23"/>
  <c r="C118" i="23"/>
  <c r="K129" i="23"/>
  <c r="K111" i="23"/>
  <c r="K118" i="23"/>
  <c r="K121" i="23"/>
  <c r="K138" i="23"/>
  <c r="E45" i="40"/>
  <c r="C111" i="23"/>
  <c r="K150" i="23"/>
  <c r="L38" i="23"/>
  <c r="N82" i="23"/>
  <c r="N72" i="23"/>
  <c r="N92" i="23"/>
  <c r="H37" i="39"/>
  <c r="L45" i="23"/>
  <c r="C39" i="30"/>
  <c r="L182" i="23"/>
  <c r="D44" i="19"/>
  <c r="H16" i="36"/>
  <c r="F40" i="18"/>
  <c r="C16" i="1"/>
  <c r="E18" i="36"/>
  <c r="F45" i="36"/>
  <c r="D17" i="36"/>
  <c r="C40" i="18"/>
  <c r="C18" i="36"/>
  <c r="F181" i="23"/>
  <c r="F191" i="23"/>
  <c r="C46" i="36"/>
  <c r="E17" i="36"/>
  <c r="F46" i="36"/>
  <c r="D18" i="36"/>
  <c r="G18" i="36"/>
  <c r="C47" i="36"/>
  <c r="E182" i="23"/>
  <c r="E44" i="19"/>
  <c r="E16" i="36"/>
  <c r="H46" i="36"/>
  <c r="H17" i="36"/>
  <c r="H18" i="36"/>
  <c r="G47" i="18"/>
  <c r="C38" i="27"/>
  <c r="E47" i="36"/>
  <c r="H39" i="27"/>
  <c r="G17" i="18"/>
  <c r="G17" i="36"/>
  <c r="H12" i="27"/>
  <c r="H47" i="36"/>
  <c r="F47" i="36"/>
  <c r="C18" i="18"/>
  <c r="H18" i="18"/>
  <c r="J150" i="23"/>
  <c r="M119" i="23"/>
  <c r="J93" i="23"/>
  <c r="D38" i="39"/>
  <c r="J72" i="23"/>
  <c r="D84" i="23"/>
  <c r="J138" i="23"/>
  <c r="D45" i="40"/>
  <c r="K182" i="23"/>
  <c r="I93" i="23"/>
  <c r="C38" i="39"/>
  <c r="I73" i="23"/>
  <c r="I138" i="23"/>
  <c r="C45" i="40"/>
  <c r="D74" i="23"/>
  <c r="L72" i="23"/>
  <c r="I128" i="23"/>
  <c r="J83" i="23"/>
  <c r="H150" i="23"/>
  <c r="E38" i="23"/>
  <c r="C44" i="19"/>
  <c r="J65" i="23"/>
  <c r="I72" i="23"/>
  <c r="M139" i="23"/>
  <c r="G46" i="40"/>
  <c r="J129" i="23"/>
  <c r="M151" i="23"/>
  <c r="K74" i="23"/>
  <c r="L150" i="23"/>
  <c r="K84" i="23"/>
  <c r="H38" i="23"/>
  <c r="K26" i="31"/>
  <c r="F17" i="19"/>
  <c r="G44" i="19"/>
  <c r="G17" i="19"/>
  <c r="K192" i="23"/>
  <c r="H30" i="1"/>
  <c r="I192" i="23"/>
  <c r="D30" i="1"/>
  <c r="J139" i="23"/>
  <c r="D46" i="40"/>
  <c r="F140" i="23"/>
  <c r="F14" i="40"/>
  <c r="F130" i="23"/>
  <c r="J118" i="23"/>
  <c r="I92" i="23"/>
  <c r="G65" i="23"/>
  <c r="K83" i="23"/>
  <c r="F92" i="23"/>
  <c r="F12" i="39"/>
  <c r="D73" i="23"/>
  <c r="K73" i="23"/>
  <c r="D93" i="23"/>
  <c r="F82" i="23"/>
  <c r="J151" i="23"/>
  <c r="I16" i="1"/>
  <c r="F118" i="23"/>
  <c r="F12" i="30"/>
  <c r="N182" i="23"/>
  <c r="E128" i="23"/>
  <c r="F128" i="23"/>
  <c r="F111" i="23"/>
  <c r="M65" i="23"/>
  <c r="K65" i="23"/>
  <c r="L65" i="23"/>
  <c r="H182" i="23"/>
  <c r="N192" i="23"/>
  <c r="N30" i="1"/>
  <c r="M92" i="23"/>
  <c r="G37" i="39"/>
  <c r="E48" i="23"/>
  <c r="H17" i="7"/>
  <c r="C17" i="19"/>
  <c r="E192" i="23"/>
  <c r="N120" i="23"/>
  <c r="H39" i="30"/>
  <c r="G16" i="7"/>
  <c r="C29" i="9"/>
  <c r="E16" i="18"/>
  <c r="E47" i="18"/>
  <c r="E46" i="18"/>
  <c r="G37" i="27"/>
  <c r="H45" i="36"/>
  <c r="K152" i="23"/>
  <c r="E45" i="36"/>
  <c r="E45" i="29"/>
  <c r="C45" i="36"/>
  <c r="C47" i="29"/>
  <c r="G46" i="29"/>
  <c r="D17" i="18"/>
  <c r="F14" i="30"/>
  <c r="D46" i="18"/>
  <c r="I27" i="9"/>
  <c r="F179" i="23"/>
  <c r="F189" i="23"/>
  <c r="E47" i="29"/>
  <c r="D13" i="27"/>
  <c r="D45" i="29"/>
  <c r="H38" i="27"/>
  <c r="H13" i="40"/>
  <c r="F14" i="27"/>
  <c r="G13" i="5"/>
  <c r="K13" i="31"/>
  <c r="D18" i="18"/>
  <c r="F39" i="27"/>
  <c r="D16" i="36"/>
  <c r="D65" i="23"/>
  <c r="G39" i="27"/>
  <c r="H45" i="29"/>
  <c r="C182" i="23"/>
  <c r="C13" i="29"/>
  <c r="C17" i="18"/>
  <c r="O18" i="23"/>
  <c r="N130" i="23"/>
  <c r="G45" i="23"/>
  <c r="G38" i="23"/>
  <c r="I152" i="23"/>
  <c r="I47" i="23"/>
  <c r="L82" i="23"/>
  <c r="M45" i="23"/>
  <c r="M38" i="23"/>
  <c r="E138" i="23"/>
  <c r="E12" i="40"/>
  <c r="K45" i="23"/>
  <c r="K38" i="23"/>
  <c r="H92" i="23"/>
  <c r="H65" i="23"/>
  <c r="H72" i="23"/>
  <c r="M83" i="23"/>
  <c r="M73" i="23"/>
  <c r="D182" i="23"/>
  <c r="I39" i="19"/>
  <c r="E111" i="23"/>
  <c r="C38" i="23"/>
  <c r="J92" i="23"/>
  <c r="D37" i="39"/>
  <c r="M72" i="23"/>
  <c r="H42" i="36"/>
  <c r="F180" i="23"/>
  <c r="D82" i="23"/>
  <c r="I65" i="23"/>
  <c r="M74" i="23"/>
  <c r="L94" i="23"/>
  <c r="F39" i="39"/>
  <c r="F40" i="39"/>
  <c r="M94" i="23"/>
  <c r="G39" i="39"/>
  <c r="K151" i="23"/>
  <c r="I182" i="23"/>
  <c r="O27" i="23"/>
  <c r="E150" i="23"/>
  <c r="L74" i="23"/>
  <c r="E130" i="23"/>
  <c r="E120" i="23"/>
  <c r="E121" i="23"/>
  <c r="E140" i="23"/>
  <c r="E14" i="40"/>
  <c r="H83" i="23"/>
  <c r="H73" i="23"/>
  <c r="H93" i="23"/>
  <c r="K16" i="1"/>
  <c r="G40" i="18"/>
  <c r="H192" i="23"/>
  <c r="N30" i="7"/>
  <c r="H151" i="23"/>
  <c r="H46" i="23"/>
  <c r="J140" i="23"/>
  <c r="D47" i="40"/>
  <c r="J120" i="23"/>
  <c r="J130" i="23"/>
  <c r="E40" i="18"/>
  <c r="G16" i="1"/>
  <c r="D92" i="23"/>
  <c r="D72" i="23"/>
  <c r="M16" i="7"/>
  <c r="H11" i="18"/>
  <c r="J111" i="23"/>
  <c r="L192" i="23"/>
  <c r="J30" i="1"/>
  <c r="G74" i="23"/>
  <c r="G84" i="23"/>
  <c r="G83" i="23"/>
  <c r="G73" i="23"/>
  <c r="G93" i="23"/>
  <c r="H74" i="23"/>
  <c r="H84" i="23"/>
  <c r="H94" i="23"/>
  <c r="E16" i="1"/>
  <c r="D40" i="18"/>
  <c r="C13" i="36"/>
  <c r="E65" i="23"/>
  <c r="E73" i="23"/>
  <c r="E83" i="23"/>
  <c r="E93" i="23"/>
  <c r="E13" i="39"/>
  <c r="F65" i="23"/>
  <c r="F93" i="23"/>
  <c r="F73" i="23"/>
  <c r="F83" i="23"/>
  <c r="N129" i="23"/>
  <c r="N111" i="23"/>
  <c r="N119" i="23"/>
  <c r="C42" i="36"/>
  <c r="N35" i="23"/>
  <c r="N36" i="23"/>
  <c r="N46" i="23"/>
  <c r="N147" i="23"/>
  <c r="N37" i="23"/>
  <c r="G11" i="31"/>
  <c r="F31" i="5"/>
  <c r="D16" i="19"/>
  <c r="E151" i="23"/>
  <c r="H138" i="23"/>
  <c r="H118" i="23"/>
  <c r="H128" i="23"/>
  <c r="L138" i="23"/>
  <c r="F45" i="40"/>
  <c r="L128" i="23"/>
  <c r="L118" i="23"/>
  <c r="C27" i="9"/>
  <c r="C28" i="2"/>
  <c r="G182" i="23"/>
  <c r="G189" i="23"/>
  <c r="E84" i="23"/>
  <c r="E94" i="23"/>
  <c r="E14" i="39"/>
  <c r="E152" i="23"/>
  <c r="E74" i="23"/>
  <c r="O54" i="23"/>
  <c r="C62" i="23"/>
  <c r="C63" i="23"/>
  <c r="C64" i="23"/>
  <c r="O64" i="23"/>
  <c r="C147" i="23"/>
  <c r="N139" i="23"/>
  <c r="I16" i="7"/>
  <c r="F11" i="18"/>
  <c r="G40" i="36"/>
  <c r="G42" i="36"/>
  <c r="M180" i="23"/>
  <c r="M190" i="23"/>
  <c r="M181" i="23"/>
  <c r="M191" i="23"/>
  <c r="M179" i="23"/>
  <c r="H13" i="36"/>
  <c r="F42" i="36"/>
  <c r="E37" i="39"/>
  <c r="E40" i="39"/>
  <c r="K95" i="23"/>
  <c r="H21" i="1"/>
  <c r="E41" i="39"/>
  <c r="E42" i="36"/>
  <c r="J45" i="23"/>
  <c r="J38" i="23"/>
  <c r="C29" i="5"/>
  <c r="C30" i="2"/>
  <c r="G12" i="27"/>
  <c r="J181" i="23"/>
  <c r="J191" i="23"/>
  <c r="J179" i="23"/>
  <c r="J180" i="23"/>
  <c r="J190" i="23"/>
  <c r="D40" i="36"/>
  <c r="D42" i="36"/>
  <c r="O171" i="23"/>
  <c r="C14" i="2"/>
  <c r="O202" i="23"/>
  <c r="I119" i="23"/>
  <c r="I111" i="23"/>
  <c r="I139" i="23"/>
  <c r="I129" i="23"/>
  <c r="G109" i="23"/>
  <c r="G110" i="23"/>
  <c r="O110" i="23"/>
  <c r="O105" i="23"/>
  <c r="G108" i="23"/>
  <c r="O108" i="23"/>
  <c r="G147" i="23"/>
  <c r="I41" i="36"/>
  <c r="F36" i="23"/>
  <c r="F37" i="23"/>
  <c r="F35" i="23"/>
  <c r="D45" i="23"/>
  <c r="D38" i="23"/>
  <c r="C37" i="27"/>
  <c r="I85" i="23"/>
  <c r="D19" i="1"/>
  <c r="G11" i="5"/>
  <c r="E72" i="23"/>
  <c r="E82" i="23"/>
  <c r="C29" i="31"/>
  <c r="E92" i="23"/>
  <c r="F31" i="31"/>
  <c r="F43" i="19"/>
  <c r="E13" i="29"/>
  <c r="F13" i="29"/>
  <c r="D120" i="23"/>
  <c r="D152" i="23"/>
  <c r="D140" i="23"/>
  <c r="D130" i="23"/>
  <c r="M118" i="23"/>
  <c r="M128" i="23"/>
  <c r="M111" i="23"/>
  <c r="M150" i="23"/>
  <c r="I46" i="23"/>
  <c r="I151" i="23"/>
  <c r="E16" i="19"/>
  <c r="H31" i="5"/>
  <c r="D34" i="2"/>
  <c r="C13" i="40"/>
  <c r="E13" i="40"/>
  <c r="C16" i="36"/>
  <c r="D111" i="23"/>
  <c r="D138" i="23"/>
  <c r="D150" i="23"/>
  <c r="D128" i="23"/>
  <c r="D118" i="23"/>
  <c r="H16" i="18"/>
  <c r="M120" i="23"/>
  <c r="M130" i="23"/>
  <c r="M140" i="23"/>
  <c r="G47" i="40"/>
  <c r="M152" i="23"/>
  <c r="E37" i="27"/>
  <c r="J94" i="23"/>
  <c r="D39" i="39"/>
  <c r="J74" i="23"/>
  <c r="J84" i="23"/>
  <c r="J152" i="23"/>
  <c r="F31" i="9"/>
  <c r="H16" i="19"/>
  <c r="D37" i="27"/>
  <c r="D47" i="18"/>
  <c r="C190" i="23"/>
  <c r="G38" i="39"/>
  <c r="D129" i="23"/>
  <c r="D139" i="23"/>
  <c r="D13" i="40"/>
  <c r="D119" i="23"/>
  <c r="D151" i="23"/>
  <c r="H41" i="18"/>
  <c r="D192" i="23"/>
  <c r="F30" i="7"/>
  <c r="I40" i="19"/>
  <c r="H13" i="29"/>
  <c r="F42" i="19"/>
  <c r="F13" i="40"/>
  <c r="E17" i="18"/>
  <c r="D15" i="19"/>
  <c r="E16" i="7"/>
  <c r="D11" i="18"/>
  <c r="L140" i="23"/>
  <c r="L120" i="23"/>
  <c r="L130" i="23"/>
  <c r="L152" i="23"/>
  <c r="L111" i="23"/>
  <c r="I45" i="23"/>
  <c r="I38" i="23"/>
  <c r="I150" i="23"/>
  <c r="H120" i="23"/>
  <c r="H111" i="23"/>
  <c r="H152" i="23"/>
  <c r="H130" i="23"/>
  <c r="H140" i="23"/>
  <c r="H15" i="19"/>
  <c r="G45" i="40"/>
  <c r="C48" i="23"/>
  <c r="D17" i="7"/>
  <c r="C16" i="18"/>
  <c r="H38" i="30"/>
  <c r="C14" i="29"/>
  <c r="C15" i="29"/>
  <c r="C131" i="23"/>
  <c r="D20" i="7"/>
  <c r="C45" i="18"/>
  <c r="H37" i="30"/>
  <c r="C121" i="23"/>
  <c r="C20" i="18"/>
  <c r="N75" i="23"/>
  <c r="N156" i="23"/>
  <c r="D13" i="39"/>
  <c r="E13" i="30"/>
  <c r="E156" i="23"/>
  <c r="I156" i="23"/>
  <c r="C38" i="30"/>
  <c r="F13" i="30"/>
  <c r="F15" i="30"/>
  <c r="H156" i="23"/>
  <c r="H13" i="30"/>
  <c r="D13" i="30"/>
  <c r="D156" i="23"/>
  <c r="G38" i="30"/>
  <c r="M156" i="23"/>
  <c r="E38" i="30"/>
  <c r="K156" i="23"/>
  <c r="C12" i="40"/>
  <c r="C15" i="40"/>
  <c r="E13" i="18"/>
  <c r="E46" i="29"/>
  <c r="E48" i="29"/>
  <c r="C141" i="23"/>
  <c r="D22" i="7"/>
  <c r="C16" i="40"/>
  <c r="E37" i="30"/>
  <c r="E48" i="40"/>
  <c r="F14" i="29"/>
  <c r="E49" i="36"/>
  <c r="K131" i="23"/>
  <c r="H20" i="1"/>
  <c r="F12" i="29"/>
  <c r="E15" i="31"/>
  <c r="E33" i="31"/>
  <c r="K157" i="23"/>
  <c r="I75" i="23"/>
  <c r="D14" i="27"/>
  <c r="N85" i="23"/>
  <c r="N19" i="1"/>
  <c r="F45" i="18"/>
  <c r="F48" i="18"/>
  <c r="J27" i="31"/>
  <c r="F42" i="18"/>
  <c r="H37" i="27"/>
  <c r="H40" i="27"/>
  <c r="C42" i="18"/>
  <c r="K141" i="23"/>
  <c r="H22" i="1"/>
  <c r="E49" i="40"/>
  <c r="F141" i="23"/>
  <c r="J22" i="7"/>
  <c r="F16" i="40"/>
  <c r="H40" i="39"/>
  <c r="G15" i="9"/>
  <c r="G33" i="9"/>
  <c r="N95" i="23"/>
  <c r="N21" i="1"/>
  <c r="H41" i="39"/>
  <c r="L153" i="23"/>
  <c r="L48" i="23"/>
  <c r="J17" i="1"/>
  <c r="F15" i="40"/>
  <c r="C40" i="27"/>
  <c r="E19" i="36"/>
  <c r="H19" i="36"/>
  <c r="K75" i="23"/>
  <c r="H18" i="1"/>
  <c r="F48" i="36"/>
  <c r="C37" i="30"/>
  <c r="E39" i="30"/>
  <c r="L155" i="23"/>
  <c r="D27" i="31"/>
  <c r="F121" i="23"/>
  <c r="I95" i="23"/>
  <c r="D21" i="1"/>
  <c r="C41" i="39"/>
  <c r="G46" i="36"/>
  <c r="E48" i="36"/>
  <c r="H49" i="36"/>
  <c r="F12" i="27"/>
  <c r="C49" i="36"/>
  <c r="D46" i="29"/>
  <c r="D38" i="27"/>
  <c r="G47" i="36"/>
  <c r="D46" i="36"/>
  <c r="G42" i="18"/>
  <c r="L75" i="23"/>
  <c r="M85" i="23"/>
  <c r="L19" i="1"/>
  <c r="D19" i="36"/>
  <c r="H16" i="5"/>
  <c r="E38" i="27"/>
  <c r="F131" i="23"/>
  <c r="J20" i="7"/>
  <c r="C45" i="29"/>
  <c r="D47" i="36"/>
  <c r="E12" i="29"/>
  <c r="C17" i="36"/>
  <c r="C19" i="36"/>
  <c r="H48" i="23"/>
  <c r="N17" i="7"/>
  <c r="D85" i="23"/>
  <c r="F19" i="7"/>
  <c r="H27" i="9"/>
  <c r="D37" i="30"/>
  <c r="D14" i="30"/>
  <c r="O59" i="23"/>
  <c r="J131" i="23"/>
  <c r="F20" i="1"/>
  <c r="C19" i="18"/>
  <c r="D48" i="40"/>
  <c r="D75" i="23"/>
  <c r="K85" i="23"/>
  <c r="H19" i="1"/>
  <c r="E19" i="18"/>
  <c r="H30" i="7"/>
  <c r="C37" i="39"/>
  <c r="C40" i="39"/>
  <c r="J121" i="23"/>
  <c r="E39" i="27"/>
  <c r="O191" i="23"/>
  <c r="F18" i="36"/>
  <c r="J153" i="23"/>
  <c r="I42" i="19"/>
  <c r="J141" i="23"/>
  <c r="F22" i="1"/>
  <c r="D49" i="40"/>
  <c r="K153" i="23"/>
  <c r="E131" i="23"/>
  <c r="H20" i="7"/>
  <c r="H12" i="30"/>
  <c r="L95" i="23"/>
  <c r="J21" i="1"/>
  <c r="F41" i="39"/>
  <c r="F42" i="39"/>
  <c r="E20" i="18"/>
  <c r="G37" i="30"/>
  <c r="M95" i="23"/>
  <c r="L21" i="1"/>
  <c r="G41" i="39"/>
  <c r="G40" i="39"/>
  <c r="G15" i="5"/>
  <c r="G33" i="5"/>
  <c r="G48" i="40"/>
  <c r="H153" i="23"/>
  <c r="F182" i="23"/>
  <c r="O179" i="23"/>
  <c r="O174" i="23"/>
  <c r="G85" i="23"/>
  <c r="L19" i="7"/>
  <c r="O180" i="23"/>
  <c r="O175" i="23"/>
  <c r="H48" i="36"/>
  <c r="K11" i="31"/>
  <c r="K27" i="31"/>
  <c r="M75" i="23"/>
  <c r="E141" i="23"/>
  <c r="H22" i="7"/>
  <c r="E16" i="40"/>
  <c r="E15" i="40"/>
  <c r="L31" i="31"/>
  <c r="F190" i="23"/>
  <c r="C48" i="36"/>
  <c r="M141" i="23"/>
  <c r="L22" i="1"/>
  <c r="G49" i="40"/>
  <c r="J75" i="23"/>
  <c r="E42" i="39"/>
  <c r="K155" i="23"/>
  <c r="O36" i="23"/>
  <c r="O31" i="23"/>
  <c r="D45" i="18"/>
  <c r="D48" i="18"/>
  <c r="F45" i="29"/>
  <c r="H12" i="40"/>
  <c r="H14" i="27"/>
  <c r="G13" i="27"/>
  <c r="E42" i="18"/>
  <c r="H17" i="18"/>
  <c r="H19" i="18"/>
  <c r="E14" i="29"/>
  <c r="H46" i="29"/>
  <c r="D42" i="18"/>
  <c r="G14" i="27"/>
  <c r="D47" i="29"/>
  <c r="H47" i="29"/>
  <c r="H14" i="40"/>
  <c r="H14" i="29"/>
  <c r="G47" i="29"/>
  <c r="E14" i="27"/>
  <c r="H12" i="29"/>
  <c r="F13" i="27"/>
  <c r="G15" i="31"/>
  <c r="G33" i="31"/>
  <c r="F16" i="36"/>
  <c r="D39" i="27"/>
  <c r="F13" i="18"/>
  <c r="F75" i="23"/>
  <c r="E13" i="27"/>
  <c r="H14" i="39"/>
  <c r="G75" i="23"/>
  <c r="H13" i="18"/>
  <c r="C15" i="31"/>
  <c r="C33" i="31"/>
  <c r="H13" i="39"/>
  <c r="D12" i="27"/>
  <c r="G38" i="27"/>
  <c r="G40" i="27"/>
  <c r="C192" i="23"/>
  <c r="F49" i="36"/>
  <c r="F27" i="31"/>
  <c r="E15" i="9"/>
  <c r="E33" i="9"/>
  <c r="H12" i="39"/>
  <c r="H95" i="23"/>
  <c r="N21" i="7"/>
  <c r="H16" i="39"/>
  <c r="H17" i="19"/>
  <c r="H13" i="27"/>
  <c r="H85" i="23"/>
  <c r="N19" i="7"/>
  <c r="M48" i="23"/>
  <c r="L17" i="1"/>
  <c r="G45" i="18"/>
  <c r="G48" i="18"/>
  <c r="I40" i="36"/>
  <c r="G13" i="39"/>
  <c r="G15" i="39"/>
  <c r="G95" i="23"/>
  <c r="L21" i="7"/>
  <c r="G16" i="39"/>
  <c r="D12" i="39"/>
  <c r="D95" i="23"/>
  <c r="F21" i="7"/>
  <c r="D16" i="39"/>
  <c r="H75" i="23"/>
  <c r="K48" i="23"/>
  <c r="H17" i="1"/>
  <c r="E45" i="18"/>
  <c r="E48" i="18"/>
  <c r="F37" i="27"/>
  <c r="F40" i="27"/>
  <c r="L85" i="23"/>
  <c r="J19" i="1"/>
  <c r="G16" i="18"/>
  <c r="G19" i="18"/>
  <c r="G48" i="23"/>
  <c r="L17" i="7"/>
  <c r="F27" i="9"/>
  <c r="H20" i="36"/>
  <c r="C47" i="18"/>
  <c r="I157" i="23"/>
  <c r="C83" i="23"/>
  <c r="C73" i="23"/>
  <c r="C151" i="23"/>
  <c r="O63" i="23"/>
  <c r="O58" i="23"/>
  <c r="C93" i="23"/>
  <c r="G11" i="18"/>
  <c r="K16" i="7"/>
  <c r="N152" i="23"/>
  <c r="N47" i="23"/>
  <c r="I153" i="23"/>
  <c r="G138" i="23"/>
  <c r="G111" i="23"/>
  <c r="G128" i="23"/>
  <c r="G118" i="23"/>
  <c r="G150" i="23"/>
  <c r="M16" i="1"/>
  <c r="H40" i="18"/>
  <c r="I42" i="36"/>
  <c r="O147" i="23"/>
  <c r="J48" i="23"/>
  <c r="F17" i="1"/>
  <c r="J85" i="23"/>
  <c r="F19" i="1"/>
  <c r="F85" i="23"/>
  <c r="J19" i="7"/>
  <c r="E12" i="27"/>
  <c r="E85" i="23"/>
  <c r="H19" i="7"/>
  <c r="C41" i="27"/>
  <c r="H18" i="9"/>
  <c r="F45" i="23"/>
  <c r="F150" i="23"/>
  <c r="F38" i="23"/>
  <c r="F37" i="30"/>
  <c r="G120" i="23"/>
  <c r="O120" i="23"/>
  <c r="G152" i="23"/>
  <c r="G130" i="23"/>
  <c r="G140" i="23"/>
  <c r="K29" i="31"/>
  <c r="M189" i="23"/>
  <c r="M182" i="23"/>
  <c r="C16" i="7"/>
  <c r="C11" i="18"/>
  <c r="O181" i="23"/>
  <c r="O176" i="23"/>
  <c r="H46" i="18"/>
  <c r="N151" i="23"/>
  <c r="F46" i="23"/>
  <c r="F151" i="23"/>
  <c r="C46" i="29"/>
  <c r="I131" i="23"/>
  <c r="D20" i="1"/>
  <c r="G16" i="36"/>
  <c r="G19" i="36"/>
  <c r="G192" i="23"/>
  <c r="L30" i="7"/>
  <c r="D16" i="18"/>
  <c r="D19" i="18"/>
  <c r="D48" i="23"/>
  <c r="F17" i="7"/>
  <c r="C46" i="40"/>
  <c r="C48" i="40"/>
  <c r="I141" i="23"/>
  <c r="D22" i="1"/>
  <c r="C49" i="40"/>
  <c r="J155" i="23"/>
  <c r="J189" i="23"/>
  <c r="J182" i="23"/>
  <c r="H46" i="40"/>
  <c r="H48" i="40"/>
  <c r="N141" i="23"/>
  <c r="N22" i="1"/>
  <c r="H49" i="40"/>
  <c r="C92" i="23"/>
  <c r="C150" i="23"/>
  <c r="C65" i="23"/>
  <c r="C82" i="23"/>
  <c r="O62" i="23"/>
  <c r="O57" i="23"/>
  <c r="C72" i="23"/>
  <c r="D17" i="19"/>
  <c r="N121" i="23"/>
  <c r="F44" i="19"/>
  <c r="N131" i="23"/>
  <c r="N20" i="1"/>
  <c r="H155" i="23"/>
  <c r="E12" i="39"/>
  <c r="E15" i="39"/>
  <c r="E95" i="23"/>
  <c r="H21" i="7"/>
  <c r="E16" i="39"/>
  <c r="E75" i="23"/>
  <c r="H18" i="7"/>
  <c r="E12" i="30"/>
  <c r="E155" i="23"/>
  <c r="O37" i="23"/>
  <c r="O32" i="23"/>
  <c r="F47" i="23"/>
  <c r="F152" i="23"/>
  <c r="G119" i="23"/>
  <c r="O119" i="23"/>
  <c r="G129" i="23"/>
  <c r="G151" i="23"/>
  <c r="G139" i="23"/>
  <c r="O109" i="23"/>
  <c r="O104" i="23"/>
  <c r="I121" i="23"/>
  <c r="I15" i="5"/>
  <c r="I33" i="5"/>
  <c r="C94" i="23"/>
  <c r="C74" i="23"/>
  <c r="C152" i="23"/>
  <c r="C84" i="23"/>
  <c r="E14" i="30"/>
  <c r="E157" i="23"/>
  <c r="E153" i="23"/>
  <c r="O35" i="23"/>
  <c r="O30" i="23"/>
  <c r="N45" i="23"/>
  <c r="N38" i="23"/>
  <c r="N150" i="23"/>
  <c r="F13" i="39"/>
  <c r="F15" i="39"/>
  <c r="F95" i="23"/>
  <c r="J21" i="7"/>
  <c r="F16" i="39"/>
  <c r="I15" i="9"/>
  <c r="I33" i="9"/>
  <c r="I48" i="23"/>
  <c r="D17" i="1"/>
  <c r="H157" i="23"/>
  <c r="H14" i="30"/>
  <c r="H121" i="23"/>
  <c r="F47" i="40"/>
  <c r="F48" i="40"/>
  <c r="L141" i="23"/>
  <c r="J22" i="1"/>
  <c r="F49" i="40"/>
  <c r="H131" i="23"/>
  <c r="N20" i="7"/>
  <c r="D39" i="30"/>
  <c r="J157" i="23"/>
  <c r="G39" i="30"/>
  <c r="M157" i="23"/>
  <c r="D141" i="23"/>
  <c r="F22" i="7"/>
  <c r="D16" i="40"/>
  <c r="D12" i="40"/>
  <c r="H141" i="23"/>
  <c r="N22" i="7"/>
  <c r="H16" i="40"/>
  <c r="M153" i="23"/>
  <c r="D16" i="5"/>
  <c r="D20" i="36"/>
  <c r="F27" i="5"/>
  <c r="D121" i="23"/>
  <c r="D12" i="30"/>
  <c r="D155" i="23"/>
  <c r="D40" i="39"/>
  <c r="D14" i="40"/>
  <c r="F47" i="29"/>
  <c r="L131" i="23"/>
  <c r="J20" i="1"/>
  <c r="O103" i="23"/>
  <c r="D13" i="18"/>
  <c r="I41" i="18"/>
  <c r="D131" i="23"/>
  <c r="F20" i="7"/>
  <c r="D12" i="29"/>
  <c r="J95" i="23"/>
  <c r="F21" i="1"/>
  <c r="D41" i="39"/>
  <c r="E17" i="19"/>
  <c r="I43" i="19"/>
  <c r="C46" i="18"/>
  <c r="G45" i="29"/>
  <c r="M131" i="23"/>
  <c r="L20" i="1"/>
  <c r="L121" i="23"/>
  <c r="L157" i="23"/>
  <c r="F39" i="30"/>
  <c r="I155" i="23"/>
  <c r="E15" i="5"/>
  <c r="D13" i="29"/>
  <c r="D153" i="23"/>
  <c r="M155" i="23"/>
  <c r="M121" i="23"/>
  <c r="D14" i="29"/>
  <c r="D157" i="23"/>
  <c r="G14" i="40"/>
  <c r="C16" i="29"/>
  <c r="C17" i="29"/>
  <c r="D19" i="5"/>
  <c r="H40" i="30"/>
  <c r="D19" i="31"/>
  <c r="O139" i="23"/>
  <c r="N18" i="1"/>
  <c r="D15" i="39"/>
  <c r="D17" i="39"/>
  <c r="O33" i="23"/>
  <c r="C17" i="40"/>
  <c r="C13" i="30"/>
  <c r="C156" i="23"/>
  <c r="O73" i="23"/>
  <c r="F156" i="23"/>
  <c r="G13" i="30"/>
  <c r="G156" i="23"/>
  <c r="G70" i="9"/>
  <c r="E70" i="5"/>
  <c r="E70" i="31"/>
  <c r="H41" i="27"/>
  <c r="H42" i="27"/>
  <c r="J18" i="31"/>
  <c r="E49" i="29"/>
  <c r="E50" i="29"/>
  <c r="D18" i="1"/>
  <c r="K158" i="23"/>
  <c r="F15" i="29"/>
  <c r="E50" i="36"/>
  <c r="D15" i="27"/>
  <c r="E50" i="40"/>
  <c r="F16" i="29"/>
  <c r="H18" i="31"/>
  <c r="D49" i="29"/>
  <c r="H20" i="18"/>
  <c r="D16" i="27"/>
  <c r="F49" i="18"/>
  <c r="F50" i="18"/>
  <c r="O186" i="23"/>
  <c r="I70" i="9"/>
  <c r="G70" i="31"/>
  <c r="E70" i="9"/>
  <c r="F17" i="40"/>
  <c r="H42" i="39"/>
  <c r="C42" i="27"/>
  <c r="F16" i="31"/>
  <c r="D48" i="29"/>
  <c r="H50" i="36"/>
  <c r="C40" i="30"/>
  <c r="D40" i="30"/>
  <c r="D40" i="27"/>
  <c r="E15" i="29"/>
  <c r="G41" i="27"/>
  <c r="G42" i="27"/>
  <c r="J19" i="5"/>
  <c r="F50" i="36"/>
  <c r="J18" i="7"/>
  <c r="E40" i="27"/>
  <c r="E40" i="30"/>
  <c r="F15" i="27"/>
  <c r="C42" i="39"/>
  <c r="G48" i="29"/>
  <c r="C48" i="29"/>
  <c r="O130" i="23"/>
  <c r="D41" i="27"/>
  <c r="E20" i="36"/>
  <c r="C16" i="2"/>
  <c r="J18" i="9"/>
  <c r="H49" i="29"/>
  <c r="D49" i="18"/>
  <c r="D50" i="18"/>
  <c r="F18" i="1"/>
  <c r="O129" i="23"/>
  <c r="O118" i="23"/>
  <c r="D18" i="31"/>
  <c r="J18" i="1"/>
  <c r="F18" i="5"/>
  <c r="F16" i="9"/>
  <c r="O84" i="23"/>
  <c r="J18" i="5"/>
  <c r="O128" i="23"/>
  <c r="C50" i="36"/>
  <c r="D18" i="9"/>
  <c r="E16" i="29"/>
  <c r="J19" i="9"/>
  <c r="D50" i="40"/>
  <c r="H15" i="29"/>
  <c r="H15" i="27"/>
  <c r="H27" i="5"/>
  <c r="F18" i="7"/>
  <c r="E41" i="27"/>
  <c r="H19" i="5"/>
  <c r="J158" i="23"/>
  <c r="E17" i="40"/>
  <c r="G40" i="30"/>
  <c r="H17" i="5"/>
  <c r="E16" i="30"/>
  <c r="D30" i="7"/>
  <c r="E41" i="30"/>
  <c r="D17" i="31"/>
  <c r="F192" i="23"/>
  <c r="J30" i="7"/>
  <c r="F17" i="36"/>
  <c r="F19" i="36"/>
  <c r="I47" i="36"/>
  <c r="J19" i="31"/>
  <c r="H15" i="30"/>
  <c r="I44" i="19"/>
  <c r="O140" i="23"/>
  <c r="N18" i="7"/>
  <c r="G42" i="39"/>
  <c r="O152" i="23"/>
  <c r="G50" i="40"/>
  <c r="J16" i="9"/>
  <c r="G16" i="27"/>
  <c r="F48" i="29"/>
  <c r="I40" i="18"/>
  <c r="E15" i="27"/>
  <c r="L18" i="1"/>
  <c r="O190" i="23"/>
  <c r="I47" i="40"/>
  <c r="H15" i="40"/>
  <c r="H17" i="40"/>
  <c r="H15" i="39"/>
  <c r="H17" i="39"/>
  <c r="O182" i="23"/>
  <c r="M158" i="23"/>
  <c r="H158" i="23"/>
  <c r="G15" i="27"/>
  <c r="F16" i="27"/>
  <c r="F40" i="30"/>
  <c r="O60" i="23"/>
  <c r="O65" i="23"/>
  <c r="O150" i="23"/>
  <c r="G13" i="29"/>
  <c r="I46" i="29"/>
  <c r="G13" i="18"/>
  <c r="O189" i="23"/>
  <c r="H42" i="18"/>
  <c r="G14" i="29"/>
  <c r="I47" i="29"/>
  <c r="H48" i="29"/>
  <c r="C70" i="31"/>
  <c r="O106" i="23"/>
  <c r="O177" i="23"/>
  <c r="O111" i="23"/>
  <c r="O114" i="23"/>
  <c r="O115" i="23"/>
  <c r="C14" i="27"/>
  <c r="I39" i="27"/>
  <c r="C13" i="18"/>
  <c r="F50" i="40"/>
  <c r="E158" i="23"/>
  <c r="E17" i="39"/>
  <c r="H16" i="27"/>
  <c r="F18" i="9"/>
  <c r="E15" i="30"/>
  <c r="G20" i="18"/>
  <c r="D16" i="9"/>
  <c r="E49" i="18"/>
  <c r="E50" i="18"/>
  <c r="D16" i="31"/>
  <c r="O151" i="23"/>
  <c r="F41" i="27"/>
  <c r="F42" i="27"/>
  <c r="F18" i="31"/>
  <c r="G17" i="39"/>
  <c r="G49" i="18"/>
  <c r="G50" i="18"/>
  <c r="H16" i="31"/>
  <c r="O74" i="23"/>
  <c r="C157" i="23"/>
  <c r="C14" i="30"/>
  <c r="C12" i="30"/>
  <c r="C75" i="23"/>
  <c r="D18" i="7"/>
  <c r="C155" i="23"/>
  <c r="O72" i="23"/>
  <c r="C153" i="23"/>
  <c r="C50" i="40"/>
  <c r="N153" i="23"/>
  <c r="G157" i="23"/>
  <c r="G14" i="30"/>
  <c r="F48" i="23"/>
  <c r="J17" i="7"/>
  <c r="O45" i="23"/>
  <c r="F16" i="18"/>
  <c r="F155" i="23"/>
  <c r="I15" i="31"/>
  <c r="I33" i="31"/>
  <c r="H45" i="18"/>
  <c r="N155" i="23"/>
  <c r="C14" i="39"/>
  <c r="I39" i="39"/>
  <c r="O94" i="23"/>
  <c r="G141" i="23"/>
  <c r="L22" i="7"/>
  <c r="G16" i="40"/>
  <c r="I49" i="40"/>
  <c r="G13" i="40"/>
  <c r="I46" i="40"/>
  <c r="C12" i="39"/>
  <c r="O92" i="23"/>
  <c r="C95" i="23"/>
  <c r="D21" i="7"/>
  <c r="C16" i="39"/>
  <c r="I41" i="39"/>
  <c r="D45" i="36"/>
  <c r="J192" i="23"/>
  <c r="F30" i="1"/>
  <c r="F16" i="5"/>
  <c r="D20" i="18"/>
  <c r="D27" i="9"/>
  <c r="G20" i="36"/>
  <c r="C15" i="5"/>
  <c r="C33" i="5"/>
  <c r="G153" i="23"/>
  <c r="G12" i="40"/>
  <c r="I45" i="40"/>
  <c r="O138" i="23"/>
  <c r="C13" i="39"/>
  <c r="I38" i="39"/>
  <c r="O93" i="23"/>
  <c r="O83" i="23"/>
  <c r="C13" i="27"/>
  <c r="I38" i="27"/>
  <c r="I158" i="23"/>
  <c r="F17" i="39"/>
  <c r="O38" i="23"/>
  <c r="F157" i="23"/>
  <c r="O47" i="23"/>
  <c r="F18" i="18"/>
  <c r="O82" i="23"/>
  <c r="C85" i="23"/>
  <c r="D19" i="7"/>
  <c r="C12" i="27"/>
  <c r="H50" i="40"/>
  <c r="F17" i="18"/>
  <c r="I46" i="18"/>
  <c r="O46" i="23"/>
  <c r="N48" i="23"/>
  <c r="N17" i="1"/>
  <c r="G155" i="23"/>
  <c r="G12" i="30"/>
  <c r="G121" i="23"/>
  <c r="L18" i="7"/>
  <c r="C15" i="9"/>
  <c r="C33" i="9"/>
  <c r="H19" i="9"/>
  <c r="C49" i="29"/>
  <c r="G45" i="36"/>
  <c r="G48" i="36"/>
  <c r="M192" i="23"/>
  <c r="L30" i="1"/>
  <c r="F153" i="23"/>
  <c r="H18" i="5"/>
  <c r="E16" i="27"/>
  <c r="G131" i="23"/>
  <c r="L20" i="7"/>
  <c r="G12" i="29"/>
  <c r="H47" i="18"/>
  <c r="N157" i="23"/>
  <c r="F19" i="5"/>
  <c r="D16" i="29"/>
  <c r="F19" i="31"/>
  <c r="F49" i="29"/>
  <c r="H16" i="29"/>
  <c r="F19" i="9"/>
  <c r="H19" i="31"/>
  <c r="G49" i="29"/>
  <c r="D158" i="23"/>
  <c r="D15" i="40"/>
  <c r="D17" i="40"/>
  <c r="C48" i="18"/>
  <c r="L158" i="23"/>
  <c r="D42" i="39"/>
  <c r="D15" i="30"/>
  <c r="H16" i="9"/>
  <c r="C49" i="18"/>
  <c r="E33" i="5"/>
  <c r="D15" i="29"/>
  <c r="O134" i="23"/>
  <c r="J17" i="31"/>
  <c r="H41" i="30"/>
  <c r="H42" i="30"/>
  <c r="O68" i="23"/>
  <c r="C41" i="30"/>
  <c r="C42" i="30"/>
  <c r="H17" i="9"/>
  <c r="D17" i="27"/>
  <c r="O184" i="23"/>
  <c r="O42" i="23"/>
  <c r="O113" i="23"/>
  <c r="O124" i="23"/>
  <c r="O185" i="23"/>
  <c r="F17" i="29"/>
  <c r="O133" i="23"/>
  <c r="J17" i="5"/>
  <c r="D16" i="30"/>
  <c r="D17" i="30"/>
  <c r="F17" i="31"/>
  <c r="D41" i="30"/>
  <c r="D42" i="30"/>
  <c r="C70" i="9"/>
  <c r="O121" i="23"/>
  <c r="C70" i="5"/>
  <c r="D50" i="29"/>
  <c r="E17" i="29"/>
  <c r="F16" i="30"/>
  <c r="F17" i="30"/>
  <c r="D42" i="27"/>
  <c r="E42" i="27"/>
  <c r="G50" i="29"/>
  <c r="O131" i="23"/>
  <c r="J17" i="9"/>
  <c r="O125" i="23"/>
  <c r="F17" i="27"/>
  <c r="C50" i="29"/>
  <c r="F41" i="30"/>
  <c r="F42" i="30"/>
  <c r="H17" i="29"/>
  <c r="D20" i="2"/>
  <c r="E42" i="30"/>
  <c r="F17" i="5"/>
  <c r="O135" i="23"/>
  <c r="O79" i="23"/>
  <c r="G17" i="27"/>
  <c r="D27" i="5"/>
  <c r="O41" i="23"/>
  <c r="O40" i="23"/>
  <c r="F20" i="36"/>
  <c r="H17" i="27"/>
  <c r="J27" i="5"/>
  <c r="E17" i="27"/>
  <c r="F50" i="29"/>
  <c r="F19" i="18"/>
  <c r="G16" i="30"/>
  <c r="D17" i="9"/>
  <c r="G70" i="5"/>
  <c r="C16" i="30"/>
  <c r="D17" i="5"/>
  <c r="D18" i="2"/>
  <c r="I46" i="36"/>
  <c r="C20" i="36"/>
  <c r="F17" i="9"/>
  <c r="H16" i="30"/>
  <c r="H17" i="31"/>
  <c r="G41" i="30"/>
  <c r="I47" i="18"/>
  <c r="O153" i="23"/>
  <c r="G15" i="29"/>
  <c r="O192" i="23"/>
  <c r="N158" i="23"/>
  <c r="D17" i="29"/>
  <c r="O156" i="23"/>
  <c r="E17" i="30"/>
  <c r="H50" i="29"/>
  <c r="I70" i="31"/>
  <c r="I39" i="30"/>
  <c r="O78" i="23"/>
  <c r="O89" i="23"/>
  <c r="O141" i="23"/>
  <c r="O88" i="23"/>
  <c r="O69" i="23"/>
  <c r="I42" i="18"/>
  <c r="C50" i="18"/>
  <c r="C15" i="30"/>
  <c r="I38" i="30"/>
  <c r="C158" i="23"/>
  <c r="O157" i="23"/>
  <c r="I45" i="29"/>
  <c r="I48" i="29"/>
  <c r="K15" i="31"/>
  <c r="K33" i="31"/>
  <c r="O155" i="23"/>
  <c r="D19" i="9"/>
  <c r="L19" i="31"/>
  <c r="G16" i="29"/>
  <c r="I49" i="29"/>
  <c r="G49" i="36"/>
  <c r="G50" i="36"/>
  <c r="H27" i="31"/>
  <c r="G15" i="30"/>
  <c r="I37" i="27"/>
  <c r="I40" i="27"/>
  <c r="C15" i="27"/>
  <c r="I48" i="40"/>
  <c r="I50" i="40"/>
  <c r="O95" i="23"/>
  <c r="O87" i="23"/>
  <c r="H48" i="18"/>
  <c r="F20" i="18"/>
  <c r="D17" i="2"/>
  <c r="J16" i="5"/>
  <c r="G158" i="23"/>
  <c r="D19" i="2"/>
  <c r="C16" i="27"/>
  <c r="I41" i="27"/>
  <c r="D18" i="5"/>
  <c r="L18" i="31"/>
  <c r="D49" i="36"/>
  <c r="D28" i="2"/>
  <c r="J27" i="9"/>
  <c r="I37" i="39"/>
  <c r="I40" i="39"/>
  <c r="I42" i="39"/>
  <c r="C15" i="39"/>
  <c r="C17" i="39"/>
  <c r="F158" i="23"/>
  <c r="I37" i="30"/>
  <c r="H49" i="18"/>
  <c r="J16" i="31"/>
  <c r="O85" i="23"/>
  <c r="O77" i="23"/>
  <c r="G15" i="40"/>
  <c r="G17" i="40"/>
  <c r="D48" i="36"/>
  <c r="I45" i="36"/>
  <c r="I45" i="18"/>
  <c r="O67" i="23"/>
  <c r="O75" i="23"/>
  <c r="O48" i="23"/>
  <c r="D36" i="2"/>
  <c r="G42" i="30"/>
  <c r="H17" i="30"/>
  <c r="I48" i="36"/>
  <c r="K70" i="31"/>
  <c r="L27" i="31"/>
  <c r="G17" i="29"/>
  <c r="I48" i="18"/>
  <c r="O158" i="23"/>
  <c r="I40" i="30"/>
  <c r="I50" i="29"/>
  <c r="L17" i="31"/>
  <c r="C17" i="30"/>
  <c r="H50" i="18"/>
  <c r="C17" i="27"/>
  <c r="D50" i="36"/>
  <c r="I49" i="36"/>
  <c r="I41" i="30"/>
  <c r="G17" i="30"/>
  <c r="I49" i="18"/>
  <c r="L16" i="31"/>
  <c r="I42" i="27"/>
  <c r="I50" i="36"/>
  <c r="I50" i="18"/>
  <c r="I42" i="30"/>
  <c r="H21" i="18"/>
  <c r="D21" i="18"/>
  <c r="F21" i="18"/>
  <c r="G21" i="36"/>
  <c r="E21" i="18"/>
  <c r="G21" i="18"/>
  <c r="C21" i="18"/>
  <c r="C21" i="36"/>
  <c r="D21" i="36"/>
  <c r="H21" i="36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0" i="39"/>
  <c r="A21" i="39"/>
  <c r="A22" i="39"/>
  <c r="A23" i="39"/>
  <c r="A24" i="39"/>
  <c r="A25" i="39"/>
  <c r="A26" i="39"/>
  <c r="A27" i="39"/>
  <c r="A28" i="39"/>
  <c r="A29" i="39"/>
  <c r="A35" i="39"/>
  <c r="A36" i="39"/>
  <c r="A37" i="39"/>
  <c r="A38" i="39"/>
  <c r="A39" i="39"/>
  <c r="A40" i="39"/>
  <c r="A41" i="39"/>
  <c r="A42" i="39"/>
  <c r="A43" i="39"/>
  <c r="A44" i="39"/>
  <c r="A45" i="39"/>
  <c r="A46" i="39"/>
  <c r="A47" i="39"/>
  <c r="A48" i="39"/>
  <c r="A49" i="39"/>
  <c r="A50" i="39"/>
  <c r="A51" i="39"/>
  <c r="A52" i="39"/>
  <c r="A53" i="39"/>
  <c r="A54" i="39"/>
  <c r="E20" i="2"/>
  <c r="E21" i="2"/>
  <c r="J22" i="6"/>
  <c r="J23" i="6"/>
  <c r="J24" i="6"/>
  <c r="J25" i="6"/>
  <c r="J33" i="6"/>
  <c r="J34" i="6"/>
  <c r="J35" i="6"/>
  <c r="J36" i="6"/>
  <c r="J37" i="6"/>
  <c r="J38" i="6"/>
  <c r="J43" i="6"/>
  <c r="J44" i="6"/>
  <c r="J45" i="6"/>
  <c r="J46" i="6"/>
  <c r="J47" i="6"/>
  <c r="A20" i="31"/>
  <c r="A27" i="31"/>
  <c r="A28" i="31"/>
  <c r="A29" i="31"/>
  <c r="A30" i="31"/>
  <c r="A31" i="31"/>
  <c r="A32" i="31"/>
  <c r="A33" i="31"/>
  <c r="A43" i="31"/>
  <c r="A44" i="31"/>
  <c r="A45" i="31"/>
  <c r="A46" i="31"/>
  <c r="A47" i="31"/>
  <c r="A48" i="31"/>
  <c r="A20" i="9"/>
  <c r="A26" i="9"/>
  <c r="A27" i="9"/>
  <c r="A28" i="9"/>
  <c r="A29" i="9"/>
  <c r="A30" i="9"/>
  <c r="A31" i="9"/>
  <c r="A32" i="9"/>
  <c r="A33" i="9"/>
  <c r="A43" i="9"/>
  <c r="A44" i="9"/>
  <c r="A45" i="9"/>
  <c r="A46" i="9"/>
  <c r="A47" i="9"/>
  <c r="A48" i="9"/>
  <c r="A52" i="9"/>
  <c r="A53" i="9"/>
  <c r="A54" i="9"/>
  <c r="A55" i="9"/>
  <c r="A66" i="9"/>
  <c r="A67" i="9"/>
  <c r="A68" i="9"/>
  <c r="A69" i="9"/>
  <c r="A70" i="9"/>
  <c r="A71" i="9"/>
  <c r="A72" i="9"/>
  <c r="A73" i="9"/>
  <c r="K20" i="5"/>
  <c r="E21" i="36"/>
  <c r="F21" i="36"/>
  <c r="Q20" i="42"/>
  <c r="Q21" i="42"/>
  <c r="Q22" i="42"/>
  <c r="Q23" i="42"/>
  <c r="Q24" i="42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A51" i="36"/>
  <c r="A52" i="36"/>
  <c r="A53" i="36"/>
  <c r="A54" i="36"/>
  <c r="A55" i="36"/>
  <c r="A56" i="36"/>
  <c r="A57" i="36"/>
  <c r="A58" i="36"/>
  <c r="A59" i="36"/>
  <c r="A60" i="36"/>
  <c r="A61" i="36"/>
  <c r="A62" i="36"/>
  <c r="K20" i="9"/>
  <c r="K28" i="9"/>
  <c r="K29" i="9"/>
  <c r="K30" i="9"/>
  <c r="K31" i="9"/>
  <c r="K32" i="9"/>
  <c r="K33" i="9"/>
  <c r="K43" i="9"/>
  <c r="K44" i="9"/>
  <c r="K45" i="9"/>
  <c r="K46" i="9"/>
  <c r="K47" i="9"/>
  <c r="K48" i="9"/>
  <c r="K53" i="9"/>
  <c r="K54" i="9"/>
  <c r="K55" i="9"/>
  <c r="K66" i="9"/>
  <c r="K67" i="9"/>
  <c r="K68" i="9"/>
  <c r="K69" i="9"/>
  <c r="K70" i="9"/>
  <c r="K71" i="9"/>
  <c r="K72" i="9"/>
  <c r="K73" i="9"/>
  <c r="O20" i="1"/>
  <c r="O21" i="1"/>
  <c r="O22" i="1"/>
  <c r="O23" i="1"/>
  <c r="O30" i="1"/>
  <c r="O31" i="1"/>
  <c r="O32" i="1"/>
  <c r="O33" i="1"/>
  <c r="O34" i="1"/>
  <c r="O35" i="1"/>
  <c r="O36" i="1"/>
  <c r="O37" i="1"/>
  <c r="O38" i="1"/>
  <c r="A20" i="29"/>
  <c r="A21" i="29"/>
  <c r="A22" i="29"/>
  <c r="A23" i="29"/>
  <c r="A24" i="29"/>
  <c r="A25" i="29"/>
  <c r="A26" i="29"/>
  <c r="A27" i="29"/>
  <c r="A28" i="29"/>
  <c r="A29" i="29"/>
  <c r="A30" i="29"/>
  <c r="A31" i="29"/>
  <c r="A32" i="29"/>
  <c r="A33" i="29"/>
  <c r="A34" i="29"/>
  <c r="A35" i="29"/>
  <c r="A36" i="29"/>
  <c r="A37" i="29"/>
  <c r="A43" i="29"/>
  <c r="A44" i="29"/>
  <c r="A45" i="29"/>
  <c r="A46" i="29"/>
  <c r="A47" i="29"/>
  <c r="A48" i="29"/>
  <c r="A49" i="29"/>
  <c r="A50" i="29"/>
  <c r="A51" i="29"/>
  <c r="A52" i="29"/>
  <c r="A53" i="29"/>
  <c r="A54" i="29"/>
  <c r="A55" i="29"/>
  <c r="A56" i="29"/>
  <c r="A57" i="29"/>
  <c r="A58" i="29"/>
  <c r="A59" i="29"/>
  <c r="A60" i="29"/>
  <c r="A61" i="29"/>
  <c r="A62" i="29"/>
  <c r="A63" i="29"/>
  <c r="A64" i="29"/>
  <c r="A65" i="29"/>
  <c r="A66" i="29"/>
  <c r="A67" i="29"/>
  <c r="A68" i="29"/>
  <c r="A69" i="29"/>
  <c r="A70" i="29"/>
  <c r="K20" i="27"/>
  <c r="K21" i="27"/>
  <c r="K22" i="27"/>
  <c r="K23" i="27"/>
  <c r="K24" i="27"/>
  <c r="K25" i="27"/>
  <c r="K26" i="27"/>
  <c r="K27" i="27"/>
  <c r="K28" i="27"/>
  <c r="K29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M20" i="31"/>
  <c r="M28" i="31"/>
  <c r="M29" i="31"/>
  <c r="M30" i="31"/>
  <c r="M31" i="31"/>
  <c r="M32" i="31"/>
  <c r="M33" i="31"/>
  <c r="M43" i="31"/>
  <c r="M44" i="31"/>
  <c r="M45" i="31"/>
  <c r="M46" i="31"/>
  <c r="M47" i="31"/>
  <c r="M48" i="31"/>
  <c r="A20" i="27"/>
  <c r="A21" i="27"/>
  <c r="A22" i="27"/>
  <c r="A23" i="27"/>
  <c r="A24" i="27"/>
  <c r="A25" i="27"/>
  <c r="A26" i="27"/>
  <c r="A27" i="27"/>
  <c r="A28" i="27"/>
  <c r="A29" i="27"/>
  <c r="A35" i="27"/>
  <c r="A36" i="27"/>
  <c r="A37" i="27"/>
  <c r="A38" i="27"/>
  <c r="A39" i="27"/>
  <c r="A40" i="27"/>
  <c r="A41" i="27"/>
  <c r="A42" i="27"/>
  <c r="A43" i="27"/>
  <c r="A44" i="27"/>
  <c r="A45" i="27"/>
  <c r="A46" i="27"/>
  <c r="A47" i="27"/>
  <c r="A48" i="27"/>
  <c r="A49" i="27"/>
  <c r="A50" i="27"/>
  <c r="A51" i="27"/>
  <c r="A52" i="27"/>
  <c r="A53" i="27"/>
  <c r="A54" i="27"/>
  <c r="A20" i="19"/>
  <c r="A21" i="19"/>
  <c r="A22" i="19"/>
  <c r="A23" i="19"/>
  <c r="A24" i="19"/>
  <c r="A25" i="19"/>
  <c r="A26" i="19"/>
  <c r="A27" i="19"/>
  <c r="A28" i="19"/>
  <c r="A29" i="19"/>
  <c r="A30" i="19"/>
  <c r="A31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43" i="5"/>
  <c r="A44" i="5"/>
  <c r="A45" i="5"/>
  <c r="A46" i="5"/>
  <c r="A47" i="5"/>
  <c r="A48" i="5"/>
  <c r="A20" i="2"/>
  <c r="A21" i="2"/>
  <c r="K20" i="19"/>
  <c r="K21" i="19"/>
  <c r="K22" i="19"/>
  <c r="K23" i="19"/>
  <c r="K24" i="19"/>
  <c r="K25" i="19"/>
  <c r="K26" i="19"/>
  <c r="K27" i="19"/>
  <c r="K28" i="19"/>
  <c r="K29" i="19"/>
  <c r="K30" i="19"/>
  <c r="K31" i="19"/>
  <c r="K37" i="19"/>
  <c r="K38" i="19"/>
  <c r="K39" i="19"/>
  <c r="K40" i="19"/>
  <c r="K41" i="19"/>
  <c r="K42" i="19"/>
  <c r="K43" i="19"/>
  <c r="K44" i="19"/>
  <c r="K45" i="19"/>
  <c r="K46" i="19"/>
  <c r="K47" i="19"/>
  <c r="K48" i="19"/>
  <c r="K49" i="19"/>
  <c r="K50" i="19"/>
  <c r="K51" i="19"/>
  <c r="K52" i="19"/>
  <c r="K53" i="19"/>
  <c r="K54" i="19"/>
  <c r="K55" i="19"/>
  <c r="K56" i="19"/>
  <c r="K57" i="19"/>
  <c r="K58" i="19"/>
  <c r="A20" i="1"/>
  <c r="A21" i="1"/>
  <c r="A22" i="1"/>
  <c r="A23" i="1"/>
  <c r="A29" i="1"/>
  <c r="A30" i="1"/>
  <c r="A31" i="1"/>
  <c r="A32" i="1"/>
  <c r="A33" i="1"/>
  <c r="A34" i="1"/>
  <c r="A35" i="1"/>
  <c r="A36" i="1"/>
  <c r="A37" i="1"/>
  <c r="A38" i="1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45" i="23"/>
  <c r="P46" i="23"/>
  <c r="P47" i="23"/>
  <c r="P48" i="23"/>
  <c r="P49" i="23"/>
  <c r="P50" i="23"/>
  <c r="P51" i="23"/>
  <c r="P52" i="23"/>
  <c r="P53" i="23"/>
  <c r="P54" i="23"/>
  <c r="P55" i="23"/>
  <c r="P56" i="23"/>
  <c r="P57" i="23"/>
  <c r="P58" i="23"/>
  <c r="P59" i="23"/>
  <c r="P60" i="23"/>
  <c r="P61" i="23"/>
  <c r="P62" i="23"/>
  <c r="P63" i="23"/>
  <c r="P64" i="23"/>
  <c r="P65" i="23"/>
  <c r="P66" i="23"/>
  <c r="P67" i="23"/>
  <c r="P68" i="23"/>
  <c r="P69" i="23"/>
  <c r="P70" i="23"/>
  <c r="P71" i="23"/>
  <c r="P72" i="23"/>
  <c r="P73" i="23"/>
  <c r="P74" i="23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K39" i="36"/>
  <c r="K40" i="36"/>
  <c r="K41" i="36"/>
  <c r="K42" i="36"/>
  <c r="K43" i="36"/>
  <c r="K44" i="36"/>
  <c r="K45" i="36"/>
  <c r="K46" i="36"/>
  <c r="K47" i="36"/>
  <c r="K48" i="36"/>
  <c r="K49" i="36"/>
  <c r="K50" i="36"/>
  <c r="K51" i="36"/>
  <c r="K52" i="36"/>
  <c r="K53" i="36"/>
  <c r="K54" i="36"/>
  <c r="K55" i="36"/>
  <c r="K56" i="36"/>
  <c r="K57" i="36"/>
  <c r="K58" i="36"/>
  <c r="K59" i="36"/>
  <c r="K60" i="36"/>
  <c r="K61" i="36"/>
  <c r="K62" i="36"/>
  <c r="K20" i="29"/>
  <c r="K21" i="29"/>
  <c r="K22" i="29"/>
  <c r="K23" i="29"/>
  <c r="K24" i="29"/>
  <c r="K25" i="29"/>
  <c r="K26" i="29"/>
  <c r="K27" i="29"/>
  <c r="K28" i="29"/>
  <c r="K29" i="29"/>
  <c r="K30" i="29"/>
  <c r="K31" i="29"/>
  <c r="K32" i="29"/>
  <c r="K33" i="29"/>
  <c r="K34" i="29"/>
  <c r="K35" i="29"/>
  <c r="K36" i="29"/>
  <c r="K37" i="29"/>
  <c r="K43" i="29"/>
  <c r="K44" i="29"/>
  <c r="K45" i="29"/>
  <c r="K46" i="29"/>
  <c r="K47" i="29"/>
  <c r="K48" i="29"/>
  <c r="K49" i="29"/>
  <c r="K50" i="29"/>
  <c r="K51" i="29"/>
  <c r="K52" i="29"/>
  <c r="K53" i="29"/>
  <c r="K54" i="29"/>
  <c r="K55" i="29"/>
  <c r="K56" i="29"/>
  <c r="K57" i="29"/>
  <c r="K58" i="29"/>
  <c r="K59" i="29"/>
  <c r="K60" i="29"/>
  <c r="K61" i="29"/>
  <c r="K62" i="29"/>
  <c r="K63" i="29"/>
  <c r="K64" i="29"/>
  <c r="K65" i="29"/>
  <c r="K66" i="29"/>
  <c r="K67" i="29"/>
  <c r="K68" i="29"/>
  <c r="K69" i="29"/>
  <c r="K70" i="29"/>
  <c r="K20" i="30"/>
  <c r="K21" i="30"/>
  <c r="K22" i="30"/>
  <c r="K23" i="30"/>
  <c r="K24" i="30"/>
  <c r="K25" i="30"/>
  <c r="K26" i="30"/>
  <c r="K27" i="30"/>
  <c r="K28" i="30"/>
  <c r="K29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53" i="23"/>
  <c r="A54" i="23"/>
  <c r="A55" i="23"/>
  <c r="A56" i="23"/>
  <c r="A57" i="23"/>
  <c r="A58" i="23"/>
  <c r="A59" i="23"/>
  <c r="A60" i="23"/>
  <c r="A61" i="23"/>
  <c r="A62" i="23"/>
  <c r="A63" i="23"/>
  <c r="A64" i="23"/>
  <c r="A65" i="23"/>
  <c r="A66" i="23"/>
  <c r="A67" i="23"/>
  <c r="A68" i="23"/>
  <c r="A69" i="23"/>
  <c r="A70" i="23"/>
  <c r="A71" i="23"/>
  <c r="A72" i="23"/>
  <c r="A73" i="23"/>
  <c r="A74" i="23"/>
  <c r="A20" i="7"/>
  <c r="A21" i="7"/>
  <c r="A22" i="7"/>
  <c r="A23" i="7"/>
  <c r="A30" i="7"/>
  <c r="A31" i="7"/>
  <c r="A32" i="7"/>
  <c r="A33" i="7"/>
  <c r="A34" i="7"/>
  <c r="A35" i="7"/>
  <c r="A36" i="7"/>
  <c r="A37" i="7"/>
  <c r="A38" i="7"/>
  <c r="A20" i="40"/>
  <c r="A21" i="40"/>
  <c r="A22" i="40"/>
  <c r="A23" i="40"/>
  <c r="A24" i="40"/>
  <c r="A25" i="40"/>
  <c r="A26" i="40"/>
  <c r="A27" i="40"/>
  <c r="A28" i="40"/>
  <c r="A29" i="40"/>
  <c r="A30" i="40"/>
  <c r="A31" i="40"/>
  <c r="A32" i="40"/>
  <c r="A33" i="40"/>
  <c r="A34" i="40"/>
  <c r="A35" i="40"/>
  <c r="A36" i="40"/>
  <c r="A37" i="40"/>
  <c r="A43" i="40"/>
  <c r="A44" i="40"/>
  <c r="A45" i="40"/>
  <c r="A46" i="40"/>
  <c r="A47" i="40"/>
  <c r="A48" i="40"/>
  <c r="A49" i="40"/>
  <c r="A50" i="40"/>
  <c r="A51" i="40"/>
  <c r="A52" i="40"/>
  <c r="A53" i="40"/>
  <c r="A54" i="40"/>
  <c r="A55" i="40"/>
  <c r="A56" i="40"/>
  <c r="A57" i="40"/>
  <c r="A58" i="40"/>
  <c r="A59" i="40"/>
  <c r="A60" i="40"/>
  <c r="A61" i="40"/>
  <c r="A62" i="40"/>
  <c r="A63" i="40"/>
  <c r="A64" i="40"/>
  <c r="A65" i="40"/>
  <c r="A66" i="40"/>
  <c r="A67" i="40"/>
  <c r="A68" i="40"/>
  <c r="A69" i="40"/>
  <c r="A70" i="40"/>
  <c r="A20" i="30"/>
  <c r="A21" i="30"/>
  <c r="A22" i="30"/>
  <c r="A23" i="30"/>
  <c r="A24" i="30"/>
  <c r="A25" i="30"/>
  <c r="A26" i="30"/>
  <c r="A27" i="30"/>
  <c r="A28" i="30"/>
  <c r="A29" i="30"/>
  <c r="A35" i="30"/>
  <c r="A36" i="30"/>
  <c r="A37" i="30"/>
  <c r="A38" i="30"/>
  <c r="A39" i="30"/>
  <c r="A40" i="30"/>
  <c r="A41" i="30"/>
  <c r="A42" i="30"/>
  <c r="A43" i="30"/>
  <c r="A44" i="30"/>
  <c r="A45" i="30"/>
  <c r="A46" i="30"/>
  <c r="A47" i="30"/>
  <c r="A48" i="30"/>
  <c r="A49" i="30"/>
  <c r="A50" i="30"/>
  <c r="A51" i="30"/>
  <c r="A52" i="30"/>
  <c r="A53" i="30"/>
  <c r="A54" i="30"/>
  <c r="K20" i="39"/>
  <c r="K21" i="39"/>
  <c r="K22" i="39"/>
  <c r="K23" i="39"/>
  <c r="K24" i="39"/>
  <c r="K25" i="39"/>
  <c r="K26" i="39"/>
  <c r="K27" i="39"/>
  <c r="K28" i="39"/>
  <c r="K29" i="39"/>
  <c r="K35" i="39"/>
  <c r="K36" i="39"/>
  <c r="K37" i="39"/>
  <c r="K38" i="39"/>
  <c r="K39" i="39"/>
  <c r="K40" i="39"/>
  <c r="K41" i="39"/>
  <c r="K42" i="39"/>
  <c r="K43" i="39"/>
  <c r="K44" i="39"/>
  <c r="K45" i="39"/>
  <c r="K46" i="39"/>
  <c r="K47" i="39"/>
  <c r="K48" i="39"/>
  <c r="K49" i="39"/>
  <c r="K50" i="39"/>
  <c r="K51" i="39"/>
  <c r="K52" i="39"/>
  <c r="K53" i="39"/>
  <c r="K54" i="39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A22" i="6"/>
  <c r="A23" i="6"/>
  <c r="A24" i="6"/>
  <c r="A25" i="6"/>
  <c r="A33" i="6"/>
  <c r="A34" i="6"/>
  <c r="A35" i="6"/>
  <c r="A36" i="6"/>
  <c r="A37" i="6"/>
  <c r="A38" i="6"/>
  <c r="A43" i="6"/>
  <c r="A44" i="6"/>
  <c r="A45" i="6"/>
  <c r="A46" i="6"/>
  <c r="A47" i="6"/>
  <c r="O20" i="7"/>
  <c r="O21" i="7"/>
  <c r="O22" i="7"/>
  <c r="O23" i="7"/>
  <c r="O34" i="7"/>
  <c r="O35" i="7"/>
  <c r="O36" i="7"/>
  <c r="O37" i="7"/>
  <c r="O38" i="7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43" i="40"/>
  <c r="K44" i="40"/>
  <c r="K45" i="40"/>
  <c r="K46" i="40"/>
  <c r="K47" i="40"/>
  <c r="K48" i="40"/>
  <c r="K49" i="40"/>
  <c r="K50" i="40"/>
  <c r="K51" i="40"/>
  <c r="K52" i="40"/>
  <c r="K53" i="40"/>
  <c r="K54" i="40"/>
  <c r="K55" i="40"/>
  <c r="K56" i="40"/>
  <c r="K57" i="40"/>
  <c r="K58" i="40"/>
  <c r="K59" i="40"/>
  <c r="K60" i="40"/>
  <c r="K61" i="40"/>
  <c r="K62" i="40"/>
  <c r="K63" i="40"/>
  <c r="K64" i="40"/>
  <c r="K65" i="40"/>
  <c r="K66" i="40"/>
  <c r="K67" i="40"/>
  <c r="K68" i="40"/>
  <c r="K69" i="40"/>
  <c r="K70" i="40"/>
  <c r="A20" i="42"/>
  <c r="A21" i="42"/>
  <c r="A22" i="42"/>
  <c r="A23" i="42"/>
  <c r="A24" i="42"/>
  <c r="A20" i="25"/>
  <c r="A21" i="25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66" i="5"/>
  <c r="K67" i="5"/>
  <c r="K68" i="5"/>
  <c r="K69" i="5"/>
  <c r="K70" i="5"/>
  <c r="K71" i="5"/>
  <c r="K72" i="5"/>
  <c r="K73" i="5"/>
  <c r="A49" i="5"/>
  <c r="A50" i="5"/>
  <c r="A51" i="5"/>
  <c r="A52" i="5"/>
  <c r="A53" i="5"/>
  <c r="A54" i="5"/>
  <c r="A55" i="5"/>
  <c r="A66" i="5"/>
  <c r="A67" i="5"/>
  <c r="A68" i="5"/>
  <c r="A69" i="5"/>
  <c r="A70" i="5"/>
  <c r="A71" i="5"/>
  <c r="A72" i="5"/>
  <c r="A73" i="5"/>
  <c r="A49" i="31"/>
  <c r="A50" i="31"/>
  <c r="A51" i="31"/>
  <c r="A52" i="31"/>
  <c r="A53" i="31"/>
  <c r="A54" i="31"/>
  <c r="A55" i="31"/>
  <c r="A66" i="31"/>
  <c r="A67" i="31"/>
  <c r="A68" i="31"/>
  <c r="A69" i="31"/>
  <c r="A70" i="31"/>
  <c r="A71" i="31"/>
  <c r="A72" i="31"/>
  <c r="A73" i="31"/>
  <c r="M52" i="31"/>
  <c r="M53" i="31"/>
  <c r="M54" i="31"/>
  <c r="M55" i="31"/>
  <c r="M66" i="31"/>
  <c r="M67" i="31"/>
  <c r="M68" i="31"/>
  <c r="M69" i="31"/>
  <c r="M70" i="31"/>
  <c r="M71" i="31"/>
  <c r="M72" i="31"/>
  <c r="M73" i="31"/>
  <c r="M49" i="31"/>
  <c r="M50" i="31"/>
  <c r="M51" i="31"/>
  <c r="M38" i="1"/>
  <c r="K38" i="1"/>
  <c r="I38" i="1"/>
  <c r="G38" i="1"/>
  <c r="E38" i="1"/>
  <c r="C38" i="1"/>
  <c r="M38" i="7"/>
  <c r="K38" i="7"/>
  <c r="I38" i="7"/>
  <c r="G38" i="7"/>
  <c r="E38" i="7"/>
  <c r="C22" i="2"/>
  <c r="C36" i="2"/>
  <c r="C38" i="7"/>
  <c r="A75" i="23"/>
  <c r="A76" i="23"/>
  <c r="A77" i="23"/>
  <c r="A78" i="23"/>
  <c r="A79" i="23"/>
  <c r="A80" i="23"/>
  <c r="A81" i="23"/>
  <c r="A82" i="23"/>
  <c r="A83" i="23"/>
  <c r="A84" i="23"/>
  <c r="A85" i="23"/>
  <c r="A86" i="23"/>
  <c r="A87" i="23"/>
  <c r="A88" i="23"/>
  <c r="A89" i="23"/>
  <c r="A90" i="23"/>
  <c r="A91" i="23"/>
  <c r="A92" i="23"/>
  <c r="A93" i="23"/>
  <c r="A94" i="23"/>
  <c r="A95" i="23"/>
  <c r="A96" i="23"/>
  <c r="A97" i="23"/>
  <c r="A98" i="23"/>
  <c r="A99" i="23"/>
  <c r="A100" i="23"/>
  <c r="A101" i="23"/>
  <c r="A102" i="23"/>
  <c r="A103" i="23"/>
  <c r="A104" i="23"/>
  <c r="A105" i="23"/>
  <c r="A106" i="23"/>
  <c r="A107" i="23"/>
  <c r="A108" i="23"/>
  <c r="A109" i="23"/>
  <c r="A110" i="23"/>
  <c r="A111" i="23"/>
  <c r="A112" i="23"/>
  <c r="A113" i="23"/>
  <c r="A114" i="23"/>
  <c r="A115" i="23"/>
  <c r="A116" i="23"/>
  <c r="A117" i="23"/>
  <c r="A118" i="23"/>
  <c r="A119" i="23"/>
  <c r="A120" i="23"/>
  <c r="A121" i="23"/>
  <c r="A122" i="23"/>
  <c r="A123" i="23"/>
  <c r="A124" i="23"/>
  <c r="A125" i="23"/>
  <c r="A126" i="23"/>
  <c r="A127" i="23"/>
  <c r="A128" i="23"/>
  <c r="A129" i="23"/>
  <c r="A130" i="23"/>
  <c r="A131" i="23"/>
  <c r="A132" i="23"/>
  <c r="A133" i="23"/>
  <c r="A134" i="23"/>
  <c r="A135" i="23"/>
  <c r="A136" i="23"/>
  <c r="A137" i="23"/>
  <c r="A138" i="23"/>
  <c r="A139" i="23"/>
  <c r="A140" i="23"/>
  <c r="A141" i="23"/>
  <c r="A142" i="23"/>
  <c r="A143" i="23"/>
  <c r="A144" i="23"/>
  <c r="A145" i="23"/>
  <c r="A146" i="23"/>
  <c r="A147" i="23"/>
  <c r="A148" i="23"/>
  <c r="A149" i="23"/>
  <c r="A150" i="23"/>
  <c r="A151" i="23"/>
  <c r="A152" i="23"/>
  <c r="A153" i="23"/>
  <c r="A154" i="23"/>
  <c r="A155" i="23"/>
  <c r="A156" i="23"/>
  <c r="A157" i="23"/>
  <c r="A158" i="23"/>
  <c r="A159" i="23"/>
  <c r="A160" i="23"/>
  <c r="A161" i="23"/>
  <c r="A162" i="23"/>
  <c r="A163" i="23"/>
  <c r="A164" i="23"/>
  <c r="A165" i="23"/>
  <c r="A166" i="23"/>
  <c r="A167" i="23"/>
  <c r="A168" i="23"/>
  <c r="A169" i="23"/>
  <c r="A170" i="23"/>
  <c r="A171" i="23"/>
  <c r="A172" i="23"/>
  <c r="A173" i="23"/>
  <c r="A174" i="23"/>
  <c r="A175" i="23"/>
  <c r="A176" i="23"/>
  <c r="A177" i="23"/>
  <c r="A178" i="23"/>
  <c r="A179" i="23"/>
  <c r="A180" i="23"/>
  <c r="A181" i="23"/>
  <c r="A182" i="23"/>
  <c r="A183" i="23"/>
  <c r="A184" i="23"/>
  <c r="A185" i="23"/>
  <c r="A186" i="23"/>
  <c r="A187" i="23"/>
  <c r="A188" i="23"/>
  <c r="A189" i="23"/>
  <c r="A190" i="23"/>
  <c r="A191" i="23"/>
  <c r="A192" i="23"/>
  <c r="A193" i="23"/>
  <c r="A194" i="23"/>
  <c r="A195" i="23"/>
  <c r="A196" i="23"/>
  <c r="A197" i="23"/>
  <c r="A198" i="23"/>
  <c r="A199" i="23"/>
  <c r="A200" i="23"/>
  <c r="A201" i="23"/>
  <c r="A202" i="23"/>
  <c r="A203" i="23"/>
  <c r="A204" i="23"/>
  <c r="A205" i="23"/>
  <c r="A206" i="23"/>
  <c r="A207" i="23"/>
  <c r="A208" i="23"/>
  <c r="A209" i="23"/>
  <c r="A210" i="23"/>
  <c r="A211" i="23"/>
  <c r="A212" i="23"/>
  <c r="A213" i="23"/>
  <c r="A214" i="23"/>
  <c r="A215" i="23"/>
  <c r="P75" i="23"/>
  <c r="P76" i="23"/>
  <c r="P77" i="23"/>
  <c r="P78" i="23"/>
  <c r="P79" i="23"/>
  <c r="P80" i="23"/>
  <c r="P81" i="23"/>
  <c r="P82" i="23"/>
  <c r="P83" i="23"/>
  <c r="P84" i="23"/>
  <c r="P85" i="23"/>
  <c r="P86" i="23"/>
  <c r="P87" i="23"/>
  <c r="P88" i="23"/>
  <c r="P89" i="23"/>
  <c r="P90" i="23"/>
  <c r="P91" i="23"/>
  <c r="P92" i="23"/>
  <c r="P93" i="23"/>
  <c r="P94" i="23"/>
  <c r="P95" i="23"/>
  <c r="P96" i="23"/>
  <c r="P97" i="23"/>
  <c r="P98" i="23"/>
  <c r="P99" i="23"/>
  <c r="P100" i="23"/>
  <c r="P101" i="23"/>
  <c r="P102" i="23"/>
  <c r="P103" i="23"/>
  <c r="P104" i="23"/>
  <c r="P105" i="23"/>
  <c r="P106" i="23"/>
  <c r="P107" i="23"/>
  <c r="P108" i="23"/>
  <c r="P109" i="23"/>
  <c r="P110" i="23"/>
  <c r="P111" i="23"/>
  <c r="P112" i="23"/>
  <c r="P113" i="23"/>
  <c r="P114" i="23"/>
  <c r="P115" i="23"/>
  <c r="P116" i="23"/>
  <c r="P117" i="23"/>
  <c r="P118" i="23"/>
  <c r="P119" i="23"/>
  <c r="P120" i="23"/>
  <c r="P121" i="23"/>
  <c r="P122" i="23"/>
  <c r="P123" i="23"/>
  <c r="P124" i="23"/>
  <c r="P125" i="23"/>
  <c r="P126" i="23"/>
  <c r="P127" i="23"/>
  <c r="P128" i="23"/>
  <c r="P129" i="23"/>
  <c r="P130" i="23"/>
  <c r="P131" i="23"/>
  <c r="P132" i="23"/>
  <c r="P133" i="23"/>
  <c r="P134" i="23"/>
  <c r="P135" i="23"/>
  <c r="P136" i="23"/>
  <c r="P137" i="23"/>
  <c r="P138" i="23"/>
  <c r="P139" i="23"/>
  <c r="P140" i="23"/>
  <c r="P141" i="23"/>
  <c r="P142" i="23"/>
  <c r="P143" i="23"/>
  <c r="P144" i="23"/>
  <c r="P145" i="23"/>
  <c r="P146" i="23"/>
  <c r="P147" i="23"/>
  <c r="P148" i="23"/>
  <c r="P149" i="23"/>
  <c r="P150" i="23"/>
  <c r="P151" i="23"/>
  <c r="P152" i="23"/>
  <c r="P153" i="23"/>
  <c r="P154" i="23"/>
  <c r="P155" i="23"/>
  <c r="P156" i="23"/>
  <c r="P157" i="23"/>
  <c r="P158" i="23"/>
  <c r="P159" i="23"/>
  <c r="P160" i="23"/>
  <c r="P161" i="23"/>
  <c r="P162" i="23"/>
  <c r="P163" i="23"/>
  <c r="P164" i="23"/>
  <c r="P165" i="23"/>
  <c r="P166" i="23"/>
  <c r="P167" i="23"/>
  <c r="P168" i="23"/>
  <c r="P169" i="23"/>
  <c r="P170" i="23"/>
  <c r="P171" i="23"/>
  <c r="P172" i="23"/>
  <c r="P173" i="23"/>
  <c r="P174" i="23"/>
  <c r="P175" i="23"/>
  <c r="P176" i="23"/>
  <c r="P177" i="23"/>
  <c r="P178" i="23"/>
  <c r="P179" i="23"/>
  <c r="P180" i="23"/>
  <c r="P181" i="23"/>
  <c r="P182" i="23"/>
  <c r="P183" i="23"/>
  <c r="P184" i="23"/>
  <c r="P185" i="23"/>
  <c r="P186" i="23"/>
  <c r="P187" i="23"/>
  <c r="P188" i="23"/>
  <c r="P189" i="23"/>
  <c r="P190" i="23"/>
  <c r="P191" i="23"/>
  <c r="P192" i="23"/>
  <c r="P193" i="23"/>
  <c r="P194" i="23"/>
  <c r="P195" i="23"/>
  <c r="P196" i="23"/>
  <c r="P197" i="23"/>
  <c r="P198" i="23"/>
  <c r="P199" i="23"/>
  <c r="P200" i="23"/>
  <c r="P201" i="23"/>
  <c r="P202" i="23"/>
  <c r="P203" i="23"/>
  <c r="P204" i="23"/>
  <c r="P205" i="23"/>
  <c r="P206" i="23"/>
  <c r="P207" i="23"/>
  <c r="P208" i="23"/>
  <c r="P209" i="23"/>
  <c r="P210" i="23"/>
  <c r="P211" i="23"/>
  <c r="P212" i="23"/>
  <c r="P213" i="23"/>
  <c r="P214" i="23"/>
  <c r="P215" i="23"/>
  <c r="A75" i="31"/>
  <c r="A76" i="31"/>
  <c r="A77" i="31"/>
  <c r="A78" i="31"/>
  <c r="A79" i="31"/>
  <c r="A80" i="31"/>
  <c r="A81" i="31"/>
  <c r="A82" i="31"/>
  <c r="A83" i="31"/>
  <c r="A84" i="31"/>
  <c r="A85" i="31"/>
  <c r="A86" i="31"/>
  <c r="A87" i="31"/>
  <c r="A88" i="31"/>
  <c r="A89" i="31"/>
  <c r="A90" i="31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M75" i="31"/>
  <c r="M76" i="31"/>
  <c r="M77" i="31"/>
  <c r="M78" i="31"/>
  <c r="M79" i="31"/>
  <c r="M80" i="31"/>
  <c r="M81" i="31"/>
  <c r="M82" i="31"/>
  <c r="M83" i="31"/>
  <c r="M84" i="31"/>
  <c r="M85" i="31"/>
  <c r="M86" i="31"/>
  <c r="M87" i="31"/>
  <c r="M88" i="31"/>
  <c r="M89" i="31"/>
  <c r="M90" i="31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A25" i="25"/>
  <c r="A26" i="25"/>
  <c r="A27" i="25"/>
  <c r="A28" i="25"/>
  <c r="A29" i="25"/>
  <c r="A30" i="25"/>
  <c r="A31" i="25"/>
  <c r="A32" i="25"/>
  <c r="A33" i="25"/>
  <c r="A34" i="25"/>
  <c r="A35" i="25"/>
  <c r="A36" i="25"/>
  <c r="A37" i="25"/>
  <c r="A38" i="25"/>
  <c r="A39" i="25"/>
  <c r="A40" i="25"/>
  <c r="C14" i="32"/>
  <c r="C12" i="32"/>
  <c r="D12" i="32"/>
  <c r="E12" i="32"/>
  <c r="F12" i="32"/>
  <c r="C45" i="5"/>
  <c r="C45" i="9"/>
  <c r="C68" i="5"/>
  <c r="E45" i="5"/>
  <c r="C45" i="31"/>
  <c r="E45" i="31"/>
  <c r="C68" i="31"/>
  <c r="E35" i="6"/>
  <c r="C13" i="6"/>
  <c r="G45" i="5"/>
  <c r="E68" i="5"/>
  <c r="D13" i="6"/>
  <c r="C68" i="9"/>
  <c r="G13" i="6"/>
  <c r="E45" i="9"/>
  <c r="G45" i="9"/>
  <c r="E68" i="9"/>
  <c r="H13" i="6"/>
  <c r="I45" i="5"/>
  <c r="I68" i="5"/>
  <c r="F13" i="6"/>
  <c r="G68" i="5"/>
  <c r="E13" i="6"/>
  <c r="E68" i="31"/>
  <c r="F35" i="6"/>
  <c r="G45" i="31"/>
  <c r="I45" i="31"/>
  <c r="I68" i="31"/>
  <c r="H35" i="6"/>
  <c r="G68" i="31"/>
  <c r="G35" i="6"/>
  <c r="G68" i="9"/>
  <c r="I45" i="9"/>
  <c r="I68" i="9"/>
  <c r="D35" i="6"/>
  <c r="C35" i="6"/>
  <c r="I35" i="6"/>
  <c r="C16" i="25"/>
  <c r="K68" i="31"/>
  <c r="C20" i="43"/>
  <c r="C23" i="43"/>
  <c r="D20" i="43"/>
  <c r="G53" i="43"/>
  <c r="G56" i="43"/>
  <c r="H31" i="43"/>
  <c r="C31" i="43"/>
  <c r="H77" i="31"/>
  <c r="C35" i="43"/>
  <c r="C37" i="43"/>
  <c r="D31" i="43"/>
  <c r="G64" i="43"/>
  <c r="H53" i="43"/>
  <c r="H56" i="43"/>
  <c r="D23" i="43"/>
  <c r="E20" i="43"/>
  <c r="C64" i="43"/>
  <c r="H35" i="43"/>
  <c r="F78" i="9"/>
  <c r="D77" i="5"/>
  <c r="C43" i="5"/>
  <c r="F77" i="5"/>
  <c r="E23" i="43"/>
  <c r="H77" i="5"/>
  <c r="F20" i="43"/>
  <c r="H64" i="43"/>
  <c r="H68" i="43"/>
  <c r="J78" i="31"/>
  <c r="G68" i="43"/>
  <c r="J77" i="31"/>
  <c r="D35" i="43"/>
  <c r="F78" i="5"/>
  <c r="E31" i="43"/>
  <c r="D78" i="5"/>
  <c r="C43" i="31"/>
  <c r="E43" i="5"/>
  <c r="C66" i="5"/>
  <c r="C43" i="9"/>
  <c r="D64" i="43"/>
  <c r="C68" i="43"/>
  <c r="H78" i="9"/>
  <c r="C53" i="5"/>
  <c r="C51" i="5"/>
  <c r="H70" i="43"/>
  <c r="H39" i="6"/>
  <c r="H78" i="31"/>
  <c r="G39" i="6"/>
  <c r="G70" i="43"/>
  <c r="E43" i="31"/>
  <c r="C66" i="31"/>
  <c r="E64" i="43"/>
  <c r="D68" i="43"/>
  <c r="J78" i="9"/>
  <c r="D39" i="6"/>
  <c r="C17" i="6"/>
  <c r="F23" i="43"/>
  <c r="G20" i="43"/>
  <c r="C53" i="9"/>
  <c r="E53" i="5"/>
  <c r="C84" i="5"/>
  <c r="C53" i="31"/>
  <c r="C66" i="9"/>
  <c r="G11" i="6"/>
  <c r="E43" i="9"/>
  <c r="C11" i="6"/>
  <c r="F31" i="43"/>
  <c r="E35" i="43"/>
  <c r="D37" i="43"/>
  <c r="C81" i="5"/>
  <c r="E51" i="5"/>
  <c r="E66" i="5"/>
  <c r="D11" i="6"/>
  <c r="G43" i="5"/>
  <c r="D17" i="6"/>
  <c r="C84" i="31"/>
  <c r="E43" i="6"/>
  <c r="E53" i="31"/>
  <c r="F64" i="43"/>
  <c r="F68" i="43"/>
  <c r="F78" i="31"/>
  <c r="E68" i="43"/>
  <c r="D78" i="31"/>
  <c r="E37" i="43"/>
  <c r="H78" i="5"/>
  <c r="C21" i="6"/>
  <c r="E33" i="6"/>
  <c r="E84" i="5"/>
  <c r="D21" i="6"/>
  <c r="G53" i="5"/>
  <c r="G43" i="31"/>
  <c r="E66" i="31"/>
  <c r="F35" i="43"/>
  <c r="J78" i="5"/>
  <c r="G31" i="43"/>
  <c r="G35" i="43"/>
  <c r="D78" i="9"/>
  <c r="I43" i="5"/>
  <c r="I66" i="5"/>
  <c r="G66" i="5"/>
  <c r="C88" i="5"/>
  <c r="E53" i="9"/>
  <c r="C84" i="9"/>
  <c r="G21" i="6"/>
  <c r="H20" i="43"/>
  <c r="G23" i="43"/>
  <c r="E81" i="5"/>
  <c r="G51" i="5"/>
  <c r="J77" i="5"/>
  <c r="G43" i="9"/>
  <c r="E66" i="9"/>
  <c r="F37" i="43"/>
  <c r="E88" i="5"/>
  <c r="F33" i="6"/>
  <c r="F17" i="6"/>
  <c r="E84" i="9"/>
  <c r="H21" i="6"/>
  <c r="G53" i="9"/>
  <c r="I43" i="31"/>
  <c r="I66" i="31"/>
  <c r="G66" i="31"/>
  <c r="G33" i="6"/>
  <c r="I68" i="43"/>
  <c r="I51" i="5"/>
  <c r="G81" i="5"/>
  <c r="G84" i="5"/>
  <c r="E21" i="6"/>
  <c r="I53" i="5"/>
  <c r="I84" i="5"/>
  <c r="F21" i="6"/>
  <c r="E17" i="6"/>
  <c r="L78" i="31"/>
  <c r="H11" i="6"/>
  <c r="E11" i="6"/>
  <c r="G37" i="43"/>
  <c r="D77" i="9"/>
  <c r="G17" i="6"/>
  <c r="F11" i="6"/>
  <c r="C53" i="43"/>
  <c r="H23" i="43"/>
  <c r="G53" i="31"/>
  <c r="E84" i="31"/>
  <c r="F43" i="6"/>
  <c r="I43" i="9"/>
  <c r="I66" i="9"/>
  <c r="D33" i="6"/>
  <c r="G66" i="9"/>
  <c r="C33" i="6"/>
  <c r="G88" i="5"/>
  <c r="G84" i="31"/>
  <c r="G43" i="6"/>
  <c r="I53" i="31"/>
  <c r="I84" i="31"/>
  <c r="H43" i="6"/>
  <c r="F77" i="9"/>
  <c r="H17" i="6"/>
  <c r="H37" i="43"/>
  <c r="C51" i="9"/>
  <c r="I81" i="5"/>
  <c r="D53" i="43"/>
  <c r="C56" i="43"/>
  <c r="G84" i="9"/>
  <c r="C43" i="6"/>
  <c r="I53" i="9"/>
  <c r="I84" i="9"/>
  <c r="D43" i="6"/>
  <c r="K66" i="31"/>
  <c r="H33" i="6"/>
  <c r="I33" i="6"/>
  <c r="H21" i="40"/>
  <c r="C21" i="19"/>
  <c r="C21" i="29"/>
  <c r="H21" i="29"/>
  <c r="I43" i="6"/>
  <c r="C35" i="25"/>
  <c r="C13" i="25"/>
  <c r="H77" i="9"/>
  <c r="C39" i="6"/>
  <c r="C70" i="43"/>
  <c r="E53" i="43"/>
  <c r="D56" i="43"/>
  <c r="D70" i="43"/>
  <c r="I88" i="5"/>
  <c r="D21" i="19"/>
  <c r="C26" i="19"/>
  <c r="H26" i="29"/>
  <c r="C54" i="29"/>
  <c r="E51" i="9"/>
  <c r="C81" i="9"/>
  <c r="C54" i="40"/>
  <c r="H26" i="40"/>
  <c r="C26" i="29"/>
  <c r="G54" i="29"/>
  <c r="G59" i="29"/>
  <c r="D21" i="29"/>
  <c r="K84" i="31"/>
  <c r="C21" i="40"/>
  <c r="C22" i="19"/>
  <c r="D22" i="19"/>
  <c r="C27" i="19"/>
  <c r="H54" i="29"/>
  <c r="H59" i="29"/>
  <c r="E21" i="29"/>
  <c r="D26" i="29"/>
  <c r="C59" i="29"/>
  <c r="D54" i="29"/>
  <c r="C26" i="40"/>
  <c r="D21" i="40"/>
  <c r="G54" i="40"/>
  <c r="G59" i="40"/>
  <c r="E21" i="19"/>
  <c r="D26" i="19"/>
  <c r="E81" i="9"/>
  <c r="G51" i="9"/>
  <c r="C59" i="40"/>
  <c r="D54" i="40"/>
  <c r="E56" i="43"/>
  <c r="F53" i="43"/>
  <c r="F56" i="43"/>
  <c r="C88" i="9"/>
  <c r="G81" i="9"/>
  <c r="G88" i="9"/>
  <c r="I51" i="9"/>
  <c r="E54" i="29"/>
  <c r="D59" i="29"/>
  <c r="E88" i="9"/>
  <c r="F21" i="19"/>
  <c r="E26" i="19"/>
  <c r="E26" i="29"/>
  <c r="F21" i="29"/>
  <c r="F70" i="43"/>
  <c r="F77" i="31"/>
  <c r="F39" i="6"/>
  <c r="I56" i="43"/>
  <c r="E70" i="43"/>
  <c r="D77" i="31"/>
  <c r="D59" i="40"/>
  <c r="E54" i="40"/>
  <c r="D26" i="40"/>
  <c r="H54" i="40"/>
  <c r="H59" i="40"/>
  <c r="E21" i="40"/>
  <c r="E22" i="19"/>
  <c r="D27" i="19"/>
  <c r="C20" i="19"/>
  <c r="E59" i="40"/>
  <c r="F54" i="40"/>
  <c r="F59" i="40"/>
  <c r="E27" i="19"/>
  <c r="F22" i="19"/>
  <c r="G21" i="29"/>
  <c r="G26" i="29"/>
  <c r="F26" i="29"/>
  <c r="F21" i="40"/>
  <c r="E26" i="40"/>
  <c r="E39" i="6"/>
  <c r="I39" i="6"/>
  <c r="C22" i="25"/>
  <c r="L77" i="31"/>
  <c r="D20" i="19"/>
  <c r="C25" i="19"/>
  <c r="I70" i="43"/>
  <c r="I81" i="9"/>
  <c r="C51" i="31"/>
  <c r="G21" i="19"/>
  <c r="F26" i="19"/>
  <c r="F54" i="29"/>
  <c r="F59" i="29"/>
  <c r="E59" i="29"/>
  <c r="C27" i="36"/>
  <c r="G22" i="19"/>
  <c r="F27" i="19"/>
  <c r="C32" i="36"/>
  <c r="D27" i="36"/>
  <c r="C28" i="19"/>
  <c r="C31" i="19"/>
  <c r="F26" i="40"/>
  <c r="G21" i="40"/>
  <c r="G26" i="40"/>
  <c r="G26" i="19"/>
  <c r="H21" i="19"/>
  <c r="C81" i="31"/>
  <c r="C88" i="31"/>
  <c r="E51" i="31"/>
  <c r="D25" i="19"/>
  <c r="D28" i="19"/>
  <c r="D31" i="19"/>
  <c r="F86" i="5"/>
  <c r="D23" i="6"/>
  <c r="E20" i="19"/>
  <c r="I88" i="9"/>
  <c r="I59" i="29"/>
  <c r="C26" i="36"/>
  <c r="C26" i="18"/>
  <c r="C25" i="36"/>
  <c r="C27" i="18"/>
  <c r="I59" i="40"/>
  <c r="D86" i="5"/>
  <c r="C31" i="18"/>
  <c r="D26" i="18"/>
  <c r="C48" i="19"/>
  <c r="H26" i="19"/>
  <c r="E27" i="36"/>
  <c r="D32" i="36"/>
  <c r="G27" i="19"/>
  <c r="H22" i="19"/>
  <c r="C32" i="18"/>
  <c r="D27" i="18"/>
  <c r="D25" i="36"/>
  <c r="C30" i="36"/>
  <c r="F20" i="19"/>
  <c r="E25" i="19"/>
  <c r="D26" i="36"/>
  <c r="C31" i="36"/>
  <c r="G51" i="31"/>
  <c r="E81" i="31"/>
  <c r="C25" i="18"/>
  <c r="C22" i="30"/>
  <c r="C23" i="30"/>
  <c r="E26" i="36"/>
  <c r="D31" i="36"/>
  <c r="D30" i="36"/>
  <c r="E25" i="36"/>
  <c r="E32" i="36"/>
  <c r="F27" i="36"/>
  <c r="D32" i="18"/>
  <c r="E27" i="18"/>
  <c r="C53" i="19"/>
  <c r="D48" i="19"/>
  <c r="D25" i="18"/>
  <c r="C30" i="18"/>
  <c r="D23" i="30"/>
  <c r="C28" i="30"/>
  <c r="E88" i="31"/>
  <c r="C49" i="19"/>
  <c r="H27" i="19"/>
  <c r="D31" i="18"/>
  <c r="E26" i="18"/>
  <c r="I51" i="31"/>
  <c r="I81" i="31"/>
  <c r="G81" i="31"/>
  <c r="G88" i="31"/>
  <c r="C33" i="36"/>
  <c r="D82" i="5"/>
  <c r="E28" i="19"/>
  <c r="E31" i="19"/>
  <c r="C27" i="30"/>
  <c r="D22" i="30"/>
  <c r="G20" i="19"/>
  <c r="F25" i="19"/>
  <c r="F28" i="19"/>
  <c r="F31" i="19"/>
  <c r="J86" i="5"/>
  <c r="F23" i="6"/>
  <c r="C23" i="6"/>
  <c r="C21" i="30"/>
  <c r="K81" i="31"/>
  <c r="C26" i="25"/>
  <c r="D21" i="30"/>
  <c r="C26" i="30"/>
  <c r="H86" i="5"/>
  <c r="D30" i="18"/>
  <c r="D33" i="18"/>
  <c r="F71" i="5"/>
  <c r="E25" i="18"/>
  <c r="G27" i="36"/>
  <c r="F32" i="36"/>
  <c r="D53" i="19"/>
  <c r="E48" i="19"/>
  <c r="E31" i="18"/>
  <c r="F26" i="18"/>
  <c r="C19" i="6"/>
  <c r="D49" i="19"/>
  <c r="C54" i="19"/>
  <c r="F25" i="36"/>
  <c r="E30" i="36"/>
  <c r="D33" i="36"/>
  <c r="F82" i="5"/>
  <c r="D19" i="6"/>
  <c r="E22" i="30"/>
  <c r="D27" i="30"/>
  <c r="F27" i="18"/>
  <c r="E32" i="18"/>
  <c r="E31" i="36"/>
  <c r="F26" i="36"/>
  <c r="C33" i="18"/>
  <c r="D71" i="5"/>
  <c r="G25" i="19"/>
  <c r="H20" i="19"/>
  <c r="I88" i="31"/>
  <c r="K88" i="31"/>
  <c r="D28" i="30"/>
  <c r="E23" i="30"/>
  <c r="C23" i="27"/>
  <c r="H23" i="39"/>
  <c r="H22" i="39"/>
  <c r="C23" i="39"/>
  <c r="H22" i="27"/>
  <c r="C22" i="27"/>
  <c r="H23" i="27"/>
  <c r="C22" i="39"/>
  <c r="E30" i="18"/>
  <c r="F25" i="18"/>
  <c r="H27" i="27"/>
  <c r="C47" i="27"/>
  <c r="F31" i="36"/>
  <c r="G26" i="36"/>
  <c r="C28" i="39"/>
  <c r="D23" i="39"/>
  <c r="H48" i="39"/>
  <c r="H53" i="39"/>
  <c r="G48" i="39"/>
  <c r="G53" i="39"/>
  <c r="F31" i="18"/>
  <c r="G26" i="18"/>
  <c r="H28" i="27"/>
  <c r="C48" i="27"/>
  <c r="E23" i="6"/>
  <c r="H28" i="39"/>
  <c r="C48" i="39"/>
  <c r="F23" i="30"/>
  <c r="E28" i="30"/>
  <c r="G27" i="18"/>
  <c r="F32" i="18"/>
  <c r="E33" i="36"/>
  <c r="H82" i="5"/>
  <c r="E19" i="6"/>
  <c r="E53" i="19"/>
  <c r="F48" i="19"/>
  <c r="C29" i="30"/>
  <c r="D72" i="5"/>
  <c r="G28" i="19"/>
  <c r="G31" i="19"/>
  <c r="C27" i="27"/>
  <c r="G47" i="27"/>
  <c r="G52" i="27"/>
  <c r="H47" i="27"/>
  <c r="H52" i="27"/>
  <c r="D22" i="27"/>
  <c r="D22" i="39"/>
  <c r="C27" i="39"/>
  <c r="H47" i="39"/>
  <c r="H52" i="39"/>
  <c r="G47" i="39"/>
  <c r="G52" i="39"/>
  <c r="H27" i="39"/>
  <c r="C47" i="39"/>
  <c r="H25" i="19"/>
  <c r="H28" i="19"/>
  <c r="H31" i="19"/>
  <c r="F86" i="9"/>
  <c r="H23" i="6"/>
  <c r="C47" i="19"/>
  <c r="F30" i="36"/>
  <c r="G25" i="36"/>
  <c r="E21" i="30"/>
  <c r="D26" i="30"/>
  <c r="D29" i="30"/>
  <c r="F72" i="5"/>
  <c r="D23" i="27"/>
  <c r="C28" i="27"/>
  <c r="G48" i="27"/>
  <c r="G53" i="27"/>
  <c r="H48" i="27"/>
  <c r="H53" i="27"/>
  <c r="E27" i="30"/>
  <c r="F22" i="30"/>
  <c r="E49" i="19"/>
  <c r="D54" i="19"/>
  <c r="H27" i="36"/>
  <c r="G32" i="36"/>
  <c r="C21" i="39"/>
  <c r="H22" i="40"/>
  <c r="H22" i="29"/>
  <c r="C23" i="29"/>
  <c r="C22" i="40"/>
  <c r="H23" i="40"/>
  <c r="C23" i="40"/>
  <c r="C22" i="29"/>
  <c r="H23" i="29"/>
  <c r="H21" i="27"/>
  <c r="H21" i="39"/>
  <c r="C21" i="27"/>
  <c r="E54" i="19"/>
  <c r="F49" i="19"/>
  <c r="F21" i="30"/>
  <c r="E26" i="30"/>
  <c r="H25" i="36"/>
  <c r="G30" i="36"/>
  <c r="F33" i="36"/>
  <c r="J82" i="5"/>
  <c r="F19" i="6"/>
  <c r="E22" i="39"/>
  <c r="D27" i="39"/>
  <c r="G23" i="30"/>
  <c r="F28" i="30"/>
  <c r="D47" i="27"/>
  <c r="C52" i="27"/>
  <c r="H28" i="29"/>
  <c r="C56" i="29"/>
  <c r="D22" i="29"/>
  <c r="C27" i="29"/>
  <c r="G55" i="29"/>
  <c r="G60" i="29"/>
  <c r="C28" i="40"/>
  <c r="G56" i="40"/>
  <c r="G61" i="40"/>
  <c r="D23" i="40"/>
  <c r="H28" i="40"/>
  <c r="C56" i="40"/>
  <c r="G55" i="40"/>
  <c r="G60" i="40"/>
  <c r="C27" i="40"/>
  <c r="D22" i="40"/>
  <c r="D21" i="39"/>
  <c r="H46" i="39"/>
  <c r="H51" i="39"/>
  <c r="H54" i="39"/>
  <c r="G46" i="39"/>
  <c r="G51" i="39"/>
  <c r="G54" i="39"/>
  <c r="C26" i="39"/>
  <c r="C52" i="19"/>
  <c r="D47" i="19"/>
  <c r="D27" i="27"/>
  <c r="E22" i="27"/>
  <c r="G48" i="19"/>
  <c r="F53" i="19"/>
  <c r="D48" i="39"/>
  <c r="C53" i="39"/>
  <c r="H26" i="18"/>
  <c r="G31" i="18"/>
  <c r="H27" i="29"/>
  <c r="C55" i="29"/>
  <c r="H46" i="27"/>
  <c r="H51" i="27"/>
  <c r="C26" i="27"/>
  <c r="D21" i="27"/>
  <c r="G46" i="27"/>
  <c r="G51" i="27"/>
  <c r="H27" i="40"/>
  <c r="C55" i="40"/>
  <c r="G22" i="30"/>
  <c r="F27" i="30"/>
  <c r="C53" i="27"/>
  <c r="D48" i="27"/>
  <c r="H26" i="39"/>
  <c r="H29" i="39"/>
  <c r="C46" i="39"/>
  <c r="F30" i="18"/>
  <c r="F33" i="18"/>
  <c r="J71" i="5"/>
  <c r="G25" i="18"/>
  <c r="E33" i="18"/>
  <c r="H71" i="5"/>
  <c r="C46" i="27"/>
  <c r="H26" i="27"/>
  <c r="D47" i="39"/>
  <c r="C52" i="39"/>
  <c r="G56" i="29"/>
  <c r="G61" i="29"/>
  <c r="D23" i="29"/>
  <c r="C28" i="29"/>
  <c r="H32" i="36"/>
  <c r="C56" i="36"/>
  <c r="E23" i="27"/>
  <c r="D28" i="27"/>
  <c r="D86" i="9"/>
  <c r="G32" i="18"/>
  <c r="H27" i="18"/>
  <c r="D28" i="39"/>
  <c r="E23" i="39"/>
  <c r="H26" i="36"/>
  <c r="G31" i="36"/>
  <c r="D55" i="40"/>
  <c r="C60" i="40"/>
  <c r="C33" i="40"/>
  <c r="C29" i="40"/>
  <c r="C33" i="29"/>
  <c r="C29" i="29"/>
  <c r="D74" i="5"/>
  <c r="F26" i="30"/>
  <c r="F29" i="30"/>
  <c r="J72" i="5"/>
  <c r="G21" i="30"/>
  <c r="F23" i="39"/>
  <c r="E28" i="39"/>
  <c r="H32" i="18"/>
  <c r="C56" i="18"/>
  <c r="C61" i="36"/>
  <c r="D56" i="36"/>
  <c r="H29" i="27"/>
  <c r="F73" i="9"/>
  <c r="C51" i="39"/>
  <c r="C54" i="39"/>
  <c r="D46" i="39"/>
  <c r="H29" i="40"/>
  <c r="D52" i="19"/>
  <c r="D55" i="19"/>
  <c r="D58" i="19"/>
  <c r="J86" i="9"/>
  <c r="D45" i="6"/>
  <c r="E47" i="19"/>
  <c r="G62" i="40"/>
  <c r="D27" i="29"/>
  <c r="E22" i="29"/>
  <c r="H55" i="29"/>
  <c r="H60" i="29"/>
  <c r="G49" i="19"/>
  <c r="F54" i="19"/>
  <c r="H29" i="29"/>
  <c r="F74" i="9"/>
  <c r="F22" i="27"/>
  <c r="E27" i="27"/>
  <c r="H23" i="30"/>
  <c r="G28" i="30"/>
  <c r="F23" i="27"/>
  <c r="E28" i="27"/>
  <c r="G54" i="27"/>
  <c r="H73" i="31"/>
  <c r="C55" i="19"/>
  <c r="C58" i="19"/>
  <c r="C61" i="40"/>
  <c r="D56" i="40"/>
  <c r="C61" i="29"/>
  <c r="D56" i="29"/>
  <c r="F22" i="39"/>
  <c r="E27" i="39"/>
  <c r="G62" i="29"/>
  <c r="H74" i="31"/>
  <c r="D46" i="27"/>
  <c r="C51" i="27"/>
  <c r="E48" i="27"/>
  <c r="D53" i="27"/>
  <c r="D26" i="27"/>
  <c r="E21" i="27"/>
  <c r="C29" i="39"/>
  <c r="D27" i="40"/>
  <c r="H55" i="40"/>
  <c r="H60" i="40"/>
  <c r="E22" i="40"/>
  <c r="E29" i="30"/>
  <c r="H72" i="5"/>
  <c r="C29" i="27"/>
  <c r="D73" i="5"/>
  <c r="C32" i="29"/>
  <c r="C32" i="40"/>
  <c r="D53" i="39"/>
  <c r="E48" i="39"/>
  <c r="E23" i="40"/>
  <c r="D28" i="40"/>
  <c r="D34" i="40"/>
  <c r="H56" i="40"/>
  <c r="H61" i="40"/>
  <c r="G27" i="30"/>
  <c r="H22" i="30"/>
  <c r="H31" i="18"/>
  <c r="C55" i="18"/>
  <c r="C34" i="29"/>
  <c r="G23" i="6"/>
  <c r="E23" i="29"/>
  <c r="D28" i="29"/>
  <c r="D34" i="29"/>
  <c r="H56" i="29"/>
  <c r="H61" i="29"/>
  <c r="H54" i="27"/>
  <c r="J73" i="31"/>
  <c r="E47" i="27"/>
  <c r="D52" i="27"/>
  <c r="G33" i="36"/>
  <c r="D82" i="9"/>
  <c r="D52" i="39"/>
  <c r="E47" i="39"/>
  <c r="H31" i="36"/>
  <c r="C55" i="36"/>
  <c r="H25" i="18"/>
  <c r="G30" i="18"/>
  <c r="G33" i="18"/>
  <c r="D71" i="9"/>
  <c r="D55" i="29"/>
  <c r="C60" i="29"/>
  <c r="G53" i="19"/>
  <c r="H48" i="19"/>
  <c r="H53" i="19"/>
  <c r="D26" i="39"/>
  <c r="D29" i="39"/>
  <c r="E21" i="39"/>
  <c r="C34" i="40"/>
  <c r="H30" i="36"/>
  <c r="C54" i="36"/>
  <c r="H33" i="36"/>
  <c r="F82" i="9"/>
  <c r="H19" i="6"/>
  <c r="C35" i="29"/>
  <c r="C37" i="29"/>
  <c r="C35" i="40"/>
  <c r="C37" i="40"/>
  <c r="I53" i="19"/>
  <c r="D33" i="40"/>
  <c r="D29" i="40"/>
  <c r="E53" i="27"/>
  <c r="F48" i="27"/>
  <c r="F53" i="27"/>
  <c r="F27" i="39"/>
  <c r="G22" i="39"/>
  <c r="G27" i="39"/>
  <c r="D33" i="29"/>
  <c r="D29" i="29"/>
  <c r="F74" i="5"/>
  <c r="D51" i="39"/>
  <c r="D54" i="39"/>
  <c r="E46" i="39"/>
  <c r="E28" i="29"/>
  <c r="E34" i="29"/>
  <c r="F23" i="29"/>
  <c r="G22" i="27"/>
  <c r="G27" i="27"/>
  <c r="F27" i="27"/>
  <c r="E52" i="39"/>
  <c r="F47" i="39"/>
  <c r="F52" i="39"/>
  <c r="D61" i="29"/>
  <c r="E56" i="29"/>
  <c r="E52" i="27"/>
  <c r="F47" i="27"/>
  <c r="F52" i="27"/>
  <c r="F22" i="29"/>
  <c r="E27" i="29"/>
  <c r="D56" i="18"/>
  <c r="C61" i="18"/>
  <c r="C15" i="6"/>
  <c r="D88" i="5"/>
  <c r="F23" i="40"/>
  <c r="E28" i="40"/>
  <c r="C54" i="27"/>
  <c r="H73" i="9"/>
  <c r="G23" i="39"/>
  <c r="G28" i="39"/>
  <c r="F28" i="39"/>
  <c r="C54" i="18"/>
  <c r="H30" i="18"/>
  <c r="H33" i="18"/>
  <c r="F71" i="9"/>
  <c r="H27" i="30"/>
  <c r="C47" i="30"/>
  <c r="F21" i="39"/>
  <c r="E26" i="39"/>
  <c r="E29" i="39"/>
  <c r="D55" i="36"/>
  <c r="C60" i="36"/>
  <c r="H62" i="40"/>
  <c r="C59" i="36"/>
  <c r="D54" i="36"/>
  <c r="C62" i="29"/>
  <c r="H74" i="9"/>
  <c r="D55" i="18"/>
  <c r="C60" i="18"/>
  <c r="E53" i="39"/>
  <c r="F48" i="39"/>
  <c r="F53" i="39"/>
  <c r="E46" i="27"/>
  <c r="D51" i="27"/>
  <c r="D61" i="40"/>
  <c r="E56" i="40"/>
  <c r="G23" i="27"/>
  <c r="G28" i="27"/>
  <c r="F28" i="27"/>
  <c r="F47" i="19"/>
  <c r="E52" i="19"/>
  <c r="G26" i="30"/>
  <c r="H21" i="30"/>
  <c r="C62" i="40"/>
  <c r="D60" i="29"/>
  <c r="E55" i="29"/>
  <c r="G19" i="6"/>
  <c r="D60" i="40"/>
  <c r="E55" i="40"/>
  <c r="E26" i="27"/>
  <c r="F21" i="27"/>
  <c r="C48" i="30"/>
  <c r="H28" i="30"/>
  <c r="H49" i="19"/>
  <c r="H54" i="19"/>
  <c r="G54" i="19"/>
  <c r="D61" i="36"/>
  <c r="E56" i="36"/>
  <c r="E27" i="40"/>
  <c r="F22" i="40"/>
  <c r="D29" i="27"/>
  <c r="F73" i="5"/>
  <c r="D32" i="29"/>
  <c r="D32" i="40"/>
  <c r="H86" i="9"/>
  <c r="H62" i="29"/>
  <c r="J74" i="31"/>
  <c r="D35" i="29"/>
  <c r="D37" i="29"/>
  <c r="I52" i="27"/>
  <c r="D35" i="40"/>
  <c r="D37" i="40"/>
  <c r="I53" i="39"/>
  <c r="I52" i="39"/>
  <c r="I53" i="27"/>
  <c r="C62" i="36"/>
  <c r="H82" i="9"/>
  <c r="C41" i="6"/>
  <c r="D62" i="40"/>
  <c r="D60" i="36"/>
  <c r="E55" i="36"/>
  <c r="I54" i="19"/>
  <c r="C46" i="30"/>
  <c r="H26" i="30"/>
  <c r="D54" i="27"/>
  <c r="J73" i="9"/>
  <c r="C25" i="6"/>
  <c r="F46" i="39"/>
  <c r="F51" i="39"/>
  <c r="F54" i="39"/>
  <c r="E51" i="39"/>
  <c r="E54" i="39"/>
  <c r="G29" i="30"/>
  <c r="D72" i="9"/>
  <c r="E51" i="27"/>
  <c r="F46" i="27"/>
  <c r="F51" i="27"/>
  <c r="F26" i="39"/>
  <c r="G21" i="39"/>
  <c r="G26" i="39"/>
  <c r="G29" i="39"/>
  <c r="G22" i="40"/>
  <c r="G27" i="40"/>
  <c r="F27" i="40"/>
  <c r="C53" i="30"/>
  <c r="D48" i="30"/>
  <c r="E55" i="19"/>
  <c r="E58" i="19"/>
  <c r="D59" i="36"/>
  <c r="E54" i="36"/>
  <c r="D47" i="30"/>
  <c r="C52" i="30"/>
  <c r="D15" i="6"/>
  <c r="D25" i="6"/>
  <c r="F88" i="5"/>
  <c r="F90" i="5"/>
  <c r="H34" i="40"/>
  <c r="H34" i="29"/>
  <c r="H33" i="40"/>
  <c r="H33" i="29"/>
  <c r="D61" i="18"/>
  <c r="E56" i="18"/>
  <c r="E33" i="40"/>
  <c r="E29" i="40"/>
  <c r="F26" i="27"/>
  <c r="G21" i="27"/>
  <c r="G26" i="27"/>
  <c r="F52" i="19"/>
  <c r="F55" i="19"/>
  <c r="F58" i="19"/>
  <c r="F86" i="31"/>
  <c r="F45" i="6"/>
  <c r="G47" i="19"/>
  <c r="F55" i="29"/>
  <c r="F60" i="29"/>
  <c r="E60" i="29"/>
  <c r="E33" i="29"/>
  <c r="E29" i="29"/>
  <c r="H74" i="5"/>
  <c r="E61" i="29"/>
  <c r="F56" i="29"/>
  <c r="F61" i="29"/>
  <c r="D90" i="5"/>
  <c r="C59" i="18"/>
  <c r="C62" i="18"/>
  <c r="H71" i="9"/>
  <c r="D54" i="18"/>
  <c r="E34" i="40"/>
  <c r="F27" i="29"/>
  <c r="G22" i="29"/>
  <c r="G27" i="29"/>
  <c r="E29" i="27"/>
  <c r="H73" i="5"/>
  <c r="E32" i="29"/>
  <c r="E32" i="40"/>
  <c r="E61" i="36"/>
  <c r="F56" i="36"/>
  <c r="D62" i="29"/>
  <c r="J74" i="9"/>
  <c r="C45" i="6"/>
  <c r="E60" i="40"/>
  <c r="F55" i="40"/>
  <c r="F60" i="40"/>
  <c r="E61" i="40"/>
  <c r="F56" i="40"/>
  <c r="F61" i="40"/>
  <c r="E55" i="18"/>
  <c r="D60" i="18"/>
  <c r="F28" i="40"/>
  <c r="F34" i="40"/>
  <c r="G23" i="40"/>
  <c r="G28" i="40"/>
  <c r="G34" i="40"/>
  <c r="F28" i="29"/>
  <c r="F34" i="29"/>
  <c r="G23" i="29"/>
  <c r="G28" i="29"/>
  <c r="G34" i="29"/>
  <c r="I61" i="40"/>
  <c r="E35" i="40"/>
  <c r="E37" i="40"/>
  <c r="D59" i="18"/>
  <c r="D62" i="18"/>
  <c r="J71" i="9"/>
  <c r="E54" i="18"/>
  <c r="D62" i="36"/>
  <c r="J82" i="9"/>
  <c r="F55" i="36"/>
  <c r="E60" i="36"/>
  <c r="G33" i="40"/>
  <c r="G29" i="40"/>
  <c r="E35" i="29"/>
  <c r="E37" i="29"/>
  <c r="E15" i="6"/>
  <c r="E25" i="6"/>
  <c r="H88" i="5"/>
  <c r="I61" i="29"/>
  <c r="F29" i="39"/>
  <c r="I51" i="39"/>
  <c r="I54" i="39"/>
  <c r="F54" i="36"/>
  <c r="E59" i="36"/>
  <c r="E62" i="29"/>
  <c r="D74" i="31"/>
  <c r="D86" i="31"/>
  <c r="F54" i="27"/>
  <c r="F73" i="31"/>
  <c r="F29" i="27"/>
  <c r="J73" i="5"/>
  <c r="F32" i="29"/>
  <c r="F32" i="40"/>
  <c r="E60" i="18"/>
  <c r="F55" i="18"/>
  <c r="G33" i="29"/>
  <c r="G29" i="29"/>
  <c r="D74" i="9"/>
  <c r="F62" i="29"/>
  <c r="F74" i="31"/>
  <c r="F56" i="18"/>
  <c r="E61" i="18"/>
  <c r="E54" i="27"/>
  <c r="D73" i="31"/>
  <c r="F62" i="40"/>
  <c r="G56" i="36"/>
  <c r="F61" i="36"/>
  <c r="F33" i="29"/>
  <c r="F29" i="29"/>
  <c r="J74" i="5"/>
  <c r="I60" i="29"/>
  <c r="G52" i="19"/>
  <c r="G55" i="19"/>
  <c r="G58" i="19"/>
  <c r="H86" i="31"/>
  <c r="G45" i="6"/>
  <c r="H47" i="19"/>
  <c r="H52" i="19"/>
  <c r="D53" i="30"/>
  <c r="E48" i="30"/>
  <c r="C66" i="40"/>
  <c r="C66" i="29"/>
  <c r="C67" i="29"/>
  <c r="C67" i="40"/>
  <c r="H29" i="30"/>
  <c r="F72" i="9"/>
  <c r="H32" i="40"/>
  <c r="H35" i="40"/>
  <c r="H37" i="40"/>
  <c r="H32" i="29"/>
  <c r="H35" i="29"/>
  <c r="H37" i="29"/>
  <c r="E62" i="40"/>
  <c r="I51" i="27"/>
  <c r="G29" i="27"/>
  <c r="D73" i="9"/>
  <c r="G32" i="29"/>
  <c r="G32" i="40"/>
  <c r="E47" i="30"/>
  <c r="D52" i="30"/>
  <c r="F33" i="40"/>
  <c r="F29" i="40"/>
  <c r="C51" i="30"/>
  <c r="D46" i="30"/>
  <c r="I60" i="40"/>
  <c r="G35" i="29"/>
  <c r="G37" i="29"/>
  <c r="G15" i="6"/>
  <c r="G25" i="6"/>
  <c r="G35" i="40"/>
  <c r="G37" i="40"/>
  <c r="E62" i="36"/>
  <c r="D82" i="31"/>
  <c r="E41" i="6"/>
  <c r="L74" i="31"/>
  <c r="F15" i="6"/>
  <c r="F25" i="6"/>
  <c r="J88" i="5"/>
  <c r="J90" i="5"/>
  <c r="G55" i="36"/>
  <c r="F60" i="36"/>
  <c r="H90" i="5"/>
  <c r="F59" i="36"/>
  <c r="G54" i="36"/>
  <c r="E59" i="18"/>
  <c r="E62" i="18"/>
  <c r="D71" i="31"/>
  <c r="F54" i="18"/>
  <c r="I62" i="40"/>
  <c r="E46" i="30"/>
  <c r="D51" i="30"/>
  <c r="L73" i="31"/>
  <c r="I54" i="27"/>
  <c r="F48" i="30"/>
  <c r="E53" i="30"/>
  <c r="E45" i="6"/>
  <c r="F47" i="30"/>
  <c r="E52" i="30"/>
  <c r="I62" i="29"/>
  <c r="D88" i="9"/>
  <c r="D90" i="9"/>
  <c r="D67" i="29"/>
  <c r="D67" i="40"/>
  <c r="H56" i="36"/>
  <c r="H61" i="36"/>
  <c r="G61" i="36"/>
  <c r="G56" i="18"/>
  <c r="F61" i="18"/>
  <c r="F35" i="40"/>
  <c r="F37" i="40"/>
  <c r="D41" i="6"/>
  <c r="C54" i="30"/>
  <c r="H72" i="9"/>
  <c r="C65" i="40"/>
  <c r="C68" i="40"/>
  <c r="C70" i="40"/>
  <c r="C65" i="29"/>
  <c r="C68" i="29"/>
  <c r="C70" i="29"/>
  <c r="H15" i="6"/>
  <c r="H25" i="6"/>
  <c r="F88" i="9"/>
  <c r="F90" i="9"/>
  <c r="G55" i="18"/>
  <c r="F60" i="18"/>
  <c r="D66" i="40"/>
  <c r="D66" i="29"/>
  <c r="H55" i="19"/>
  <c r="H58" i="19"/>
  <c r="I52" i="19"/>
  <c r="I55" i="19"/>
  <c r="F35" i="29"/>
  <c r="F37" i="29"/>
  <c r="I61" i="36"/>
  <c r="F53" i="30"/>
  <c r="G48" i="30"/>
  <c r="E67" i="40"/>
  <c r="E67" i="29"/>
  <c r="G61" i="18"/>
  <c r="H56" i="18"/>
  <c r="H61" i="18"/>
  <c r="E66" i="29"/>
  <c r="E66" i="40"/>
  <c r="H55" i="36"/>
  <c r="H60" i="36"/>
  <c r="G60" i="36"/>
  <c r="J86" i="31"/>
  <c r="I58" i="19"/>
  <c r="F52" i="30"/>
  <c r="G47" i="30"/>
  <c r="G54" i="18"/>
  <c r="F59" i="18"/>
  <c r="F62" i="18"/>
  <c r="F71" i="31"/>
  <c r="H55" i="18"/>
  <c r="H60" i="18"/>
  <c r="G60" i="18"/>
  <c r="H88" i="9"/>
  <c r="H90" i="9"/>
  <c r="C37" i="6"/>
  <c r="C47" i="6"/>
  <c r="D54" i="30"/>
  <c r="J72" i="9"/>
  <c r="D65" i="40"/>
  <c r="D68" i="40"/>
  <c r="D70" i="40"/>
  <c r="D65" i="29"/>
  <c r="D68" i="29"/>
  <c r="D70" i="29"/>
  <c r="H54" i="36"/>
  <c r="H59" i="36"/>
  <c r="G59" i="36"/>
  <c r="F46" i="30"/>
  <c r="E51" i="30"/>
  <c r="F62" i="36"/>
  <c r="F82" i="31"/>
  <c r="G62" i="36"/>
  <c r="H82" i="31"/>
  <c r="G41" i="6"/>
  <c r="I60" i="36"/>
  <c r="I60" i="18"/>
  <c r="F66" i="29"/>
  <c r="F66" i="40"/>
  <c r="I61" i="18"/>
  <c r="H47" i="30"/>
  <c r="H52" i="30"/>
  <c r="G52" i="30"/>
  <c r="H45" i="6"/>
  <c r="I45" i="6"/>
  <c r="C38" i="25"/>
  <c r="L86" i="31"/>
  <c r="H62" i="36"/>
  <c r="J82" i="31"/>
  <c r="H41" i="6"/>
  <c r="I59" i="36"/>
  <c r="G53" i="30"/>
  <c r="H48" i="30"/>
  <c r="H53" i="30"/>
  <c r="F51" i="30"/>
  <c r="G46" i="30"/>
  <c r="F67" i="29"/>
  <c r="F67" i="40"/>
  <c r="D37" i="6"/>
  <c r="D47" i="6"/>
  <c r="J88" i="9"/>
  <c r="J90" i="9"/>
  <c r="F41" i="6"/>
  <c r="E54" i="30"/>
  <c r="D72" i="31"/>
  <c r="E65" i="29"/>
  <c r="E68" i="29"/>
  <c r="E70" i="29"/>
  <c r="E65" i="40"/>
  <c r="E68" i="40"/>
  <c r="E70" i="40"/>
  <c r="H54" i="18"/>
  <c r="H59" i="18"/>
  <c r="G59" i="18"/>
  <c r="G62" i="18"/>
  <c r="H71" i="31"/>
  <c r="I62" i="36"/>
  <c r="I41" i="6"/>
  <c r="G51" i="30"/>
  <c r="H46" i="30"/>
  <c r="H51" i="30"/>
  <c r="L82" i="31"/>
  <c r="C28" i="25"/>
  <c r="F54" i="30"/>
  <c r="F72" i="31"/>
  <c r="F65" i="29"/>
  <c r="F68" i="29"/>
  <c r="F70" i="29"/>
  <c r="F65" i="40"/>
  <c r="F68" i="40"/>
  <c r="F70" i="40"/>
  <c r="G66" i="29"/>
  <c r="G66" i="40"/>
  <c r="H62" i="18"/>
  <c r="J71" i="31"/>
  <c r="L71" i="31"/>
  <c r="I59" i="18"/>
  <c r="I62" i="18"/>
  <c r="H67" i="29"/>
  <c r="H67" i="40"/>
  <c r="I53" i="30"/>
  <c r="H66" i="40"/>
  <c r="H66" i="29"/>
  <c r="G67" i="29"/>
  <c r="G67" i="40"/>
  <c r="I52" i="30"/>
  <c r="D88" i="31"/>
  <c r="E37" i="6"/>
  <c r="E47" i="6"/>
  <c r="I66" i="40"/>
  <c r="I66" i="29"/>
  <c r="I67" i="40"/>
  <c r="I67" i="29"/>
  <c r="F88" i="31"/>
  <c r="F90" i="31"/>
  <c r="F37" i="6"/>
  <c r="F47" i="6"/>
  <c r="C32" i="25"/>
  <c r="H54" i="30"/>
  <c r="J72" i="31"/>
  <c r="J88" i="31"/>
  <c r="J90" i="31"/>
  <c r="H65" i="29"/>
  <c r="H68" i="29"/>
  <c r="H70" i="29"/>
  <c r="H65" i="40"/>
  <c r="H68" i="40"/>
  <c r="H70" i="40"/>
  <c r="I51" i="30"/>
  <c r="G54" i="30"/>
  <c r="H72" i="31"/>
  <c r="G65" i="40"/>
  <c r="G68" i="40"/>
  <c r="G70" i="40"/>
  <c r="G65" i="29"/>
  <c r="G68" i="29"/>
  <c r="G70" i="29"/>
  <c r="D90" i="31"/>
  <c r="H37" i="6"/>
  <c r="H47" i="6"/>
  <c r="H88" i="31"/>
  <c r="G37" i="6"/>
  <c r="G47" i="6"/>
  <c r="I54" i="30"/>
  <c r="I65" i="29"/>
  <c r="I68" i="29"/>
  <c r="I70" i="29"/>
  <c r="I65" i="40"/>
  <c r="I68" i="40"/>
  <c r="I70" i="40"/>
  <c r="L72" i="31"/>
  <c r="I37" i="6"/>
  <c r="H90" i="31"/>
  <c r="L88" i="31"/>
  <c r="L90" i="31"/>
  <c r="C19" i="25"/>
  <c r="I47" i="6"/>
  <c r="C14" i="35"/>
  <c r="C40" i="25"/>
  <c r="D16" i="25"/>
  <c r="F16" i="25"/>
  <c r="E16" i="25"/>
  <c r="D22" i="25"/>
  <c r="F22" i="25"/>
  <c r="E22" i="25"/>
  <c r="D13" i="25"/>
  <c r="E13" i="25"/>
  <c r="F13" i="25"/>
  <c r="D26" i="25"/>
  <c r="D35" i="25"/>
  <c r="E26" i="25"/>
  <c r="F26" i="25"/>
  <c r="F35" i="25"/>
  <c r="E35" i="25"/>
  <c r="D38" i="25"/>
  <c r="D28" i="25"/>
  <c r="D32" i="25"/>
  <c r="F38" i="25"/>
  <c r="E38" i="25"/>
  <c r="E28" i="25"/>
  <c r="F28" i="25"/>
  <c r="F32" i="25"/>
  <c r="E32" i="25"/>
  <c r="C16" i="35"/>
  <c r="C18" i="35"/>
  <c r="C20" i="35"/>
  <c r="C24" i="35"/>
  <c r="D14" i="32"/>
  <c r="D19" i="25"/>
  <c r="D40" i="25"/>
  <c r="F19" i="25"/>
  <c r="E19" i="25"/>
  <c r="E40" i="25"/>
  <c r="D16" i="32"/>
  <c r="E16" i="32"/>
  <c r="F16" i="32"/>
  <c r="E14" i="32"/>
  <c r="F14" i="32"/>
  <c r="F40" i="25"/>
</calcChain>
</file>

<file path=xl/sharedStrings.xml><?xml version="1.0" encoding="utf-8"?>
<sst xmlns="http://schemas.openxmlformats.org/spreadsheetml/2006/main" count="1603" uniqueCount="479">
  <si>
    <t>Statement BG</t>
  </si>
  <si>
    <t>SAN DIEGO GAS AND ELECTRIC COMPANY</t>
  </si>
  <si>
    <t>Transmission Revenues Data to Reflect Changed Rates</t>
  </si>
  <si>
    <t>Comparison of Revenues</t>
  </si>
  <si>
    <t>(A)</t>
  </si>
  <si>
    <t>(B)</t>
  </si>
  <si>
    <t>(C) = (A) - (B)</t>
  </si>
  <si>
    <t>(D) = (C)/(B)</t>
  </si>
  <si>
    <t>Line</t>
  </si>
  <si>
    <t>Transmission Revenues</t>
  </si>
  <si>
    <t>No.</t>
  </si>
  <si>
    <t>Customer Classes</t>
  </si>
  <si>
    <t>@ Changed Rates</t>
  </si>
  <si>
    <r>
      <t xml:space="preserve">@ Present Rates </t>
    </r>
    <r>
      <rPr>
        <vertAlign val="superscript"/>
        <sz val="14"/>
        <rFont val="Times New Roman"/>
        <family val="1"/>
      </rPr>
      <t>1</t>
    </r>
  </si>
  <si>
    <t>($) Change</t>
  </si>
  <si>
    <t>(%) Change</t>
  </si>
  <si>
    <t xml:space="preserve">Reference </t>
  </si>
  <si>
    <t>Residential</t>
  </si>
  <si>
    <t>(A): Page BG-2, Line 16, Col. G</t>
  </si>
  <si>
    <t>(B): Statement BH, Page BH-1, Line 16, Col. G</t>
  </si>
  <si>
    <t>Small Commercial</t>
  </si>
  <si>
    <t>(A): Page BG-2, Line 18, Col. G</t>
  </si>
  <si>
    <t>(B): Statement BH, Page BH-1, Line 18, Col. G</t>
  </si>
  <si>
    <r>
      <t xml:space="preserve">Medium and Large Commercial/Industrial </t>
    </r>
    <r>
      <rPr>
        <vertAlign val="superscript"/>
        <sz val="14"/>
        <rFont val="Times New Roman"/>
        <family val="1"/>
      </rPr>
      <t>2</t>
    </r>
  </si>
  <si>
    <t>(A): Page BG-2, Line 20, Col. G</t>
  </si>
  <si>
    <t>(B): Statement BH, Page BH-1, Line 20, Col. G</t>
  </si>
  <si>
    <t>San Diego Unified Port District</t>
  </si>
  <si>
    <t>(A): Page BG-2, Line 22, Col. G</t>
  </si>
  <si>
    <t>(B): Statement BH, Page BH-1, Line 22, Col. G</t>
  </si>
  <si>
    <t>Agricultural (Schedules PA, TOU-PA and PA-T-1)</t>
  </si>
  <si>
    <t>Schedules PA and TOU-PA</t>
  </si>
  <si>
    <t>(A): Page BG-5, Line 52, Col. M</t>
  </si>
  <si>
    <t>(B): Statement BH, Page BH-4, Line 52, Col. M</t>
  </si>
  <si>
    <t>Schedule PA-T-1</t>
  </si>
  <si>
    <t>(A): Page BG-5, Line 53, Col. M</t>
  </si>
  <si>
    <t>(B): Statement BH, Page BH-4, Line 53, Col. M</t>
  </si>
  <si>
    <t>Total Agricultural</t>
  </si>
  <si>
    <t>(A): Line 14, Col. A Plus Line 16, Col. A</t>
  </si>
  <si>
    <t>(B): Line 14, Col. B Plus Line 16, Col. B</t>
  </si>
  <si>
    <t>Street Lighting</t>
  </si>
  <si>
    <t>(A): Page BG-2, Line 26, Col. G</t>
  </si>
  <si>
    <t>(B): Statement BH, Page BH-1, Line 26, Col. G</t>
  </si>
  <si>
    <t>Standby</t>
  </si>
  <si>
    <t>(A): Page BG-2, Line 28, Col. G</t>
  </si>
  <si>
    <t>(B): Statement BH, Page BH-1, Line 28, Col. G</t>
  </si>
  <si>
    <t xml:space="preserve">     Grand Total</t>
  </si>
  <si>
    <t>NOTES:</t>
  </si>
  <si>
    <t>Revenues for Medium and Large Commercial/Industrial customers include revenues of Standard Customers that have Maximum On-Peak Demand rates and Maximum Demand at the Time of System Peak rates based on SDG&amp;E's on-peak period of 4-9 p.m. everyday year-round</t>
  </si>
  <si>
    <t>(C)</t>
  </si>
  <si>
    <t>(D)</t>
  </si>
  <si>
    <t>(E)</t>
  </si>
  <si>
    <t>(F)</t>
  </si>
  <si>
    <t>(G)</t>
  </si>
  <si>
    <r>
      <t xml:space="preserve">Residential </t>
    </r>
    <r>
      <rPr>
        <vertAlign val="superscript"/>
        <sz val="14"/>
        <rFont val="Times New Roman"/>
        <family val="1"/>
      </rPr>
      <t>1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</si>
  <si>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  <r>
      <rPr>
        <sz val="14"/>
        <rFont val="Times New Roman"/>
        <family val="1"/>
      </rPr>
      <t xml:space="preserve"> 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</si>
  <si>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3</t>
    </r>
  </si>
  <si>
    <r>
      <t xml:space="preserve">San Diego Unified Port District </t>
    </r>
    <r>
      <rPr>
        <vertAlign val="superscript"/>
        <sz val="14"/>
        <rFont val="Times New Roman"/>
        <family val="1"/>
      </rPr>
      <t>4</t>
    </r>
  </si>
  <si>
    <r>
      <t xml:space="preserve">Agricultural </t>
    </r>
    <r>
      <rPr>
        <vertAlign val="superscript"/>
        <sz val="14"/>
        <rFont val="Times New Roman"/>
        <family val="1"/>
      </rPr>
      <t>5</t>
    </r>
  </si>
  <si>
    <r>
      <t xml:space="preserve">Street Lighting </t>
    </r>
    <r>
      <rPr>
        <vertAlign val="superscript"/>
        <sz val="14"/>
        <rFont val="Times New Roman"/>
        <family val="1"/>
      </rPr>
      <t>6</t>
    </r>
  </si>
  <si>
    <r>
      <t xml:space="preserve">Standby </t>
    </r>
    <r>
      <rPr>
        <vertAlign val="superscript"/>
        <sz val="14"/>
        <rFont val="Times New Roman"/>
        <family val="1"/>
      </rPr>
      <t>7</t>
    </r>
  </si>
  <si>
    <t>TOTAL</t>
  </si>
  <si>
    <t>Total</t>
  </si>
  <si>
    <t>Pages BG-3 through BG-5, Line 37.</t>
  </si>
  <si>
    <t>Page BG-3 through BG-5, Lines 47-49.</t>
  </si>
  <si>
    <t>Page BG-3 through BG-5, Line 39.</t>
  </si>
  <si>
    <t>Page BG-3 through BG-5, Lines 41-45.</t>
  </si>
  <si>
    <t>Page BG-3 through BG-5, Line 55.</t>
  </si>
  <si>
    <t>Page BG-3 through BG-5, Line 57.</t>
  </si>
  <si>
    <r>
      <t xml:space="preserve">Billing Determinants </t>
    </r>
    <r>
      <rPr>
        <vertAlign val="superscript"/>
        <sz val="14"/>
        <rFont val="Times New Roman"/>
        <family val="1"/>
      </rPr>
      <t>1</t>
    </r>
  </si>
  <si>
    <t>Energy (kWh)</t>
  </si>
  <si>
    <t>Demand (kW)</t>
  </si>
  <si>
    <t xml:space="preserve">Small Commercial </t>
  </si>
  <si>
    <t xml:space="preserve">Medium and Large Commercial/Industrial </t>
  </si>
  <si>
    <t xml:space="preserve">     Non-Coincident (100%)</t>
  </si>
  <si>
    <t xml:space="preserve">     Non-Coincident (90%)</t>
  </si>
  <si>
    <t xml:space="preserve">     Maximum On-Peak Period Demand-Standard Customers</t>
  </si>
  <si>
    <t xml:space="preserve">     Maximum Demand at the Time of System Peak-Standard Customers</t>
  </si>
  <si>
    <t xml:space="preserve">     Maximum Demand at the Time of System Peak</t>
  </si>
  <si>
    <t>Agricultural</t>
  </si>
  <si>
    <t xml:space="preserve">     Schedules PA and TOU-PA</t>
  </si>
  <si>
    <t xml:space="preserve">     Schedule PA-T-1 - Non-Coincident (100%)</t>
  </si>
  <si>
    <t xml:space="preserve">TOTAL </t>
  </si>
  <si>
    <t xml:space="preserve">NOTES: </t>
  </si>
  <si>
    <t>Changed Transmission Rates</t>
  </si>
  <si>
    <r>
      <t xml:space="preserve">Residential </t>
    </r>
    <r>
      <rPr>
        <vertAlign val="superscript"/>
        <sz val="14"/>
        <rFont val="Times New Roman"/>
        <family val="1"/>
      </rPr>
      <t>2</t>
    </r>
  </si>
  <si>
    <r>
      <t xml:space="preserve">Small Commercial </t>
    </r>
    <r>
      <rPr>
        <vertAlign val="superscript"/>
        <sz val="14"/>
        <rFont val="Times New Roman"/>
        <family val="1"/>
      </rPr>
      <t>2</t>
    </r>
  </si>
  <si>
    <r>
      <t xml:space="preserve">Medium and Large Commercial/Industrial </t>
    </r>
    <r>
      <rPr>
        <vertAlign val="superscript"/>
        <sz val="14"/>
        <rFont val="Times New Roman"/>
        <family val="1"/>
      </rPr>
      <t>2, 3</t>
    </r>
  </si>
  <si>
    <r>
      <t xml:space="preserve">San Diego Unified Port District </t>
    </r>
    <r>
      <rPr>
        <vertAlign val="superscript"/>
        <sz val="14"/>
        <rFont val="Times New Roman"/>
        <family val="1"/>
      </rPr>
      <t>2, 5</t>
    </r>
  </si>
  <si>
    <r>
      <t xml:space="preserve">Agricultural (Schedules PA and TOU-PA) </t>
    </r>
    <r>
      <rPr>
        <vertAlign val="superscript"/>
        <sz val="14"/>
        <rFont val="Times New Roman"/>
        <family val="1"/>
      </rPr>
      <t>2, 3</t>
    </r>
  </si>
  <si>
    <r>
      <t xml:space="preserve">Street Lighting </t>
    </r>
    <r>
      <rPr>
        <vertAlign val="superscript"/>
        <sz val="14"/>
        <rFont val="Times New Roman"/>
        <family val="1"/>
      </rPr>
      <t>2</t>
    </r>
  </si>
  <si>
    <r>
      <t xml:space="preserve">Standby </t>
    </r>
    <r>
      <rPr>
        <vertAlign val="superscript"/>
        <sz val="14"/>
        <rFont val="Times New Roman"/>
        <family val="1"/>
      </rPr>
      <t>2, 3</t>
    </r>
  </si>
  <si>
    <t>2</t>
  </si>
  <si>
    <t>The changed rates information comes from Statement BL, Page BL-1, Column A, Lines 1 through 41.</t>
  </si>
  <si>
    <t>3</t>
  </si>
  <si>
    <t>The demand rates for Medium &amp; Large Commercial/Industrial, Schedule PA-T-1, and Standby customers are shown on Pages BG-6, BG-7, BG-8, BG-9, BG-13, and BG-14.</t>
  </si>
  <si>
    <r>
      <t xml:space="preserve">Revenues @ Changed Rates </t>
    </r>
    <r>
      <rPr>
        <vertAlign val="superscript"/>
        <sz val="14"/>
        <rFont val="Times New Roman"/>
        <family val="1"/>
      </rPr>
      <t>4</t>
    </r>
  </si>
  <si>
    <r>
      <t xml:space="preserve">     Maximum On-Peak Period Demand-Standard Customers </t>
    </r>
    <r>
      <rPr>
        <vertAlign val="superscript"/>
        <sz val="14"/>
        <rFont val="Times New Roman"/>
        <family val="1"/>
      </rPr>
      <t>5</t>
    </r>
  </si>
  <si>
    <r>
      <t xml:space="preserve">     Maximum Demand at the Time of System Peak-Standard Customers </t>
    </r>
    <r>
      <rPr>
        <vertAlign val="superscript"/>
        <sz val="14"/>
        <rFont val="Times New Roman"/>
        <family val="1"/>
      </rPr>
      <t>5</t>
    </r>
  </si>
  <si>
    <t xml:space="preserve">   TOTAL</t>
  </si>
  <si>
    <t>Grand Total</t>
  </si>
  <si>
    <t>The revenues above are derived by multiplying the forecast billing determinants by the rates, except for Medium &amp; Large Commercial/Industrial, San Diego Unified Port District, Schedule PA-T-1, and Standby customers.</t>
  </si>
  <si>
    <t>The derivation of revenues for Medium &amp; Large Commercial/Industrial, San Diego Unified Port District, Schedule PA-T-1, and Standby customers are shown on Pages BG-6, BG-7, BG-8, BG-9, BG-13, and BG-14.</t>
  </si>
  <si>
    <t>Revenues for Medium and Large Commercial/Industrial customers include revenues of Standard Customers that have Maximum On-Peak Demand rates and Maximum Demand at the Time of System Peak rates based on SDG&amp;E's</t>
  </si>
  <si>
    <t>(H)</t>
  </si>
  <si>
    <t>Transmission Revenue Data To Reflect Changed Rates</t>
  </si>
  <si>
    <t>(I)</t>
  </si>
  <si>
    <t>(J)</t>
  </si>
  <si>
    <t>(K)</t>
  </si>
  <si>
    <t>(L)</t>
  </si>
  <si>
    <t>(M)</t>
  </si>
  <si>
    <t xml:space="preserve">Medium-Large Commercial </t>
  </si>
  <si>
    <t>Standby Customers</t>
  </si>
  <si>
    <t>Revenues @ Changed Rates</t>
  </si>
  <si>
    <t>Medium &amp; Large Commercial / Industrial Customers (Standard Customers)</t>
  </si>
  <si>
    <t>Description</t>
  </si>
  <si>
    <r>
      <t xml:space="preserve">Reference </t>
    </r>
    <r>
      <rPr>
        <vertAlign val="superscript"/>
        <sz val="14"/>
        <rFont val="Times New Roman"/>
        <family val="1"/>
      </rPr>
      <t>1</t>
    </r>
  </si>
  <si>
    <t>Energy Revenues:</t>
  </si>
  <si>
    <t xml:space="preserve">      Commodity Sales - kWh</t>
  </si>
  <si>
    <t>(Page BG-21.3, Line 145) x 1000</t>
  </si>
  <si>
    <t xml:space="preserve">      Commodity Rate - $/kWh</t>
  </si>
  <si>
    <t xml:space="preserve">         Total Commodity Revenues</t>
  </si>
  <si>
    <t>Line 2 x Line 3</t>
  </si>
  <si>
    <t>Non-Coincident Demand (100%) (kW):</t>
  </si>
  <si>
    <t xml:space="preserve">      Secondary</t>
  </si>
  <si>
    <t>(Page BG-21.1, Line 43) x 1000</t>
  </si>
  <si>
    <t xml:space="preserve">      Primary</t>
  </si>
  <si>
    <t>(Page BG-21.1, Line 44) x 1000</t>
  </si>
  <si>
    <t xml:space="preserve">      Transmission</t>
  </si>
  <si>
    <t>(Page BG-21.1, Line 45) x 1000</t>
  </si>
  <si>
    <t xml:space="preserve">          Total</t>
  </si>
  <si>
    <t>Sum Lines 7; 8; 9</t>
  </si>
  <si>
    <t xml:space="preserve">          Check Figure</t>
  </si>
  <si>
    <t xml:space="preserve">Page BG-18, Line 6 </t>
  </si>
  <si>
    <t xml:space="preserve">          Difference</t>
  </si>
  <si>
    <t>Line 10 Less Line 11</t>
  </si>
  <si>
    <t>Non-Coincident Demand (100%)</t>
  </si>
  <si>
    <t>Rates ($/kW):</t>
  </si>
  <si>
    <t>Statement BL, Page BL-1, Line 6, Col. D</t>
  </si>
  <si>
    <t xml:space="preserve">      Primary </t>
  </si>
  <si>
    <t>Statement BL, Page BL-1, Line 6, Col. C</t>
  </si>
  <si>
    <t>Statement BL, Page BL-1, Line 6, Col. B</t>
  </si>
  <si>
    <t>Non-Coincident Demand (100%) -</t>
  </si>
  <si>
    <t>Revenues at Changed Rates:</t>
  </si>
  <si>
    <t>Line 7 x Line 16</t>
  </si>
  <si>
    <t>Line 8 x Line 17</t>
  </si>
  <si>
    <t>Line 9 x Line 18</t>
  </si>
  <si>
    <t xml:space="preserve">          Subtotal</t>
  </si>
  <si>
    <t>Sum Lines 21; 22; 23</t>
  </si>
  <si>
    <t>Line 26 x Line 27</t>
  </si>
  <si>
    <t>Sum Lines 31; 32; 33</t>
  </si>
  <si>
    <t xml:space="preserve">Page BG-19, Line 6 </t>
  </si>
  <si>
    <t>Line 34 Less Line 35</t>
  </si>
  <si>
    <t>Line 31 x Line 40</t>
  </si>
  <si>
    <t>Line 32 x Line 41</t>
  </si>
  <si>
    <t>Line 33 x Line 42</t>
  </si>
  <si>
    <t>Total Revenues at Changed Rates:</t>
  </si>
  <si>
    <t>Sum Lines 45; 46; 47</t>
  </si>
  <si>
    <t xml:space="preserve">Reference data found in Statements BG and BL. </t>
  </si>
  <si>
    <r>
      <t xml:space="preserve">Reference </t>
    </r>
    <r>
      <rPr>
        <vertAlign val="superscript"/>
        <sz val="14"/>
        <rFont val="Times New Roman"/>
        <family val="1"/>
      </rPr>
      <t>2</t>
    </r>
  </si>
  <si>
    <t>Non-coincident</t>
  </si>
  <si>
    <r>
      <t xml:space="preserve">Demand (90%) (kW) </t>
    </r>
    <r>
      <rPr>
        <u/>
        <vertAlign val="superscript"/>
        <sz val="14"/>
        <rFont val="Times New Roman"/>
        <family val="1"/>
      </rPr>
      <t>1</t>
    </r>
    <r>
      <rPr>
        <u/>
        <sz val="14"/>
        <rFont val="Times New Roman"/>
        <family val="1"/>
      </rPr>
      <t>:</t>
    </r>
  </si>
  <si>
    <t xml:space="preserve">(Pages BG-21.2 &amp; 21.3, Line 70 + Line 116) x 1000 </t>
  </si>
  <si>
    <t>(Pages BG-21.2 &amp; 21.3, Line 71 + Line 117) x 1000</t>
  </si>
  <si>
    <t>(Pages BG-21.2 &amp; 21.3, Line 72 + Line 118) x 1000</t>
  </si>
  <si>
    <t>Sum Lines 3; 4; 5</t>
  </si>
  <si>
    <t>Page BG-18, Line 7</t>
  </si>
  <si>
    <t>Line 6 Less Line 7</t>
  </si>
  <si>
    <t>Non-Coincident Demand (90%)</t>
  </si>
  <si>
    <t>Statement BL, Page BL-1, Line 8, Col. D</t>
  </si>
  <si>
    <t>Statement BL, Page BL-1, Line 8, Col. C</t>
  </si>
  <si>
    <t>Statement BL, Page BL-1, Line 8, Col. B</t>
  </si>
  <si>
    <t>Non-Coincident Demand (90%) -</t>
  </si>
  <si>
    <t xml:space="preserve">Line 3 x Line 12 </t>
  </si>
  <si>
    <t xml:space="preserve">Line 4 x Line 13 </t>
  </si>
  <si>
    <t xml:space="preserve">Line 5 x Line 14 </t>
  </si>
  <si>
    <t>Sum Lines 17; 18; 19</t>
  </si>
  <si>
    <t>Non-Coincident</t>
  </si>
  <si>
    <t>Sum Lines 23; 24; 25</t>
  </si>
  <si>
    <t>Page BG-19, Line 7</t>
  </si>
  <si>
    <t>Line 26 Less Line 27</t>
  </si>
  <si>
    <t xml:space="preserve">Line 23 x Line 32 </t>
  </si>
  <si>
    <t xml:space="preserve">Line 24 x Line 33 </t>
  </si>
  <si>
    <t xml:space="preserve">Line 25 x Line 34 </t>
  </si>
  <si>
    <t>Sum Lines 37; 38; 39</t>
  </si>
  <si>
    <t>NCD (90%) rates are applicable to the following CPUC tariffs: Schedules AL-TOU, AL-TOU2, DG-R, and A6-TOU.</t>
  </si>
  <si>
    <r>
      <t xml:space="preserve">Medium &amp; Large Commercial / Industrial Customers (Standard Customers) </t>
    </r>
    <r>
      <rPr>
        <vertAlign val="superscript"/>
        <sz val="14"/>
        <rFont val="Times New Roman"/>
        <family val="1"/>
      </rPr>
      <t>1</t>
    </r>
  </si>
  <si>
    <r>
      <t xml:space="preserve">Reference </t>
    </r>
    <r>
      <rPr>
        <vertAlign val="superscript"/>
        <sz val="14"/>
        <rFont val="Times New Roman"/>
        <family val="1"/>
      </rPr>
      <t>3</t>
    </r>
  </si>
  <si>
    <t>Maximum On-Peak</t>
  </si>
  <si>
    <r>
      <t>Period Demand (kW)</t>
    </r>
    <r>
      <rPr>
        <u/>
        <vertAlign val="superscript"/>
        <sz val="14"/>
        <rFont val="Times New Roman"/>
        <family val="1"/>
      </rPr>
      <t xml:space="preserve"> 2</t>
    </r>
    <r>
      <rPr>
        <u/>
        <sz val="14"/>
        <rFont val="Times New Roman"/>
        <family val="1"/>
      </rPr>
      <t>:</t>
    </r>
  </si>
  <si>
    <t>(Page BG-21.2, Line 80) x 1000</t>
  </si>
  <si>
    <t>(Page BG-21.2, Line 81) x 1000</t>
  </si>
  <si>
    <t>(Page BG-21.2, Line 82) x 1000</t>
  </si>
  <si>
    <t>Page BG-18, Line 8</t>
  </si>
  <si>
    <t>Period Demand Rates ($/kW):</t>
  </si>
  <si>
    <t>Statement BL, Page 1, Lines 11 &amp; 12, Col. D</t>
  </si>
  <si>
    <t>Statement BL, Page 1, Lines 11 &amp; 12, Col. C</t>
  </si>
  <si>
    <t>Statement BL, Page 1, Lines 11 &amp; 12, Col. B</t>
  </si>
  <si>
    <t>Maximum On-Peak Period Demand -</t>
  </si>
  <si>
    <t>Line 3 x Line 12</t>
  </si>
  <si>
    <t>Line 4 x Line 13</t>
  </si>
  <si>
    <t>Line 5 x Line 14</t>
  </si>
  <si>
    <r>
      <t xml:space="preserve">Period Demand (kW) </t>
    </r>
    <r>
      <rPr>
        <u/>
        <vertAlign val="superscript"/>
        <sz val="14"/>
        <rFont val="Times New Roman"/>
        <family val="1"/>
      </rPr>
      <t>2</t>
    </r>
    <r>
      <rPr>
        <u/>
        <sz val="14"/>
        <rFont val="Times New Roman"/>
        <family val="1"/>
      </rPr>
      <t>:</t>
    </r>
  </si>
  <si>
    <t>Page BG-19, Line 8</t>
  </si>
  <si>
    <t>Line 23 x Line 32</t>
  </si>
  <si>
    <t>Line 24 x Line 33</t>
  </si>
  <si>
    <t>Line 25 x Line 34</t>
  </si>
  <si>
    <t>Standard Customers have Maximum On-Peak Period Demand rates based on SDG&amp;E's on-peak period of 4-9 p.m. everyday year-round.</t>
  </si>
  <si>
    <t>Maximum On-Peak Demand rates are applicable to the following CPUC tariffs: Schedules AL-TOU, AL-TOU2, and DG-R.</t>
  </si>
  <si>
    <t>Maximum Demand</t>
  </si>
  <si>
    <r>
      <t xml:space="preserve">at the Time of System Peak (kW) </t>
    </r>
    <r>
      <rPr>
        <u/>
        <vertAlign val="superscript"/>
        <sz val="14"/>
        <rFont val="Times New Roman"/>
        <family val="1"/>
      </rPr>
      <t>2</t>
    </r>
    <r>
      <rPr>
        <u/>
        <sz val="14"/>
        <rFont val="Times New Roman"/>
        <family val="1"/>
      </rPr>
      <t>:</t>
    </r>
  </si>
  <si>
    <t>(Page BG-21.3, Line 126) x 1000</t>
  </si>
  <si>
    <t>(Page BG-21.3, Line 127) x 1000</t>
  </si>
  <si>
    <t>(Page BG-21.3, Line 128) x 1000</t>
  </si>
  <si>
    <t>Page BG-18, Line 9</t>
  </si>
  <si>
    <t>Maximum Demand at the</t>
  </si>
  <si>
    <t>Time of System Peak Rates ($/kW):</t>
  </si>
  <si>
    <t>Statement BL, Page BL-1, Lines 19 &amp; 20, Col. D</t>
  </si>
  <si>
    <t>Statement BL, Page BL-1, Lines 19 &amp; 20, Col. C</t>
  </si>
  <si>
    <t>Statement BL, Page BL-1, Lines 19 &amp; 20, Col. B</t>
  </si>
  <si>
    <t>Maximum Demand at the Time of System</t>
  </si>
  <si>
    <t>Peak - Revenues at Changed Rates:</t>
  </si>
  <si>
    <t xml:space="preserve">             Total</t>
  </si>
  <si>
    <t>Sum Line 26; Page BG-6, Line 4</t>
  </si>
  <si>
    <t>Page BG-19, Line 9</t>
  </si>
  <si>
    <t>Sum Lines 51; 52; 53</t>
  </si>
  <si>
    <t>Sum Line 54; Page BG-6, Line 28</t>
  </si>
  <si>
    <t>Standard Customers have Maximum Demand at the Time of System Peak rates based on SDG&amp;E's on-peak period of 4-9 p.m. everyday year-round.</t>
  </si>
  <si>
    <t>Maximum Demand at the Time of System Peak rates are applicable to the following CPUC tariff: Schedule A6-TOU.</t>
  </si>
  <si>
    <r>
      <t xml:space="preserve">Medium &amp; Large Commercial / Industrial Customers (Grandfathered Customers) </t>
    </r>
    <r>
      <rPr>
        <vertAlign val="superscript"/>
        <sz val="14"/>
        <rFont val="Times New Roman"/>
        <family val="1"/>
      </rPr>
      <t>1</t>
    </r>
  </si>
  <si>
    <t>(Page BG-21.2, Line 90) x 1000</t>
  </si>
  <si>
    <t>(Page BG-21.2, Line 91) x 1000</t>
  </si>
  <si>
    <t>(Page BG-21.2, Line 92) x 1000</t>
  </si>
  <si>
    <t>Page BG-18, Line 10</t>
  </si>
  <si>
    <t>Statement BL, Page 1, Lines 15 &amp; 16, Col. D</t>
  </si>
  <si>
    <t>Statement BL, Page 1, Lines 15 &amp; 16, Col. C</t>
  </si>
  <si>
    <t>Statement BL, Page 1, Lines 15 &amp; 16, Col. B</t>
  </si>
  <si>
    <t>Page BG-19, Line 10</t>
  </si>
  <si>
    <t>Grandfathered Customers have Maximum On-Peak Demand rates based on SDG&amp;E's previous on-peak period of 11 a.m. - 6 p.m. summer and 5-8 p.m. winter on weekdays.</t>
  </si>
  <si>
    <t>(Page BG-21.3, Line 136) x 1000</t>
  </si>
  <si>
    <t>(Page BG-21.3, Line 137) x 1000</t>
  </si>
  <si>
    <t>(Page BG-21.3, Line 138) x 1000</t>
  </si>
  <si>
    <t>Page BG-18, Line 11</t>
  </si>
  <si>
    <t>Statement BL, Page BL-1, Lines 23 &amp; 24, Col. D</t>
  </si>
  <si>
    <t>Statement BL, Page BL-1, Lines 23 &amp; 24, Col. C</t>
  </si>
  <si>
    <t>Statement BL, Page BL-1, Lines 23 &amp; 24, Col. B</t>
  </si>
  <si>
    <r>
      <t>at the Time of System Peak (kW)</t>
    </r>
    <r>
      <rPr>
        <u/>
        <vertAlign val="superscript"/>
        <sz val="14"/>
        <rFont val="Times New Roman"/>
        <family val="1"/>
      </rPr>
      <t xml:space="preserve"> 2</t>
    </r>
    <r>
      <rPr>
        <u/>
        <sz val="14"/>
        <rFont val="Times New Roman"/>
        <family val="1"/>
      </rPr>
      <t>:</t>
    </r>
  </si>
  <si>
    <t>Page BG-19, Line 11</t>
  </si>
  <si>
    <t>Grandfathered Customers have Maximum Demand at the Time of System Peak rates based on SDG&amp;E's previous on-peak period of 11 a.m. - 6 p.m. summer and 5-8 p.m. winter on weekdays.</t>
  </si>
  <si>
    <t>San Diego Unified Port District Customer</t>
  </si>
  <si>
    <r>
      <t>Reference</t>
    </r>
    <r>
      <rPr>
        <vertAlign val="superscript"/>
        <sz val="14"/>
        <rFont val="Times New Roman"/>
        <family val="1"/>
      </rPr>
      <t>2</t>
    </r>
  </si>
  <si>
    <t>(Page BG-21.3, Line 160) x 1000</t>
  </si>
  <si>
    <t>Non-Coincident Demand (90%) (kW) ¹:</t>
  </si>
  <si>
    <t>(Page BG-21.3, Line 162) x 1000</t>
  </si>
  <si>
    <t>Statement BL, Page BL-1, Line 29, Col. C</t>
  </si>
  <si>
    <t>Line 7 x Line 11</t>
  </si>
  <si>
    <t>(Page BG-21.3, Line 164) x 1000</t>
  </si>
  <si>
    <t>Statement BL, Page BL-1, Lines 31 &amp; 32, Col. C</t>
  </si>
  <si>
    <t>Line 18 x Line 22</t>
  </si>
  <si>
    <t>Total Revenues</t>
  </si>
  <si>
    <t>Sum Lines 4; 14; 26</t>
  </si>
  <si>
    <t>Line 30 x Line 31</t>
  </si>
  <si>
    <t>Line 35 x Line 39</t>
  </si>
  <si>
    <t>Line 46 x Line 50</t>
  </si>
  <si>
    <t>Sum Lines 32; 42; 54</t>
  </si>
  <si>
    <t>Schedule PA-T-1 Agricultural Customers (Standard Customers)</t>
  </si>
  <si>
    <t>(Page BG-21.4, Line 169) x 1000</t>
  </si>
  <si>
    <t>Non-Coincident Demand (100%) (kW) ¹:</t>
  </si>
  <si>
    <t>(Page BG-21.4, Line 187) x 1000</t>
  </si>
  <si>
    <t>(Page BG-21.4, Line 188) x 1000</t>
  </si>
  <si>
    <t>(Page BG-21.4, Line 189) x 1000</t>
  </si>
  <si>
    <t>Page BG-18, Line 19</t>
  </si>
  <si>
    <t>Statement BL, Page BL-1, Line 37, Col. D</t>
  </si>
  <si>
    <t>Statement BL, Page BL-1, Line 37, Col. C</t>
  </si>
  <si>
    <t>Statement BL, Page BL-1, Line 37, Col. B</t>
  </si>
  <si>
    <t>Page BG-19, Line 19</t>
  </si>
  <si>
    <t>Non-Coincident Demand (NCD) (100%) rates applicable to the following California Public Utilities Commission (CPUC) tariff: Schedule PA-T-1.</t>
  </si>
  <si>
    <t>Demand - Billing</t>
  </si>
  <si>
    <t>Determinants (kW):</t>
  </si>
  <si>
    <t>(Page BG-21.4, Line 197) x 1000</t>
  </si>
  <si>
    <t>(Page BG-21.4, Line 198) x 1000</t>
  </si>
  <si>
    <t>(Page BG-21.4, Line 199) x 1000</t>
  </si>
  <si>
    <t>Page BG-18, Line 25</t>
  </si>
  <si>
    <t>Demand Rates ($/kW):</t>
  </si>
  <si>
    <t>Statement BL, Page BL-1, Line 41, Col. D</t>
  </si>
  <si>
    <t>Statement BL, Page BL-1, Line 41, Col. C</t>
  </si>
  <si>
    <t>Statement BL, Page BL-1, Line 41, Col. B</t>
  </si>
  <si>
    <t>Line 3 x Line 11</t>
  </si>
  <si>
    <t>Line 4 x Line 12</t>
  </si>
  <si>
    <t>Line 5 x Line 13</t>
  </si>
  <si>
    <t>Sum Lines 16; 17; 18</t>
  </si>
  <si>
    <t>at Changed Rates:</t>
  </si>
  <si>
    <t>Line 19</t>
  </si>
  <si>
    <t>Sum Lines 25; 26; 27</t>
  </si>
  <si>
    <t>Page BG-19, Line 25</t>
  </si>
  <si>
    <t>Line 28 Less Line 29</t>
  </si>
  <si>
    <t>Line 25 x Line 33</t>
  </si>
  <si>
    <t>Line 26 x Line 34</t>
  </si>
  <si>
    <t>Line 27 x Line 35</t>
  </si>
  <si>
    <t>Sum Lines 38; 39; 40</t>
  </si>
  <si>
    <t>Line 41</t>
  </si>
  <si>
    <t>Statement - BG</t>
  </si>
  <si>
    <t>SAN DIEGO GAS &amp; ELECTRIC COMPANY</t>
  </si>
  <si>
    <t>Rate Design Information - Wholesale Transmission Rates</t>
  </si>
  <si>
    <t xml:space="preserve">High-Voltage Utility Specific Rates, Low -Voltage Wheeling Access Charge &amp; Low Voltage Access Charge Rates </t>
  </si>
  <si>
    <t>(1)</t>
  </si>
  <si>
    <t>(2)</t>
  </si>
  <si>
    <t>(3) = (1 ) + (2)</t>
  </si>
  <si>
    <t>High Voltage</t>
  </si>
  <si>
    <t>Low Voltage</t>
  </si>
  <si>
    <t>Combined</t>
  </si>
  <si>
    <t>TRR</t>
  </si>
  <si>
    <t>Components</t>
  </si>
  <si>
    <t>Notes &amp; Reference</t>
  </si>
  <si>
    <t>Wholesale Base Transmission Revenue Requirement</t>
  </si>
  <si>
    <t>Statement BL-CAISO Wholesale; Page 1; Line 1; Col. 1 thru 3</t>
  </si>
  <si>
    <r>
      <t xml:space="preserve">Wholesale TRBAA Forecast </t>
    </r>
    <r>
      <rPr>
        <b/>
        <vertAlign val="superscript"/>
        <sz val="14"/>
        <rFont val="Times New Roman"/>
        <family val="1"/>
      </rPr>
      <t>1</t>
    </r>
  </si>
  <si>
    <t>Statement BL-CAISO Wholesale; Page 1; Line 3; Col. 1 thru 3</t>
  </si>
  <si>
    <t>Transmission Standby Revenues</t>
  </si>
  <si>
    <t>Statement BL-CAISO Wholesale; Page 1; Line 5; Col. 1 thru 3</t>
  </si>
  <si>
    <t>Wholesale Net Transmission Revenue Requirement</t>
  </si>
  <si>
    <t>Sum Lines 1; 3; 5</t>
  </si>
  <si>
    <t xml:space="preserve">Gross Load - MWH </t>
  </si>
  <si>
    <t>Statement BL-CAISO Wholesale; Page 1; Line 9; Col. 1 thru 3</t>
  </si>
  <si>
    <t xml:space="preserve">Utility Specific Access Charges ($/MWH)  </t>
  </si>
  <si>
    <t>Line 7 / Line 9</t>
  </si>
  <si>
    <t>Revenue Data To Reflect Changed Rates</t>
  </si>
  <si>
    <t>(N)</t>
  </si>
  <si>
    <t>Customer Class</t>
  </si>
  <si>
    <t>Reference</t>
  </si>
  <si>
    <t>Billing Determinants (kWh)</t>
  </si>
  <si>
    <r>
      <t>HV Access Charge Rate ($/kwh)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</si>
  <si>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See Note 1</t>
  </si>
  <si>
    <t>LV Access Charge Rate ($/kwh)</t>
  </si>
  <si>
    <t>HV Access Charge Revenues</t>
  </si>
  <si>
    <t>Line 1 x Line 4</t>
  </si>
  <si>
    <t>LV Access Charge Revenues</t>
  </si>
  <si>
    <t>Line 1 x Line 6</t>
  </si>
  <si>
    <t xml:space="preserve">   TOTAL Revenues</t>
  </si>
  <si>
    <t>Line 9 + Line 11</t>
  </si>
  <si>
    <t>NOTES</t>
  </si>
  <si>
    <t>Calculation of Total Rate Impact</t>
  </si>
  <si>
    <t>Total Estimated Present</t>
  </si>
  <si>
    <t>Total Proposed</t>
  </si>
  <si>
    <t>Rate</t>
  </si>
  <si>
    <t>Change</t>
  </si>
  <si>
    <t>(cents / kWh)</t>
  </si>
  <si>
    <t>(%)</t>
  </si>
  <si>
    <t>Total System Electric Costs</t>
  </si>
  <si>
    <t>Base Transmission Costs</t>
  </si>
  <si>
    <r>
      <t xml:space="preserve">Total </t>
    </r>
    <r>
      <rPr>
        <vertAlign val="superscript"/>
        <sz val="14"/>
        <rFont val="Times New Roman"/>
        <family val="1"/>
      </rPr>
      <t>1</t>
    </r>
  </si>
  <si>
    <t>California Climate Credit.</t>
  </si>
  <si>
    <t>System Sales (kWh)</t>
  </si>
  <si>
    <r>
      <t xml:space="preserve">Transmission Revenues under Changed Rates </t>
    </r>
    <r>
      <rPr>
        <vertAlign val="superscript"/>
        <sz val="14"/>
        <rFont val="Times New Roman"/>
        <family val="1"/>
      </rPr>
      <t>1</t>
    </r>
  </si>
  <si>
    <t>Statement BG, Page BG-2, Line 30, Col. G</t>
  </si>
  <si>
    <r>
      <t xml:space="preserve">Transmission Revenues under Present Rates </t>
    </r>
    <r>
      <rPr>
        <vertAlign val="superscript"/>
        <sz val="14"/>
        <rFont val="Times New Roman"/>
        <family val="1"/>
      </rPr>
      <t>2</t>
    </r>
  </si>
  <si>
    <t>Statement BH, Page BH-1, Line 30, Col. G</t>
  </si>
  <si>
    <t>`</t>
  </si>
  <si>
    <r>
      <t xml:space="preserve">Incremental Transmission Revenue Change </t>
    </r>
    <r>
      <rPr>
        <vertAlign val="superscript"/>
        <sz val="14"/>
        <rFont val="Times New Roman"/>
        <family val="1"/>
      </rPr>
      <t>3</t>
    </r>
  </si>
  <si>
    <t>Incremental Transmission Rate Change (cents / kWh)</t>
  </si>
  <si>
    <t>Line 7 / Line 1 x 100</t>
  </si>
  <si>
    <r>
      <t>Estimated Present Base Transmission Rate (cents / kWh)</t>
    </r>
    <r>
      <rPr>
        <vertAlign val="superscript"/>
        <sz val="14"/>
        <rFont val="Times New Roman"/>
        <family val="1"/>
      </rPr>
      <t>4</t>
    </r>
  </si>
  <si>
    <t>Proposed Base Transmission Rate (cents / kWh)</t>
  </si>
  <si>
    <t>Transmission Revenues under Changed Rates are revenues based on SDG&amp;E's illustrative proposed rates.</t>
  </si>
  <si>
    <t>Incremental Transmission Revenue Change adjusted to reflect difference in CPUC-approved sales and FERC billing determinants.</t>
  </si>
  <si>
    <t>Billing Determinants</t>
  </si>
  <si>
    <r>
      <t xml:space="preserve">Billing Determinants </t>
    </r>
    <r>
      <rPr>
        <vertAlign val="superscript"/>
        <sz val="14"/>
        <rFont val="Times New Roman"/>
        <family val="1"/>
      </rPr>
      <t>5</t>
    </r>
  </si>
  <si>
    <r>
      <t xml:space="preserve">Residential </t>
    </r>
    <r>
      <rPr>
        <vertAlign val="superscript"/>
        <sz val="14"/>
        <rFont val="Times New Roman"/>
        <family val="1"/>
      </rPr>
      <t>6</t>
    </r>
  </si>
  <si>
    <t xml:space="preserve">     Non-Coincident (100%) </t>
  </si>
  <si>
    <r>
      <t xml:space="preserve">     Non-Coincident (90%) </t>
    </r>
    <r>
      <rPr>
        <vertAlign val="superscript"/>
        <sz val="14"/>
        <rFont val="Times New Roman"/>
        <family val="1"/>
      </rPr>
      <t>2</t>
    </r>
  </si>
  <si>
    <r>
      <t xml:space="preserve">     Maximum On-Peak Period Demand-Standard Customers </t>
    </r>
    <r>
      <rPr>
        <vertAlign val="superscript"/>
        <sz val="14"/>
        <rFont val="Times New Roman"/>
        <family val="1"/>
      </rPr>
      <t>3</t>
    </r>
  </si>
  <si>
    <r>
      <t xml:space="preserve">     Maximum Demand at the Time of System Peak-Standard Customers </t>
    </r>
    <r>
      <rPr>
        <vertAlign val="superscript"/>
        <sz val="14"/>
        <rFont val="Times New Roman"/>
        <family val="1"/>
      </rPr>
      <t>4</t>
    </r>
  </si>
  <si>
    <r>
      <t xml:space="preserve">     Maximum On-Peak Period Demand-Grandfathered Customers </t>
    </r>
    <r>
      <rPr>
        <vertAlign val="superscript"/>
        <sz val="14"/>
        <rFont val="Times New Roman"/>
        <family val="1"/>
      </rPr>
      <t>3</t>
    </r>
  </si>
  <si>
    <r>
      <t xml:space="preserve">     Maximum Demand at the Time of System Peak-Grandfathered Customers </t>
    </r>
    <r>
      <rPr>
        <vertAlign val="superscript"/>
        <sz val="14"/>
        <rFont val="Times New Roman"/>
        <family val="1"/>
      </rPr>
      <t>4</t>
    </r>
  </si>
  <si>
    <r>
      <t xml:space="preserve">     Maximum Demand at the Time of System Peak</t>
    </r>
    <r>
      <rPr>
        <vertAlign val="superscript"/>
        <sz val="14"/>
        <rFont val="Times New Roman"/>
        <family val="1"/>
      </rPr>
      <t>4</t>
    </r>
  </si>
  <si>
    <r>
      <t xml:space="preserve">     Non-Coincident Demand - Schedule PA-T-1 (100%) </t>
    </r>
    <r>
      <rPr>
        <vertAlign val="superscript"/>
        <sz val="14"/>
        <rFont val="Times New Roman"/>
        <family val="1"/>
      </rPr>
      <t>1</t>
    </r>
  </si>
  <si>
    <t>Sale for Resale</t>
  </si>
  <si>
    <t>NCD (90%) rates are applicable to the following CPUC tariffs: Schedules AL-TOU, AL-TOU2, DG-R, A6-TOU, and San Diego Unified Port District.</t>
  </si>
  <si>
    <t>Maximum On-Peak Demand rates are applicable to the following CPUC tariffs: Schedules AL-TOU, AL-TOU2, and DG-R.  Standard Customers have demand rates based on SDG&amp;E's on-peak period of 4-9 p.m. everyday year-round whereas Grandfathered Customers have demand rates</t>
  </si>
  <si>
    <t>based on SDG&amp;E's previous on-peak period of 11 a.m. - 6 p.m. summer and  5-8 p.m. winter on weekdays.</t>
  </si>
  <si>
    <t>Residential billing determinants exclude EV-TOU-5 super off-peak kWh because EV-TOU-5 super off-peak kWh usage is exempt from paying transmission rates.</t>
  </si>
  <si>
    <t>12 Months to Date</t>
  </si>
  <si>
    <r>
      <t xml:space="preserve">     Non-Coincident (100%) </t>
    </r>
    <r>
      <rPr>
        <vertAlign val="superscript"/>
        <sz val="14"/>
        <rFont val="Times New Roman"/>
        <family val="1"/>
      </rPr>
      <t>1</t>
    </r>
  </si>
  <si>
    <r>
      <t xml:space="preserve">     Non-Coincident Demand (100%) </t>
    </r>
    <r>
      <rPr>
        <vertAlign val="superscript"/>
        <sz val="14"/>
        <rFont val="Times New Roman"/>
        <family val="1"/>
      </rPr>
      <t>1</t>
    </r>
  </si>
  <si>
    <t>Maximum On-Peak Demand rates are applicable to the following CPUC tariffs: Schedules AL-TOU, AL-TOU2, and DG-R.  Determinants shown are for</t>
  </si>
  <si>
    <t>Maximum Demand at the Time of System Peak rates are applicable to the following CPUC tariff: Schedules A6-TOU.  Determinants shown are for Standard</t>
  </si>
  <si>
    <t>Statement BG: San Diego Gas &amp; Electric Company</t>
  </si>
  <si>
    <t>System Delivery</t>
  </si>
  <si>
    <t>Determinants</t>
  </si>
  <si>
    <t>Deliveries (MWh)</t>
  </si>
  <si>
    <t>M.&amp; L. C./I. (AD)</t>
  </si>
  <si>
    <t>M.&amp; L. C./I. (AY, AL, DG-R)</t>
  </si>
  <si>
    <t>M.&amp; L. C./I. (A6)</t>
  </si>
  <si>
    <t>Agriculture (PA and TOU-PA)</t>
  </si>
  <si>
    <t>Agriculture (PA-T-1)</t>
  </si>
  <si>
    <t>Lighting</t>
  </si>
  <si>
    <t>Total System</t>
  </si>
  <si>
    <t>Med. &amp; Large Comm./Ind.</t>
  </si>
  <si>
    <t>Rate Schedule</t>
  </si>
  <si>
    <t>Schedule AD:</t>
  </si>
  <si>
    <t>Total Deliveries (MWh)</t>
  </si>
  <si>
    <t>Total Deliveries (%)</t>
  </si>
  <si>
    <t>% @ Secondary Service</t>
  </si>
  <si>
    <t>% @ Primary Service</t>
  </si>
  <si>
    <t>% @ Transmission Service</t>
  </si>
  <si>
    <t>MWh @ Secondary Service</t>
  </si>
  <si>
    <t>MWh @ Primary Service</t>
  </si>
  <si>
    <t>MWh @ Transmission Service</t>
  </si>
  <si>
    <t>Maximum Demand (%)</t>
  </si>
  <si>
    <t>Maximum Demand (MW)</t>
  </si>
  <si>
    <t>MW @ Secondary Service</t>
  </si>
  <si>
    <t>MW @ Primary Service</t>
  </si>
  <si>
    <t>MW @ Transmission Service</t>
  </si>
  <si>
    <t>Schedules</t>
  </si>
  <si>
    <t>Schedules OL-TOU/AL-TOU/AL-TOU2/DG-R:</t>
  </si>
  <si>
    <t>Grandfathered Customers have Maximum On-Peak Periods Demand rates based on SDG&amp;E's previous on-peak period of 11 a.m. - 6 p.m. summer and 5-8 p.m. winter on weekdays.</t>
  </si>
  <si>
    <t>Non-Coincident Demand (%)</t>
  </si>
  <si>
    <t>Non-Coincident Demand (MW)</t>
  </si>
  <si>
    <r>
      <t xml:space="preserve">On-Peak Demand-Standard Customers (%) </t>
    </r>
    <r>
      <rPr>
        <b/>
        <u/>
        <vertAlign val="superscript"/>
        <sz val="14"/>
        <rFont val="Times New Roman"/>
        <family val="1"/>
      </rPr>
      <t>2</t>
    </r>
  </si>
  <si>
    <r>
      <t>On-Peak Demand-Standard Customers (MW)</t>
    </r>
    <r>
      <rPr>
        <b/>
        <u/>
        <vertAlign val="superscript"/>
        <sz val="14"/>
        <rFont val="Times New Roman"/>
        <family val="1"/>
      </rPr>
      <t xml:space="preserve"> 2</t>
    </r>
  </si>
  <si>
    <r>
      <t xml:space="preserve">On-Peak Demand-Grandfathered Customers (%) </t>
    </r>
    <r>
      <rPr>
        <b/>
        <u/>
        <vertAlign val="superscript"/>
        <sz val="14"/>
        <rFont val="Times New Roman"/>
        <family val="1"/>
      </rPr>
      <t>3</t>
    </r>
  </si>
  <si>
    <r>
      <t>On-Peak Demand-Grandfathered Customers (MW)</t>
    </r>
    <r>
      <rPr>
        <b/>
        <u/>
        <vertAlign val="superscript"/>
        <sz val="14"/>
        <rFont val="Times New Roman"/>
        <family val="1"/>
      </rPr>
      <t xml:space="preserve"> 3</t>
    </r>
  </si>
  <si>
    <t>Schedule A6-TOU:</t>
  </si>
  <si>
    <r>
      <t>Coincident Peak Demand-Standard Customers (%)</t>
    </r>
    <r>
      <rPr>
        <b/>
        <u/>
        <vertAlign val="superscript"/>
        <sz val="14"/>
        <rFont val="Times New Roman"/>
        <family val="1"/>
      </rPr>
      <t xml:space="preserve"> 2</t>
    </r>
  </si>
  <si>
    <r>
      <t>Coincident Peak Demand-Standard Customers (MW)</t>
    </r>
    <r>
      <rPr>
        <b/>
        <u/>
        <vertAlign val="superscript"/>
        <sz val="14"/>
        <rFont val="Times New Roman"/>
        <family val="1"/>
      </rPr>
      <t xml:space="preserve"> 2</t>
    </r>
  </si>
  <si>
    <r>
      <t xml:space="preserve">Coincident Peak Demand-Grandfathered Customers (%) </t>
    </r>
    <r>
      <rPr>
        <b/>
        <u/>
        <vertAlign val="superscript"/>
        <sz val="14"/>
        <rFont val="Times New Roman"/>
        <family val="1"/>
      </rPr>
      <t>3</t>
    </r>
  </si>
  <si>
    <r>
      <t>Coincident Peak Demand-Grandfathered Customers (MW)</t>
    </r>
    <r>
      <rPr>
        <b/>
        <u/>
        <vertAlign val="superscript"/>
        <sz val="14"/>
        <rFont val="Times New Roman"/>
        <family val="1"/>
      </rPr>
      <t xml:space="preserve"> 3</t>
    </r>
  </si>
  <si>
    <t xml:space="preserve"> </t>
  </si>
  <si>
    <t>Class Total:</t>
  </si>
  <si>
    <t>Schedule PA-T-1:</t>
  </si>
  <si>
    <t>Schedule S</t>
  </si>
  <si>
    <t>Standby Determinants:</t>
  </si>
  <si>
    <t>Standby Demand (MW)</t>
  </si>
  <si>
    <t>Schedule EV-TOU-5:</t>
  </si>
  <si>
    <t>Deliveries (MWh) by Time-Of-Use (TOU) Period</t>
  </si>
  <si>
    <t>MWh @ On-Peak</t>
  </si>
  <si>
    <t>MWh @ Off-Peak</t>
  </si>
  <si>
    <t>MWh @ Super Off-Peak</t>
  </si>
  <si>
    <t>On-Peak Demand and Coincident Peak Demand (%) and (MW) for Standard Customers are for customers that have Maximum On-Peak Demand and Maximum Demand at the Time of System Peak rates based on SDG&amp;E's on-peak period of 4-9 p.m. everyday year-round.</t>
  </si>
  <si>
    <t>On-Peak Demand and Coincident Peak Demand (%) and (MW) for Grandfathered Customers are for customers that have Maximum On-Peak Demand and Maximum Demand at the Time of System Peak rates based on SDG&amp;E's previous on-peak period of 11 a.m. - 6 p.m. summer and 5-8 p.m. winter weekdays.</t>
  </si>
  <si>
    <t>Stmt BD; Page - 3.1; Line "Sale for Resale" * 1000</t>
  </si>
  <si>
    <r>
      <t>Reference</t>
    </r>
    <r>
      <rPr>
        <vertAlign val="superscript"/>
        <sz val="14"/>
        <rFont val="Times New Roman"/>
        <family val="1"/>
      </rPr>
      <t>3</t>
    </r>
  </si>
  <si>
    <t>Line 17 + Page BG-6 Line 21 + Page BG-7 Line 17 + Page BG-8 Line 17</t>
  </si>
  <si>
    <t>Line 18 + Page BG-6 Line 22 + Page BG-7 Line 18 + Page BG-8 Line 18</t>
  </si>
  <si>
    <t>Line 19 + Page BG-6 Line 23 + Page BG-7 Line 19 + Page BG-8 Line 19</t>
  </si>
  <si>
    <t>Line 45 + Page BG-6 Line 45 + Page BG-7 Line 37 + Page BG-8 Line 37</t>
  </si>
  <si>
    <t>Line 46 + Page BG-6 Line 46 + Page BG-7 Line 38 + Page BG-8 Line 38</t>
  </si>
  <si>
    <t>Line 47 + Page BG-6 Line 47 + Page BG-7 Line 39 + Page BG-8 Line 39</t>
  </si>
  <si>
    <t>Page BG-3 through BG-5, Lines 52 and 53.</t>
  </si>
  <si>
    <t>Sum Lines 1, 4, 7, 10, 20, 23, 26</t>
  </si>
  <si>
    <t>(Line 3 Less Line 5) * (Line 1 / Page BG-20, Line 25 Less Line 21)</t>
  </si>
  <si>
    <t>Billing Determinants are found in Statement BG, Pages BG-18 and BG-19.</t>
  </si>
  <si>
    <t>Billing Determinants are found in Statement BG, Page BG-21.1 through BG-21.4.</t>
  </si>
  <si>
    <t>Page BG-15; Line 11; Col. (2) / 1000</t>
  </si>
  <si>
    <t>on-peak period of 4-9 p.m. everyday year-round. Grandfathered Maximum On-Peak Demand rates and Maximum Demand at the Time of System Peak rates, which are based on SDG&amp;E's</t>
  </si>
  <si>
    <t>previous on-peak period of 11 a.m. - 6 p.m. summer and 5-8 p.m. winter on weekdays, are not included due to assumed revenue neutrality.</t>
  </si>
  <si>
    <t>Standard Customers based on SDG&amp;E's on-peak period of 4-9 p.m. everyday year-round.</t>
  </si>
  <si>
    <t>Customers based on SDG&amp;E's on-peak period of 4-9 p.m. everyday year-round.</t>
  </si>
  <si>
    <t xml:space="preserve">Maximum Demand at the Time of System Peak rates are applicable to the following CPUC tariff: Schedule A6-TOU and San Diego Unified Port District.  Standard Customers have demand rates based on SDG&amp;E's on-peak period of 4-9 p.m. everyday year-round whereas </t>
  </si>
  <si>
    <t>Grandfathered Customers have demand rates based on SDG&amp;E's previous on-peak period of 11 a.m. - 6 p.m. summer and  5-8 p.m. winter on weekdays.</t>
  </si>
  <si>
    <t>90% NCD Rates are applicable to CPUC Schedule A6-TOU.</t>
  </si>
  <si>
    <t>Maximum Demand at the Time of System Peak Demand Charges are applicable to CPUC Shedule A6-TOU.</t>
  </si>
  <si>
    <t>Rate Effective Period - Twelve Months Ending December 31, 2026</t>
  </si>
  <si>
    <t>CAISO TAC Rates Input Form - January 1, 2026 through December 31, 2026</t>
  </si>
  <si>
    <t>Rate Effective Period - January 1, 2026 thru December 31, 2026</t>
  </si>
  <si>
    <r>
      <t>FERC Forecast Period:  January 2026 - December 2026</t>
    </r>
    <r>
      <rPr>
        <b/>
        <vertAlign val="superscript"/>
        <sz val="14"/>
        <rFont val="Times New Roman"/>
        <family val="1"/>
      </rPr>
      <t xml:space="preserve"> 1</t>
    </r>
  </si>
  <si>
    <t>Reference data based on January 2026 through December 2026 forecasts.</t>
  </si>
  <si>
    <t>Billing determinants are forecast determinants for the rate effective January 2026 through December 2026, as presented in Statement BG, Page BG-18.</t>
  </si>
  <si>
    <t>Billing determinants are forecast determinants for the rate effective January 2026 through December 2026, as presented in Statement BG, Pages BG-18 and BG-19.</t>
  </si>
  <si>
    <t>Billing determinants are forecast determinants for the rate effective January 2026 through December 2026, as presented in Statement BG, Page BG-19.</t>
  </si>
  <si>
    <t>CPUC-approved 2025 sales implemented on February 1, 2025.</t>
  </si>
  <si>
    <t>Present Base Transmission Rate based on TO6 Cycle 1 Filing.</t>
  </si>
  <si>
    <t>The High Voltage Access Charge Rate was held constant in developing this statement because there will be a change in the HV Access Charge Rate once the CAISO implements the TO6 Cycle 2 Wholesale BTRR.</t>
  </si>
  <si>
    <t>Total Estimated Present Rate is the estimated system average rate that are effective October 1, 2025, per SDG&amp;E</t>
  </si>
  <si>
    <t>California Public Utilities Commission (CPUC) Advice Letter 4701-E.  The system average rate shown includes the</t>
  </si>
  <si>
    <t>The TRBAA information comes from SDG&amp;E's TRBAA Rate Filing Docket No. ER26-336-000, filed on October 30, 2025 effective from January 1, 2026 through December 31, 2026.</t>
  </si>
  <si>
    <t>Present rates are defined as rates presented in the TO6 Cycle 1 Settlement File, pursuant to Docket No. ER25-270-002.</t>
  </si>
  <si>
    <t>Transmission Revenues under Present Rates are revenues based on SDG&amp;E's rates presented in the TO6 Cycle 1 Settlement File per ER25-270-002.</t>
  </si>
  <si>
    <t>Estimated Present Base Transmission Rate based on the TO6 Cycle 1 Settlement File, pursuant to Docket No. ER25-270-002.</t>
  </si>
  <si>
    <t>The High Voltage (HV) Access Charge Rate is the CAISO TAC Rate of $14.02 per MWH according to the CAISO TAC rate summary in effect January 1, 2025 divided by 1,000 and is based on the TO6-Cycle 1 Filing HV-BTRR.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</si>
</sst>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0_);_(&quot;$&quot;* \(#,##0.00000\);_(&quot;$&quot;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_(* #,##0_);_(* \(#,##0\);_(* &quot;-&quot;??_);_(@_)"/>
    <numFmt numFmtId="168" formatCode="_(&quot;$&quot;* #,##0.0000_);_(&quot;$&quot;* \(#,##0.0000\);_(&quot;$&quot;* &quot;-&quot;??_);_(@_)"/>
    <numFmt numFmtId="169" formatCode="_(* #,##0.000_);_(* \(#,##0.000\);_(* &quot;-&quot;??_);_(@_)"/>
    <numFmt numFmtId="170" formatCode="0.000%"/>
    <numFmt numFmtId="171" formatCode="0.0000%"/>
    <numFmt numFmtId="172" formatCode="#,##0.000"/>
    <numFmt numFmtId="173" formatCode="#,##0.0000"/>
    <numFmt numFmtId="174" formatCode="_(&quot;$&quot;* #,##0.000_);_(&quot;$&quot;* \(#,##0.000\);_(&quot;$&quot;* &quot;-&quot;_);_(@_)"/>
    <numFmt numFmtId="175" formatCode="#,##0.000000"/>
    <numFmt numFmtId="176" formatCode="0.000"/>
    <numFmt numFmtId="177" formatCode="#,##0.0_);\(#,##0.0\)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u/>
      <sz val="14"/>
      <color indexed="12"/>
      <name val="Times New Roman"/>
      <family val="1"/>
    </font>
    <font>
      <sz val="14"/>
      <color indexed="12"/>
      <name val="Times New Roman"/>
      <family val="1"/>
    </font>
    <font>
      <sz val="14"/>
      <color indexed="10"/>
      <name val="Times New Roman"/>
      <family val="1"/>
    </font>
    <font>
      <vertAlign val="superscript"/>
      <sz val="14"/>
      <name val="Times New Roman"/>
      <family val="1"/>
    </font>
    <font>
      <u/>
      <vertAlign val="superscript"/>
      <sz val="14"/>
      <name val="Times New Roman"/>
      <family val="1"/>
    </font>
    <font>
      <b/>
      <i/>
      <sz val="14"/>
      <name val="Times New Roman"/>
      <family val="1"/>
    </font>
    <font>
      <sz val="10"/>
      <name val="System"/>
      <family val="2"/>
    </font>
    <font>
      <i/>
      <sz val="14"/>
      <name val="Times New Roman"/>
      <family val="1"/>
    </font>
    <font>
      <sz val="10"/>
      <name val="Arial"/>
      <family val="2"/>
    </font>
    <font>
      <sz val="14"/>
      <color indexed="12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b/>
      <vertAlign val="superscript"/>
      <sz val="14"/>
      <name val="Times New Roman"/>
      <family val="1"/>
    </font>
    <font>
      <b/>
      <u/>
      <sz val="14"/>
      <name val="Arial"/>
      <family val="2"/>
    </font>
    <font>
      <u val="singleAccounting"/>
      <sz val="14"/>
      <name val="Times New Roman"/>
      <family val="1"/>
    </font>
    <font>
      <u val="singleAccounting"/>
      <sz val="14"/>
      <name val="Arial"/>
      <family val="2"/>
    </font>
    <font>
      <b/>
      <sz val="14"/>
      <name val="Arial"/>
      <family val="2"/>
    </font>
    <font>
      <b/>
      <u/>
      <vertAlign val="superscript"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0"/>
      <name val="Times New Roman"/>
      <family val="1"/>
    </font>
    <font>
      <sz val="14"/>
      <color rgb="FF0000FF"/>
      <name val="Arial"/>
      <family val="2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4" fillId="0" borderId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45">
    <xf numFmtId="0" fontId="0" fillId="0" borderId="0" xfId="0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172" fontId="9" fillId="0" borderId="0" xfId="0" applyNumberFormat="1" applyFont="1"/>
    <xf numFmtId="0" fontId="4" fillId="0" borderId="0" xfId="0" applyFont="1" applyAlignment="1">
      <alignment horizontal="centerContinuous" vertical="justify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quotePrefix="1" applyFont="1" applyBorder="1" applyAlignment="1">
      <alignment horizontal="centerContinuous" vertical="justify"/>
    </xf>
    <xf numFmtId="0" fontId="4" fillId="0" borderId="3" xfId="0" applyFont="1" applyBorder="1" applyAlignment="1">
      <alignment horizontal="centerContinuous" vertical="justify"/>
    </xf>
    <xf numFmtId="0" fontId="4" fillId="0" borderId="4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Continuous" vertical="justify"/>
    </xf>
    <xf numFmtId="0" fontId="4" fillId="0" borderId="6" xfId="0" applyFont="1" applyBorder="1" applyAlignment="1">
      <alignment horizontal="centerContinuous" vertical="justify"/>
    </xf>
    <xf numFmtId="0" fontId="4" fillId="0" borderId="4" xfId="0" applyFont="1" applyBorder="1"/>
    <xf numFmtId="0" fontId="4" fillId="0" borderId="7" xfId="0" applyFont="1" applyBorder="1" applyAlignment="1">
      <alignment horizontal="centerContinuous" vertical="justify"/>
    </xf>
    <xf numFmtId="0" fontId="4" fillId="0" borderId="8" xfId="0" applyFont="1" applyBorder="1" applyAlignment="1">
      <alignment horizontal="centerContinuous" vertical="justify"/>
    </xf>
    <xf numFmtId="0" fontId="4" fillId="0" borderId="9" xfId="0" applyFont="1" applyBorder="1" applyAlignment="1">
      <alignment horizontal="center"/>
    </xf>
    <xf numFmtId="167" fontId="4" fillId="0" borderId="4" xfId="1" applyNumberFormat="1" applyFont="1" applyBorder="1"/>
    <xf numFmtId="0" fontId="4" fillId="0" borderId="4" xfId="0" applyFont="1" applyBorder="1" applyAlignment="1">
      <alignment horizontal="left"/>
    </xf>
    <xf numFmtId="167" fontId="4" fillId="0" borderId="4" xfId="1" applyNumberFormat="1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167" fontId="4" fillId="0" borderId="9" xfId="1" applyNumberFormat="1" applyFont="1" applyBorder="1"/>
    <xf numFmtId="167" fontId="4" fillId="0" borderId="10" xfId="1" applyNumberFormat="1" applyFont="1" applyFill="1" applyBorder="1" applyAlignment="1">
      <alignment horizontal="left"/>
    </xf>
    <xf numFmtId="0" fontId="4" fillId="0" borderId="9" xfId="0" applyFont="1" applyBorder="1"/>
    <xf numFmtId="0" fontId="7" fillId="0" borderId="0" xfId="0" applyFont="1"/>
    <xf numFmtId="0" fontId="11" fillId="0" borderId="0" xfId="0" applyFont="1" applyAlignment="1">
      <alignment horizontal="right"/>
    </xf>
    <xf numFmtId="167" fontId="6" fillId="0" borderId="4" xfId="1" applyNumberFormat="1" applyFont="1" applyFill="1" applyBorder="1" applyAlignment="1">
      <alignment horizontal="left"/>
    </xf>
    <xf numFmtId="0" fontId="4" fillId="0" borderId="1" xfId="0" applyFont="1" applyBorder="1"/>
    <xf numFmtId="17" fontId="4" fillId="0" borderId="9" xfId="0" applyNumberFormat="1" applyFont="1" applyBorder="1" applyAlignment="1">
      <alignment horizontal="centerContinuous" vertical="justify"/>
    </xf>
    <xf numFmtId="17" fontId="4" fillId="0" borderId="8" xfId="0" applyNumberFormat="1" applyFont="1" applyBorder="1" applyAlignment="1">
      <alignment horizontal="centerContinuous" vertical="justify"/>
    </xf>
    <xf numFmtId="17" fontId="4" fillId="0" borderId="4" xfId="0" applyNumberFormat="1" applyFont="1" applyBorder="1" applyAlignment="1">
      <alignment horizontal="centerContinuous" vertical="justify"/>
    </xf>
    <xf numFmtId="0" fontId="7" fillId="0" borderId="4" xfId="0" applyFont="1" applyBorder="1" applyAlignment="1">
      <alignment horizontal="left"/>
    </xf>
    <xf numFmtId="167" fontId="4" fillId="0" borderId="11" xfId="1" applyNumberFormat="1" applyFont="1" applyBorder="1"/>
    <xf numFmtId="167" fontId="4" fillId="0" borderId="4" xfId="1" applyNumberFormat="1" applyFont="1" applyBorder="1" applyAlignment="1">
      <alignment horizontal="center"/>
    </xf>
    <xf numFmtId="167" fontId="4" fillId="0" borderId="12" xfId="0" applyNumberFormat="1" applyFont="1" applyBorder="1"/>
    <xf numFmtId="167" fontId="4" fillId="0" borderId="4" xfId="0" applyNumberFormat="1" applyFont="1" applyBorder="1" applyAlignment="1">
      <alignment horizontal="center"/>
    </xf>
    <xf numFmtId="167" fontId="4" fillId="0" borderId="4" xfId="0" applyNumberFormat="1" applyFont="1" applyBorder="1"/>
    <xf numFmtId="0" fontId="7" fillId="0" borderId="4" xfId="0" applyFont="1" applyBorder="1"/>
    <xf numFmtId="44" fontId="4" fillId="0" borderId="4" xfId="3" applyFont="1" applyBorder="1"/>
    <xf numFmtId="165" fontId="4" fillId="0" borderId="4" xfId="3" applyNumberFormat="1" applyFont="1" applyBorder="1"/>
    <xf numFmtId="165" fontId="4" fillId="0" borderId="4" xfId="0" applyNumberFormat="1" applyFont="1" applyBorder="1" applyAlignment="1">
      <alignment horizontal="center"/>
    </xf>
    <xf numFmtId="165" fontId="4" fillId="0" borderId="11" xfId="3" applyNumberFormat="1" applyFont="1" applyBorder="1"/>
    <xf numFmtId="165" fontId="4" fillId="0" borderId="4" xfId="3" applyNumberFormat="1" applyFont="1" applyBorder="1" applyAlignment="1">
      <alignment horizontal="center"/>
    </xf>
    <xf numFmtId="165" fontId="4" fillId="0" borderId="4" xfId="0" applyNumberFormat="1" applyFont="1" applyBorder="1"/>
    <xf numFmtId="165" fontId="4" fillId="0" borderId="10" xfId="0" applyNumberFormat="1" applyFont="1" applyBorder="1"/>
    <xf numFmtId="165" fontId="4" fillId="0" borderId="0" xfId="0" applyNumberFormat="1" applyFont="1"/>
    <xf numFmtId="167" fontId="4" fillId="0" borderId="4" xfId="1" applyNumberFormat="1" applyFont="1" applyFill="1" applyBorder="1"/>
    <xf numFmtId="167" fontId="4" fillId="0" borderId="11" xfId="1" applyNumberFormat="1" applyFont="1" applyFill="1" applyBorder="1"/>
    <xf numFmtId="167" fontId="4" fillId="0" borderId="11" xfId="0" applyNumberFormat="1" applyFont="1" applyBorder="1"/>
    <xf numFmtId="167" fontId="4" fillId="0" borderId="4" xfId="1" applyNumberFormat="1" applyFont="1" applyFill="1" applyBorder="1" applyAlignment="1">
      <alignment horizontal="center"/>
    </xf>
    <xf numFmtId="44" fontId="4" fillId="0" borderId="4" xfId="3" applyFont="1" applyFill="1" applyBorder="1"/>
    <xf numFmtId="167" fontId="4" fillId="0" borderId="6" xfId="0" applyNumberFormat="1" applyFont="1" applyBorder="1" applyAlignment="1">
      <alignment horizontal="center"/>
    </xf>
    <xf numFmtId="165" fontId="4" fillId="0" borderId="4" xfId="3" applyNumberFormat="1" applyFont="1" applyFill="1" applyBorder="1"/>
    <xf numFmtId="165" fontId="4" fillId="0" borderId="11" xfId="3" applyNumberFormat="1" applyFont="1" applyFill="1" applyBorder="1"/>
    <xf numFmtId="165" fontId="4" fillId="0" borderId="4" xfId="3" applyNumberFormat="1" applyFont="1" applyFill="1" applyBorder="1" applyAlignment="1">
      <alignment horizontal="center"/>
    </xf>
    <xf numFmtId="165" fontId="4" fillId="0" borderId="9" xfId="0" applyNumberFormat="1" applyFont="1" applyBorder="1"/>
    <xf numFmtId="167" fontId="4" fillId="0" borderId="9" xfId="1" applyNumberFormat="1" applyFont="1" applyFill="1" applyBorder="1"/>
    <xf numFmtId="167" fontId="4" fillId="0" borderId="10" xfId="1" applyNumberFormat="1" applyFont="1" applyFill="1" applyBorder="1"/>
    <xf numFmtId="0" fontId="13" fillId="0" borderId="0" xfId="0" applyFont="1"/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0" borderId="4" xfId="3" applyNumberFormat="1" applyFont="1" applyFill="1" applyBorder="1" applyAlignment="1">
      <alignment horizontal="left"/>
    </xf>
    <xf numFmtId="165" fontId="6" fillId="0" borderId="4" xfId="3" applyNumberFormat="1" applyFont="1" applyFill="1" applyBorder="1" applyAlignment="1">
      <alignment horizontal="left"/>
    </xf>
    <xf numFmtId="165" fontId="4" fillId="0" borderId="14" xfId="3" applyNumberFormat="1" applyFont="1" applyFill="1" applyBorder="1" applyAlignment="1">
      <alignment horizontal="left"/>
    </xf>
    <xf numFmtId="165" fontId="4" fillId="0" borderId="14" xfId="3" applyNumberFormat="1" applyFont="1" applyBorder="1"/>
    <xf numFmtId="165" fontId="4" fillId="0" borderId="10" xfId="3" applyNumberFormat="1" applyFont="1" applyFill="1" applyBorder="1" applyAlignment="1">
      <alignment horizontal="left"/>
    </xf>
    <xf numFmtId="165" fontId="4" fillId="0" borderId="10" xfId="3" applyNumberFormat="1" applyFont="1" applyBorder="1"/>
    <xf numFmtId="0" fontId="4" fillId="0" borderId="14" xfId="0" applyFont="1" applyBorder="1" applyAlignment="1">
      <alignment horizontal="center"/>
    </xf>
    <xf numFmtId="165" fontId="4" fillId="0" borderId="9" xfId="3" applyNumberFormat="1" applyFont="1" applyFill="1" applyBorder="1" applyAlignment="1">
      <alignment horizontal="left"/>
    </xf>
    <xf numFmtId="0" fontId="4" fillId="0" borderId="7" xfId="0" applyFont="1" applyBorder="1"/>
    <xf numFmtId="165" fontId="4" fillId="0" borderId="2" xfId="3" applyNumberFormat="1" applyFont="1" applyBorder="1"/>
    <xf numFmtId="165" fontId="4" fillId="0" borderId="15" xfId="3" applyNumberFormat="1" applyFont="1" applyBorder="1"/>
    <xf numFmtId="165" fontId="4" fillId="0" borderId="8" xfId="3" applyNumberFormat="1" applyFont="1" applyBorder="1"/>
    <xf numFmtId="0" fontId="4" fillId="0" borderId="0" xfId="0" applyFont="1" applyAlignment="1">
      <alignment horizontal="left"/>
    </xf>
    <xf numFmtId="165" fontId="7" fillId="0" borderId="0" xfId="0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9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10" fontId="4" fillId="0" borderId="4" xfId="9" applyNumberFormat="1" applyFont="1" applyBorder="1"/>
    <xf numFmtId="165" fontId="4" fillId="0" borderId="9" xfId="3" applyNumberFormat="1" applyFont="1" applyBorder="1"/>
    <xf numFmtId="172" fontId="4" fillId="0" borderId="0" xfId="0" applyNumberFormat="1" applyFont="1"/>
    <xf numFmtId="3" fontId="4" fillId="0" borderId="0" xfId="0" applyNumberFormat="1" applyFont="1"/>
    <xf numFmtId="3" fontId="7" fillId="0" borderId="0" xfId="0" applyNumberFormat="1" applyFont="1"/>
    <xf numFmtId="172" fontId="7" fillId="0" borderId="0" xfId="0" applyNumberFormat="1" applyFont="1"/>
    <xf numFmtId="0" fontId="10" fillId="0" borderId="0" xfId="0" applyFont="1"/>
    <xf numFmtId="17" fontId="6" fillId="0" borderId="0" xfId="0" applyNumberFormat="1" applyFont="1" applyAlignment="1">
      <alignment horizontal="center"/>
    </xf>
    <xf numFmtId="0" fontId="4" fillId="0" borderId="0" xfId="0" applyFont="1" applyAlignment="1">
      <alignment vertical="justify"/>
    </xf>
    <xf numFmtId="17" fontId="4" fillId="0" borderId="6" xfId="0" applyNumberFormat="1" applyFont="1" applyBorder="1" applyAlignment="1">
      <alignment horizontal="centerContinuous" vertical="justify"/>
    </xf>
    <xf numFmtId="17" fontId="4" fillId="0" borderId="9" xfId="0" applyNumberFormat="1" applyFont="1" applyBorder="1" applyAlignment="1">
      <alignment horizontal="center" vertical="justify"/>
    </xf>
    <xf numFmtId="3" fontId="4" fillId="0" borderId="0" xfId="0" applyNumberFormat="1" applyFont="1" applyAlignment="1">
      <alignment vertical="justify"/>
    </xf>
    <xf numFmtId="17" fontId="4" fillId="0" borderId="7" xfId="0" applyNumberFormat="1" applyFont="1" applyBorder="1" applyAlignment="1">
      <alignment horizontal="centerContinuous" vertical="justify"/>
    </xf>
    <xf numFmtId="0" fontId="4" fillId="0" borderId="13" xfId="0" applyFont="1" applyBorder="1"/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3" xfId="0" applyFont="1" applyBorder="1"/>
    <xf numFmtId="165" fontId="4" fillId="0" borderId="4" xfId="0" applyNumberFormat="1" applyFont="1" applyBorder="1" applyAlignment="1">
      <alignment horizontal="center" wrapText="1"/>
    </xf>
    <xf numFmtId="167" fontId="4" fillId="0" borderId="0" xfId="1" applyNumberFormat="1" applyFont="1" applyBorder="1"/>
    <xf numFmtId="0" fontId="15" fillId="0" borderId="0" xfId="0" applyFont="1" applyAlignment="1">
      <alignment horizontal="center"/>
    </xf>
    <xf numFmtId="164" fontId="4" fillId="0" borderId="4" xfId="3" applyNumberFormat="1" applyFont="1" applyFill="1" applyBorder="1"/>
    <xf numFmtId="167" fontId="4" fillId="0" borderId="0" xfId="1" applyNumberFormat="1" applyFont="1" applyFill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4" xfId="0" quotePrefix="1" applyFont="1" applyBorder="1" applyAlignment="1">
      <alignment horizontal="center"/>
    </xf>
    <xf numFmtId="165" fontId="4" fillId="0" borderId="0" xfId="3" applyNumberFormat="1" applyFont="1" applyFill="1" applyBorder="1"/>
    <xf numFmtId="169" fontId="4" fillId="0" borderId="4" xfId="1" applyNumberFormat="1" applyFont="1" applyBorder="1"/>
    <xf numFmtId="169" fontId="4" fillId="0" borderId="4" xfId="1" applyNumberFormat="1" applyFont="1" applyFill="1" applyBorder="1"/>
    <xf numFmtId="0" fontId="4" fillId="0" borderId="17" xfId="0" applyFont="1" applyBorder="1"/>
    <xf numFmtId="0" fontId="5" fillId="0" borderId="0" xfId="0" applyFont="1" applyAlignment="1">
      <alignment horizontal="centerContinuous" vertical="justify"/>
    </xf>
    <xf numFmtId="0" fontId="4" fillId="0" borderId="1" xfId="0" applyFont="1" applyBorder="1" applyAlignment="1">
      <alignment horizontal="centerContinuous" vertical="justify"/>
    </xf>
    <xf numFmtId="169" fontId="4" fillId="0" borderId="9" xfId="1" applyNumberFormat="1" applyFont="1" applyBorder="1"/>
    <xf numFmtId="10" fontId="4" fillId="0" borderId="9" xfId="9" applyNumberFormat="1" applyFont="1" applyBorder="1"/>
    <xf numFmtId="169" fontId="4" fillId="0" borderId="10" xfId="1" applyNumberFormat="1" applyFont="1" applyBorder="1"/>
    <xf numFmtId="170" fontId="4" fillId="0" borderId="10" xfId="9" applyNumberFormat="1" applyFont="1" applyBorder="1"/>
    <xf numFmtId="169" fontId="4" fillId="0" borderId="0" xfId="0" applyNumberFormat="1" applyFont="1"/>
    <xf numFmtId="0" fontId="4" fillId="0" borderId="13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18" xfId="0" applyFont="1" applyBorder="1"/>
    <xf numFmtId="38" fontId="9" fillId="0" borderId="0" xfId="0" applyNumberFormat="1" applyFont="1"/>
    <xf numFmtId="169" fontId="4" fillId="0" borderId="0" xfId="1" applyNumberFormat="1" applyFont="1" applyBorder="1"/>
    <xf numFmtId="169" fontId="4" fillId="0" borderId="0" xfId="1" applyNumberFormat="1" applyFont="1" applyFill="1" applyBorder="1"/>
    <xf numFmtId="169" fontId="9" fillId="0" borderId="0" xfId="1" applyNumberFormat="1" applyFont="1" applyFill="1" applyBorder="1"/>
    <xf numFmtId="0" fontId="4" fillId="3" borderId="0" xfId="0" applyFont="1" applyFill="1" applyAlignment="1">
      <alignment horizontal="center"/>
    </xf>
    <xf numFmtId="172" fontId="5" fillId="3" borderId="0" xfId="0" applyNumberFormat="1" applyFont="1" applyFill="1" applyAlignment="1">
      <alignment horizontal="center"/>
    </xf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17" fontId="6" fillId="0" borderId="6" xfId="0" applyNumberFormat="1" applyFont="1" applyBorder="1" applyAlignment="1">
      <alignment horizontal="center"/>
    </xf>
    <xf numFmtId="0" fontId="9" fillId="0" borderId="6" xfId="0" applyFont="1" applyBorder="1"/>
    <xf numFmtId="3" fontId="7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172" fontId="9" fillId="0" borderId="6" xfId="0" applyNumberFormat="1" applyFont="1" applyBorder="1"/>
    <xf numFmtId="171" fontId="9" fillId="0" borderId="6" xfId="0" applyNumberFormat="1" applyFont="1" applyBorder="1"/>
    <xf numFmtId="172" fontId="4" fillId="0" borderId="6" xfId="0" applyNumberFormat="1" applyFont="1" applyBorder="1" applyAlignment="1">
      <alignment horizontal="right"/>
    </xf>
    <xf numFmtId="172" fontId="7" fillId="0" borderId="6" xfId="0" applyNumberFormat="1" applyFont="1" applyBorder="1" applyAlignment="1">
      <alignment horizontal="right"/>
    </xf>
    <xf numFmtId="172" fontId="4" fillId="0" borderId="6" xfId="0" applyNumberFormat="1" applyFont="1" applyBorder="1"/>
    <xf numFmtId="172" fontId="9" fillId="2" borderId="17" xfId="0" applyNumberFormat="1" applyFont="1" applyFill="1" applyBorder="1"/>
    <xf numFmtId="172" fontId="9" fillId="2" borderId="8" xfId="0" applyNumberFormat="1" applyFont="1" applyFill="1" applyBorder="1"/>
    <xf numFmtId="172" fontId="4" fillId="0" borderId="8" xfId="0" applyNumberFormat="1" applyFont="1" applyBorder="1"/>
    <xf numFmtId="172" fontId="4" fillId="2" borderId="17" xfId="0" applyNumberFormat="1" applyFont="1" applyFill="1" applyBorder="1"/>
    <xf numFmtId="3" fontId="7" fillId="0" borderId="6" xfId="0" applyNumberFormat="1" applyFont="1" applyBorder="1"/>
    <xf numFmtId="172" fontId="7" fillId="0" borderId="6" xfId="0" applyNumberFormat="1" applyFont="1" applyBorder="1"/>
    <xf numFmtId="172" fontId="4" fillId="0" borderId="13" xfId="0" applyNumberFormat="1" applyFont="1" applyBorder="1"/>
    <xf numFmtId="17" fontId="4" fillId="0" borderId="0" xfId="0" applyNumberFormat="1" applyFont="1" applyAlignment="1">
      <alignment horizontal="centerContinuous" vertical="justify"/>
    </xf>
    <xf numFmtId="0" fontId="4" fillId="0" borderId="1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7" fontId="4" fillId="0" borderId="18" xfId="0" applyNumberFormat="1" applyFont="1" applyBorder="1" applyAlignment="1">
      <alignment horizontal="centerContinuous" vertical="justify"/>
    </xf>
    <xf numFmtId="17" fontId="4" fillId="0" borderId="13" xfId="0" applyNumberFormat="1" applyFont="1" applyBorder="1" applyAlignment="1">
      <alignment vertical="justify"/>
    </xf>
    <xf numFmtId="17" fontId="4" fillId="0" borderId="1" xfId="0" applyNumberFormat="1" applyFont="1" applyBorder="1" applyAlignment="1">
      <alignment horizontal="centerContinuous" vertical="justify"/>
    </xf>
    <xf numFmtId="17" fontId="4" fillId="0" borderId="1" xfId="0" applyNumberFormat="1" applyFont="1" applyBorder="1" applyAlignment="1">
      <alignment horizontal="center" vertical="justify"/>
    </xf>
    <xf numFmtId="17" fontId="4" fillId="0" borderId="4" xfId="0" applyNumberFormat="1" applyFont="1" applyBorder="1" applyAlignment="1">
      <alignment horizontal="center" vertical="justify"/>
    </xf>
    <xf numFmtId="0" fontId="4" fillId="0" borderId="14" xfId="0" applyFont="1" applyBorder="1" applyAlignment="1">
      <alignment horizontal="center" vertical="justify"/>
    </xf>
    <xf numFmtId="0" fontId="4" fillId="0" borderId="1" xfId="0" applyFont="1" applyBorder="1" applyAlignment="1">
      <alignment horizontal="center" vertical="justify"/>
    </xf>
    <xf numFmtId="0" fontId="4" fillId="0" borderId="19" xfId="0" applyFont="1" applyBorder="1" applyAlignment="1">
      <alignment horizontal="center" vertical="justify"/>
    </xf>
    <xf numFmtId="0" fontId="4" fillId="0" borderId="13" xfId="0" applyFont="1" applyBorder="1" applyAlignment="1">
      <alignment horizontal="center" vertical="justify"/>
    </xf>
    <xf numFmtId="169" fontId="4" fillId="0" borderId="9" xfId="0" applyNumberFormat="1" applyFont="1" applyBorder="1"/>
    <xf numFmtId="174" fontId="4" fillId="0" borderId="0" xfId="0" applyNumberFormat="1" applyFont="1" applyAlignment="1">
      <alignment horizontal="center"/>
    </xf>
    <xf numFmtId="37" fontId="4" fillId="0" borderId="0" xfId="0" applyNumberFormat="1" applyFont="1"/>
    <xf numFmtId="10" fontId="18" fillId="0" borderId="0" xfId="0" applyNumberFormat="1" applyFont="1"/>
    <xf numFmtId="10" fontId="18" fillId="0" borderId="6" xfId="0" applyNumberFormat="1" applyFont="1" applyBorder="1"/>
    <xf numFmtId="10" fontId="19" fillId="0" borderId="6" xfId="0" applyNumberFormat="1" applyFont="1" applyBorder="1"/>
    <xf numFmtId="171" fontId="18" fillId="0" borderId="6" xfId="0" applyNumberFormat="1" applyFont="1" applyBorder="1"/>
    <xf numFmtId="171" fontId="18" fillId="0" borderId="6" xfId="9" applyNumberFormat="1" applyFont="1" applyBorder="1"/>
    <xf numFmtId="172" fontId="18" fillId="0" borderId="6" xfId="0" applyNumberFormat="1" applyFont="1" applyBorder="1" applyAlignment="1">
      <alignment horizontal="right"/>
    </xf>
    <xf numFmtId="172" fontId="19" fillId="0" borderId="6" xfId="0" applyNumberFormat="1" applyFont="1" applyBorder="1" applyAlignment="1">
      <alignment horizontal="right"/>
    </xf>
    <xf numFmtId="0" fontId="11" fillId="0" borderId="0" xfId="0" applyFont="1"/>
    <xf numFmtId="0" fontId="4" fillId="0" borderId="8" xfId="0" applyFont="1" applyBorder="1"/>
    <xf numFmtId="17" fontId="21" fillId="0" borderId="6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right"/>
    </xf>
    <xf numFmtId="3" fontId="18" fillId="0" borderId="6" xfId="0" applyNumberFormat="1" applyFont="1" applyBorder="1" applyAlignment="1">
      <alignment horizontal="right"/>
    </xf>
    <xf numFmtId="172" fontId="17" fillId="0" borderId="6" xfId="0" applyNumberFormat="1" applyFont="1" applyBorder="1"/>
    <xf numFmtId="3" fontId="19" fillId="0" borderId="6" xfId="0" applyNumberFormat="1" applyFont="1" applyBorder="1" applyAlignment="1">
      <alignment horizontal="right"/>
    </xf>
    <xf numFmtId="3" fontId="18" fillId="0" borderId="0" xfId="0" applyNumberFormat="1" applyFont="1"/>
    <xf numFmtId="3" fontId="18" fillId="0" borderId="6" xfId="0" applyNumberFormat="1" applyFont="1" applyBorder="1"/>
    <xf numFmtId="172" fontId="18" fillId="0" borderId="0" xfId="0" applyNumberFormat="1" applyFont="1"/>
    <xf numFmtId="172" fontId="19" fillId="0" borderId="0" xfId="0" applyNumberFormat="1" applyFont="1"/>
    <xf numFmtId="172" fontId="18" fillId="0" borderId="6" xfId="0" applyNumberFormat="1" applyFont="1" applyBorder="1"/>
    <xf numFmtId="0" fontId="4" fillId="0" borderId="0" xfId="6" applyFont="1"/>
    <xf numFmtId="0" fontId="4" fillId="0" borderId="0" xfId="6" applyFont="1" applyAlignment="1">
      <alignment horizontal="center"/>
    </xf>
    <xf numFmtId="0" fontId="11" fillId="0" borderId="0" xfId="6" applyFont="1" applyAlignment="1">
      <alignment horizontal="center"/>
    </xf>
    <xf numFmtId="0" fontId="7" fillId="0" borderId="0" xfId="6" applyFont="1"/>
    <xf numFmtId="165" fontId="4" fillId="0" borderId="0" xfId="6" applyNumberFormat="1" applyFont="1"/>
    <xf numFmtId="0" fontId="4" fillId="0" borderId="9" xfId="6" applyFont="1" applyBorder="1" applyAlignment="1">
      <alignment horizontal="center"/>
    </xf>
    <xf numFmtId="165" fontId="4" fillId="0" borderId="9" xfId="6" applyNumberFormat="1" applyFont="1" applyBorder="1"/>
    <xf numFmtId="0" fontId="4" fillId="0" borderId="9" xfId="6" applyFont="1" applyBorder="1"/>
    <xf numFmtId="0" fontId="4" fillId="0" borderId="4" xfId="6" applyFont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5" fontId="4" fillId="0" borderId="11" xfId="4" applyNumberFormat="1" applyFont="1" applyFill="1" applyBorder="1"/>
    <xf numFmtId="0" fontId="4" fillId="0" borderId="4" xfId="6" applyFont="1" applyBorder="1"/>
    <xf numFmtId="165" fontId="4" fillId="0" borderId="4" xfId="4" applyNumberFormat="1" applyFont="1" applyFill="1" applyBorder="1"/>
    <xf numFmtId="167" fontId="4" fillId="0" borderId="4" xfId="6" applyNumberFormat="1" applyFont="1" applyBorder="1"/>
    <xf numFmtId="0" fontId="7" fillId="0" borderId="4" xfId="6" applyFont="1" applyBorder="1"/>
    <xf numFmtId="44" fontId="4" fillId="0" borderId="4" xfId="4" applyFont="1" applyFill="1" applyBorder="1"/>
    <xf numFmtId="167" fontId="4" fillId="0" borderId="12" xfId="6" applyNumberFormat="1" applyFont="1" applyBorder="1"/>
    <xf numFmtId="167" fontId="4" fillId="0" borderId="11" xfId="6" applyNumberFormat="1" applyFont="1" applyBorder="1"/>
    <xf numFmtId="167" fontId="4" fillId="0" borderId="11" xfId="2" applyNumberFormat="1" applyFont="1" applyFill="1" applyBorder="1"/>
    <xf numFmtId="167" fontId="4" fillId="0" borderId="4" xfId="2" applyNumberFormat="1" applyFont="1" applyFill="1" applyBorder="1"/>
    <xf numFmtId="0" fontId="7" fillId="0" borderId="4" xfId="6" applyFont="1" applyBorder="1" applyAlignment="1">
      <alignment horizontal="left"/>
    </xf>
    <xf numFmtId="17" fontId="4" fillId="0" borderId="4" xfId="6" applyNumberFormat="1" applyFont="1" applyBorder="1" applyAlignment="1">
      <alignment horizontal="centerContinuous" vertical="justify"/>
    </xf>
    <xf numFmtId="0" fontId="4" fillId="0" borderId="8" xfId="6" applyFont="1" applyBorder="1" applyAlignment="1">
      <alignment horizontal="center"/>
    </xf>
    <xf numFmtId="17" fontId="4" fillId="0" borderId="8" xfId="6" applyNumberFormat="1" applyFont="1" applyBorder="1" applyAlignment="1">
      <alignment horizontal="centerContinuous" vertical="justify"/>
    </xf>
    <xf numFmtId="0" fontId="4" fillId="0" borderId="1" xfId="6" applyFont="1" applyBorder="1" applyAlignment="1">
      <alignment horizontal="center"/>
    </xf>
    <xf numFmtId="0" fontId="4" fillId="0" borderId="1" xfId="6" applyFont="1" applyBorder="1"/>
    <xf numFmtId="165" fontId="4" fillId="0" borderId="11" xfId="4" applyNumberFormat="1" applyFont="1" applyBorder="1"/>
    <xf numFmtId="165" fontId="4" fillId="0" borderId="4" xfId="4" applyNumberFormat="1" applyFont="1" applyBorder="1"/>
    <xf numFmtId="44" fontId="4" fillId="0" borderId="4" xfId="4" applyFont="1" applyBorder="1"/>
    <xf numFmtId="44" fontId="4" fillId="0" borderId="4" xfId="4" applyFont="1" applyFill="1" applyBorder="1" applyAlignment="1">
      <alignment horizontal="right"/>
    </xf>
    <xf numFmtId="167" fontId="4" fillId="0" borderId="11" xfId="2" applyNumberFormat="1" applyFont="1" applyBorder="1"/>
    <xf numFmtId="167" fontId="4" fillId="0" borderId="4" xfId="2" applyNumberFormat="1" applyFont="1" applyBorder="1"/>
    <xf numFmtId="0" fontId="4" fillId="0" borderId="13" xfId="6" applyFont="1" applyBorder="1"/>
    <xf numFmtId="0" fontId="4" fillId="0" borderId="0" xfId="6" applyFont="1" applyAlignment="1">
      <alignment horizontal="centerContinuous" vertical="justify"/>
    </xf>
    <xf numFmtId="0" fontId="4" fillId="0" borderId="0" xfId="6" applyFont="1" applyAlignment="1">
      <alignment vertical="justify"/>
    </xf>
    <xf numFmtId="0" fontId="4" fillId="0" borderId="4" xfId="0" applyFont="1" applyBorder="1" applyAlignment="1">
      <alignment horizontal="right"/>
    </xf>
    <xf numFmtId="42" fontId="4" fillId="0" borderId="9" xfId="0" applyNumberFormat="1" applyFont="1" applyBorder="1" applyAlignment="1">
      <alignment horizontal="center"/>
    </xf>
    <xf numFmtId="167" fontId="4" fillId="0" borderId="0" xfId="0" applyNumberFormat="1" applyFont="1"/>
    <xf numFmtId="43" fontId="4" fillId="0" borderId="0" xfId="0" applyNumberFormat="1" applyFont="1"/>
    <xf numFmtId="167" fontId="22" fillId="0" borderId="4" xfId="1" applyNumberFormat="1" applyFont="1" applyBorder="1"/>
    <xf numFmtId="167" fontId="22" fillId="0" borderId="4" xfId="1" applyNumberFormat="1" applyFont="1" applyFill="1" applyBorder="1"/>
    <xf numFmtId="165" fontId="22" fillId="0" borderId="4" xfId="3" applyNumberFormat="1" applyFont="1" applyBorder="1"/>
    <xf numFmtId="10" fontId="22" fillId="0" borderId="4" xfId="9" applyNumberFormat="1" applyFont="1" applyBorder="1"/>
    <xf numFmtId="173" fontId="4" fillId="0" borderId="0" xfId="0" applyNumberFormat="1" applyFont="1"/>
    <xf numFmtId="43" fontId="7" fillId="0" borderId="0" xfId="0" applyNumberFormat="1" applyFont="1"/>
    <xf numFmtId="165" fontId="4" fillId="0" borderId="1" xfId="3" applyNumberFormat="1" applyFont="1" applyFill="1" applyBorder="1"/>
    <xf numFmtId="0" fontId="4" fillId="0" borderId="14" xfId="0" applyFont="1" applyBorder="1"/>
    <xf numFmtId="17" fontId="21" fillId="0" borderId="0" xfId="0" applyNumberFormat="1" applyFont="1" applyAlignment="1">
      <alignment horizontal="right"/>
    </xf>
    <xf numFmtId="172" fontId="9" fillId="2" borderId="13" xfId="0" applyNumberFormat="1" applyFont="1" applyFill="1" applyBorder="1"/>
    <xf numFmtId="167" fontId="18" fillId="0" borderId="0" xfId="1" applyNumberFormat="1" applyFont="1" applyBorder="1"/>
    <xf numFmtId="9" fontId="21" fillId="0" borderId="6" xfId="10" applyFont="1" applyBorder="1" applyAlignment="1">
      <alignment horizontal="center"/>
    </xf>
    <xf numFmtId="167" fontId="18" fillId="0" borderId="6" xfId="1" applyNumberFormat="1" applyFont="1" applyBorder="1"/>
    <xf numFmtId="166" fontId="23" fillId="0" borderId="6" xfId="1" applyNumberFormat="1" applyFont="1" applyBorder="1"/>
    <xf numFmtId="167" fontId="24" fillId="0" borderId="6" xfId="1" applyNumberFormat="1" applyFont="1" applyBorder="1"/>
    <xf numFmtId="172" fontId="5" fillId="0" borderId="0" xfId="0" applyNumberFormat="1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6" xfId="0" quotePrefix="1" applyFont="1" applyBorder="1"/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6" xfId="0" quotePrefix="1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10" fontId="4" fillId="0" borderId="4" xfId="9" applyNumberFormat="1" applyFont="1" applyFill="1" applyBorder="1"/>
    <xf numFmtId="171" fontId="18" fillId="0" borderId="6" xfId="9" applyNumberFormat="1" applyFont="1" applyFill="1" applyBorder="1"/>
    <xf numFmtId="1" fontId="4" fillId="0" borderId="0" xfId="0" applyNumberFormat="1" applyFont="1"/>
    <xf numFmtId="167" fontId="4" fillId="0" borderId="0" xfId="2" applyNumberFormat="1" applyFont="1" applyFill="1"/>
    <xf numFmtId="171" fontId="19" fillId="0" borderId="6" xfId="0" applyNumberFormat="1" applyFont="1" applyBorder="1"/>
    <xf numFmtId="0" fontId="26" fillId="0" borderId="0" xfId="6" applyFont="1" applyAlignment="1">
      <alignment horizontal="left"/>
    </xf>
    <xf numFmtId="0" fontId="26" fillId="0" borderId="0" xfId="5" applyFont="1" applyAlignment="1">
      <alignment horizontal="centerContinuous" vertical="justify"/>
    </xf>
    <xf numFmtId="0" fontId="28" fillId="0" borderId="0" xfId="5" applyFont="1" applyAlignment="1">
      <alignment horizontal="centerContinuous" vertical="justify"/>
    </xf>
    <xf numFmtId="0" fontId="31" fillId="0" borderId="0" xfId="5" applyFont="1" applyAlignment="1">
      <alignment horizontal="centerContinuous" vertical="justify"/>
    </xf>
    <xf numFmtId="0" fontId="16" fillId="0" borderId="0" xfId="5"/>
    <xf numFmtId="0" fontId="27" fillId="0" borderId="0" xfId="5" applyFont="1" applyAlignment="1">
      <alignment horizontal="centerContinuous" vertical="justify"/>
    </xf>
    <xf numFmtId="0" fontId="27" fillId="0" borderId="0" xfId="5" applyFont="1"/>
    <xf numFmtId="0" fontId="26" fillId="0" borderId="1" xfId="5" applyFont="1" applyBorder="1" applyAlignment="1">
      <alignment horizontal="center"/>
    </xf>
    <xf numFmtId="0" fontId="26" fillId="0" borderId="14" xfId="5" applyFont="1" applyBorder="1" applyAlignment="1">
      <alignment horizontal="centerContinuous" vertical="justify"/>
    </xf>
    <xf numFmtId="0" fontId="26" fillId="0" borderId="3" xfId="5" applyFont="1" applyBorder="1" applyAlignment="1">
      <alignment horizontal="centerContinuous" vertical="justify"/>
    </xf>
    <xf numFmtId="0" fontId="26" fillId="0" borderId="14" xfId="5" quotePrefix="1" applyFont="1" applyBorder="1" applyAlignment="1">
      <alignment horizontal="centerContinuous" vertical="justify"/>
    </xf>
    <xf numFmtId="0" fontId="26" fillId="0" borderId="4" xfId="5" applyFont="1" applyBorder="1" applyAlignment="1">
      <alignment horizontal="center"/>
    </xf>
    <xf numFmtId="0" fontId="26" fillId="0" borderId="1" xfId="5" applyFont="1" applyBorder="1"/>
    <xf numFmtId="0" fontId="26" fillId="0" borderId="6" xfId="5" applyFont="1" applyBorder="1"/>
    <xf numFmtId="17" fontId="26" fillId="0" borderId="6" xfId="5" applyNumberFormat="1" applyFont="1" applyBorder="1" applyAlignment="1">
      <alignment horizontal="centerContinuous" vertical="justify"/>
    </xf>
    <xf numFmtId="0" fontId="26" fillId="0" borderId="9" xfId="5" applyFont="1" applyBorder="1" applyAlignment="1">
      <alignment horizontal="center"/>
    </xf>
    <xf numFmtId="0" fontId="26" fillId="0" borderId="4" xfId="5" applyFont="1" applyBorder="1"/>
    <xf numFmtId="0" fontId="26" fillId="0" borderId="9" xfId="5" applyFont="1" applyBorder="1"/>
    <xf numFmtId="0" fontId="26" fillId="0" borderId="8" xfId="5" applyFont="1" applyBorder="1"/>
    <xf numFmtId="0" fontId="33" fillId="0" borderId="1" xfId="5" applyFont="1" applyBorder="1" applyAlignment="1">
      <alignment horizontal="right"/>
    </xf>
    <xf numFmtId="167" fontId="27" fillId="0" borderId="4" xfId="2" applyNumberFormat="1" applyFont="1" applyBorder="1" applyAlignment="1">
      <alignment horizontal="center"/>
    </xf>
    <xf numFmtId="0" fontId="26" fillId="0" borderId="4" xfId="5" applyFont="1" applyBorder="1" applyAlignment="1">
      <alignment horizontal="left"/>
    </xf>
    <xf numFmtId="165" fontId="26" fillId="0" borderId="4" xfId="4" applyNumberFormat="1" applyFont="1" applyFill="1" applyBorder="1" applyAlignment="1">
      <alignment horizontal="center"/>
    </xf>
    <xf numFmtId="0" fontId="33" fillId="0" borderId="4" xfId="5" applyFont="1" applyBorder="1" applyAlignment="1">
      <alignment horizontal="right"/>
    </xf>
    <xf numFmtId="167" fontId="26" fillId="0" borderId="4" xfId="2" applyNumberFormat="1" applyFont="1" applyBorder="1" applyAlignment="1">
      <alignment horizontal="center"/>
    </xf>
    <xf numFmtId="0" fontId="26" fillId="0" borderId="5" xfId="5" applyFont="1" applyBorder="1" applyAlignment="1">
      <alignment horizontal="left"/>
    </xf>
    <xf numFmtId="167" fontId="26" fillId="0" borderId="6" xfId="2" applyNumberFormat="1" applyFont="1" applyBorder="1" applyAlignment="1">
      <alignment horizontal="center"/>
    </xf>
    <xf numFmtId="165" fontId="26" fillId="0" borderId="4" xfId="4" applyNumberFormat="1" applyFont="1" applyBorder="1" applyAlignment="1">
      <alignment horizontal="center"/>
    </xf>
    <xf numFmtId="0" fontId="26" fillId="0" borderId="7" xfId="5" applyFont="1" applyBorder="1"/>
    <xf numFmtId="165" fontId="26" fillId="0" borderId="7" xfId="4" applyNumberFormat="1" applyFont="1" applyBorder="1"/>
    <xf numFmtId="165" fontId="26" fillId="0" borderId="17" xfId="4" applyNumberFormat="1" applyFont="1" applyBorder="1"/>
    <xf numFmtId="165" fontId="26" fillId="0" borderId="8" xfId="4" applyNumberFormat="1" applyFont="1" applyBorder="1"/>
    <xf numFmtId="0" fontId="26" fillId="0" borderId="0" xfId="5" applyFont="1" applyAlignment="1">
      <alignment horizontal="center"/>
    </xf>
    <xf numFmtId="0" fontId="26" fillId="0" borderId="0" xfId="5" applyFont="1"/>
    <xf numFmtId="0" fontId="29" fillId="0" borderId="0" xfId="5" applyFont="1" applyAlignment="1">
      <alignment horizontal="center"/>
    </xf>
    <xf numFmtId="0" fontId="30" fillId="0" borderId="0" xfId="5" applyFont="1" applyAlignment="1">
      <alignment horizontal="center"/>
    </xf>
    <xf numFmtId="165" fontId="4" fillId="0" borderId="0" xfId="0" quotePrefix="1" applyNumberFormat="1" applyFont="1"/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7" fillId="0" borderId="6" xfId="0" applyFont="1" applyBorder="1"/>
    <xf numFmtId="0" fontId="4" fillId="0" borderId="0" xfId="6" applyFont="1" applyAlignment="1">
      <alignment horizontal="left"/>
    </xf>
    <xf numFmtId="0" fontId="5" fillId="0" borderId="0" xfId="6" applyFont="1" applyAlignment="1">
      <alignment horizontal="centerContinuous" vertical="justify"/>
    </xf>
    <xf numFmtId="0" fontId="4" fillId="0" borderId="1" xfId="6" applyFont="1" applyBorder="1" applyAlignment="1">
      <alignment horizontal="left"/>
    </xf>
    <xf numFmtId="0" fontId="4" fillId="0" borderId="14" xfId="6" quotePrefix="1" applyFont="1" applyBorder="1" applyAlignment="1">
      <alignment horizontal="center"/>
    </xf>
    <xf numFmtId="0" fontId="4" fillId="0" borderId="3" xfId="6" quotePrefix="1" applyFont="1" applyBorder="1" applyAlignment="1">
      <alignment horizontal="center"/>
    </xf>
    <xf numFmtId="0" fontId="4" fillId="0" borderId="4" xfId="6" applyFont="1" applyBorder="1" applyAlignment="1">
      <alignment horizontal="left"/>
    </xf>
    <xf numFmtId="0" fontId="4" fillId="0" borderId="6" xfId="6" applyFont="1" applyBorder="1" applyAlignment="1">
      <alignment horizontal="center"/>
    </xf>
    <xf numFmtId="0" fontId="4" fillId="4" borderId="4" xfId="6" applyFont="1" applyFill="1" applyBorder="1" applyAlignment="1">
      <alignment horizontal="centerContinuous" vertical="justify"/>
    </xf>
    <xf numFmtId="0" fontId="4" fillId="4" borderId="4" xfId="6" applyFont="1" applyFill="1" applyBorder="1" applyAlignment="1">
      <alignment horizontal="center"/>
    </xf>
    <xf numFmtId="0" fontId="4" fillId="4" borderId="6" xfId="6" applyFont="1" applyFill="1" applyBorder="1" applyAlignment="1">
      <alignment horizontal="center"/>
    </xf>
    <xf numFmtId="0" fontId="4" fillId="4" borderId="9" xfId="6" applyFont="1" applyFill="1" applyBorder="1" applyAlignment="1">
      <alignment horizontal="center"/>
    </xf>
    <xf numFmtId="0" fontId="34" fillId="0" borderId="1" xfId="6" applyFont="1" applyBorder="1" applyAlignment="1">
      <alignment horizontal="right"/>
    </xf>
    <xf numFmtId="44" fontId="5" fillId="0" borderId="4" xfId="6" applyNumberFormat="1" applyFont="1" applyBorder="1" applyAlignment="1">
      <alignment horizontal="center"/>
    </xf>
    <xf numFmtId="44" fontId="4" fillId="0" borderId="4" xfId="4" applyFont="1" applyBorder="1" applyAlignment="1">
      <alignment horizontal="center"/>
    </xf>
    <xf numFmtId="44" fontId="5" fillId="0" borderId="4" xfId="4" applyFont="1" applyBorder="1"/>
    <xf numFmtId="0" fontId="6" fillId="0" borderId="0" xfId="6" applyFont="1"/>
    <xf numFmtId="0" fontId="20" fillId="0" borderId="0" xfId="6" applyFont="1" applyAlignment="1">
      <alignment horizontal="center"/>
    </xf>
    <xf numFmtId="0" fontId="26" fillId="0" borderId="0" xfId="14" applyFont="1" applyAlignment="1">
      <alignment horizontal="center"/>
    </xf>
    <xf numFmtId="0" fontId="26" fillId="0" borderId="0" xfId="14" applyFont="1"/>
    <xf numFmtId="0" fontId="29" fillId="0" borderId="0" xfId="14" applyFont="1" applyAlignment="1">
      <alignment horizontal="center"/>
    </xf>
    <xf numFmtId="0" fontId="30" fillId="0" borderId="0" xfId="14" applyFont="1" applyAlignment="1">
      <alignment horizontal="center"/>
    </xf>
    <xf numFmtId="176" fontId="32" fillId="0" borderId="0" xfId="0" applyNumberFormat="1" applyFont="1"/>
    <xf numFmtId="176" fontId="18" fillId="0" borderId="0" xfId="0" applyNumberFormat="1" applyFont="1"/>
    <xf numFmtId="0" fontId="18" fillId="0" borderId="0" xfId="0" applyFont="1"/>
    <xf numFmtId="167" fontId="18" fillId="5" borderId="6" xfId="1" applyNumberFormat="1" applyFont="1" applyFill="1" applyBorder="1"/>
    <xf numFmtId="0" fontId="4" fillId="0" borderId="0" xfId="15" applyFont="1" applyAlignment="1">
      <alignment horizontal="centerContinuous" vertical="justify"/>
    </xf>
    <xf numFmtId="0" fontId="26" fillId="0" borderId="0" xfId="14" applyFont="1" applyAlignment="1">
      <alignment horizontal="centerContinuous" vertical="justify"/>
    </xf>
    <xf numFmtId="17" fontId="26" fillId="0" borderId="4" xfId="14" applyNumberFormat="1" applyFont="1" applyBorder="1" applyAlignment="1">
      <alignment horizontal="centerContinuous" vertical="justify"/>
    </xf>
    <xf numFmtId="9" fontId="4" fillId="0" borderId="0" xfId="9" applyFont="1" applyBorder="1"/>
    <xf numFmtId="10" fontId="4" fillId="0" borderId="0" xfId="9" applyNumberFormat="1" applyFont="1" applyBorder="1"/>
    <xf numFmtId="0" fontId="4" fillId="2" borderId="1" xfId="0" applyFont="1" applyFill="1" applyBorder="1"/>
    <xf numFmtId="172" fontId="4" fillId="2" borderId="18" xfId="0" applyNumberFormat="1" applyFont="1" applyFill="1" applyBorder="1"/>
    <xf numFmtId="172" fontId="4" fillId="2" borderId="13" xfId="0" applyNumberFormat="1" applyFont="1" applyFill="1" applyBorder="1"/>
    <xf numFmtId="0" fontId="4" fillId="2" borderId="9" xfId="0" applyFont="1" applyFill="1" applyBorder="1"/>
    <xf numFmtId="172" fontId="4" fillId="2" borderId="8" xfId="0" applyNumberFormat="1" applyFont="1" applyFill="1" applyBorder="1"/>
    <xf numFmtId="0" fontId="4" fillId="0" borderId="4" xfId="15" applyFont="1" applyBorder="1" applyAlignment="1">
      <alignment horizontal="center"/>
    </xf>
    <xf numFmtId="167" fontId="4" fillId="0" borderId="4" xfId="12" applyNumberFormat="1" applyFont="1" applyFill="1" applyBorder="1" applyAlignment="1">
      <alignment horizontal="center"/>
    </xf>
    <xf numFmtId="167" fontId="4" fillId="0" borderId="4" xfId="15" applyNumberFormat="1" applyFont="1" applyBorder="1" applyAlignment="1">
      <alignment horizontal="center"/>
    </xf>
    <xf numFmtId="0" fontId="4" fillId="0" borderId="9" xfId="15" applyFont="1" applyBorder="1" applyAlignment="1">
      <alignment horizontal="center"/>
    </xf>
    <xf numFmtId="0" fontId="4" fillId="0" borderId="0" xfId="15" applyFont="1"/>
    <xf numFmtId="0" fontId="4" fillId="0" borderId="1" xfId="15" applyFont="1" applyBorder="1"/>
    <xf numFmtId="0" fontId="4" fillId="0" borderId="8" xfId="15" applyFont="1" applyBorder="1" applyAlignment="1">
      <alignment horizontal="center"/>
    </xf>
    <xf numFmtId="0" fontId="4" fillId="0" borderId="6" xfId="15" applyFont="1" applyBorder="1" applyAlignment="1">
      <alignment horizontal="center"/>
    </xf>
    <xf numFmtId="167" fontId="4" fillId="0" borderId="6" xfId="15" applyNumberFormat="1" applyFont="1" applyBorder="1" applyAlignment="1">
      <alignment horizontal="center"/>
    </xf>
    <xf numFmtId="0" fontId="4" fillId="0" borderId="0" xfId="15" applyFont="1" applyAlignment="1">
      <alignment vertical="justify"/>
    </xf>
    <xf numFmtId="165" fontId="4" fillId="0" borderId="0" xfId="15" applyNumberFormat="1" applyFont="1"/>
    <xf numFmtId="0" fontId="4" fillId="0" borderId="0" xfId="15" applyFont="1" applyAlignment="1">
      <alignment horizontal="center"/>
    </xf>
    <xf numFmtId="3" fontId="4" fillId="0" borderId="0" xfId="0" applyNumberFormat="1" applyFont="1" applyAlignment="1">
      <alignment horizontal="center" vertical="justify"/>
    </xf>
    <xf numFmtId="165" fontId="4" fillId="0" borderId="4" xfId="13" applyNumberFormat="1" applyFont="1" applyFill="1" applyBorder="1" applyAlignment="1">
      <alignment horizontal="center"/>
    </xf>
    <xf numFmtId="0" fontId="4" fillId="0" borderId="1" xfId="15" applyFont="1" applyBorder="1" applyAlignment="1">
      <alignment horizontal="center"/>
    </xf>
    <xf numFmtId="0" fontId="4" fillId="0" borderId="13" xfId="15" applyFont="1" applyBorder="1"/>
    <xf numFmtId="17" fontId="4" fillId="0" borderId="9" xfId="14" applyNumberFormat="1" applyFont="1" applyBorder="1" applyAlignment="1">
      <alignment horizontal="centerContinuous" vertical="justify"/>
    </xf>
    <xf numFmtId="17" fontId="4" fillId="0" borderId="7" xfId="14" applyNumberFormat="1" applyFont="1" applyBorder="1" applyAlignment="1">
      <alignment horizontal="centerContinuous" vertical="justify"/>
    </xf>
    <xf numFmtId="0" fontId="4" fillId="0" borderId="9" xfId="15" applyFont="1" applyBorder="1"/>
    <xf numFmtId="0" fontId="4" fillId="0" borderId="4" xfId="15" applyFont="1" applyBorder="1"/>
    <xf numFmtId="17" fontId="4" fillId="0" borderId="4" xfId="15" applyNumberFormat="1" applyFont="1" applyBorder="1" applyAlignment="1">
      <alignment horizontal="centerContinuous" vertical="justify"/>
    </xf>
    <xf numFmtId="0" fontId="7" fillId="0" borderId="4" xfId="15" applyFont="1" applyBorder="1"/>
    <xf numFmtId="167" fontId="4" fillId="0" borderId="4" xfId="12" applyNumberFormat="1" applyFont="1" applyBorder="1"/>
    <xf numFmtId="0" fontId="4" fillId="0" borderId="4" xfId="14" applyFont="1" applyBorder="1" applyAlignment="1">
      <alignment horizontal="center"/>
    </xf>
    <xf numFmtId="165" fontId="4" fillId="0" borderId="11" xfId="13" applyNumberFormat="1" applyFont="1" applyBorder="1"/>
    <xf numFmtId="0" fontId="7" fillId="0" borderId="4" xfId="15" applyFont="1" applyBorder="1" applyAlignment="1">
      <alignment horizontal="left"/>
    </xf>
    <xf numFmtId="167" fontId="4" fillId="0" borderId="4" xfId="15" applyNumberFormat="1" applyFont="1" applyBorder="1"/>
    <xf numFmtId="44" fontId="4" fillId="0" borderId="4" xfId="13" applyFont="1" applyFill="1" applyBorder="1"/>
    <xf numFmtId="44" fontId="4" fillId="0" borderId="4" xfId="13" applyFont="1" applyBorder="1"/>
    <xf numFmtId="167" fontId="4" fillId="0" borderId="4" xfId="14" applyNumberFormat="1" applyFont="1" applyBorder="1" applyAlignment="1">
      <alignment horizontal="center"/>
    </xf>
    <xf numFmtId="0" fontId="7" fillId="0" borderId="4" xfId="14" applyFont="1" applyBorder="1" applyAlignment="1">
      <alignment horizontal="left"/>
    </xf>
    <xf numFmtId="0" fontId="4" fillId="0" borderId="4" xfId="14" applyFont="1" applyBorder="1"/>
    <xf numFmtId="0" fontId="7" fillId="0" borderId="4" xfId="14" applyFont="1" applyBorder="1"/>
    <xf numFmtId="17" fontId="4" fillId="0" borderId="8" xfId="14" applyNumberFormat="1" applyFont="1" applyBorder="1" applyAlignment="1">
      <alignment horizontal="centerContinuous" vertical="justify"/>
    </xf>
    <xf numFmtId="0" fontId="4" fillId="0" borderId="5" xfId="15" applyFont="1" applyBorder="1" applyAlignment="1">
      <alignment horizontal="center"/>
    </xf>
    <xf numFmtId="165" fontId="4" fillId="0" borderId="11" xfId="13" applyNumberFormat="1" applyFont="1" applyFill="1" applyBorder="1"/>
    <xf numFmtId="167" fontId="4" fillId="0" borderId="6" xfId="12" applyNumberFormat="1" applyFont="1" applyFill="1" applyBorder="1" applyAlignment="1">
      <alignment horizontal="center"/>
    </xf>
    <xf numFmtId="165" fontId="4" fillId="0" borderId="9" xfId="15" applyNumberFormat="1" applyFont="1" applyBorder="1"/>
    <xf numFmtId="0" fontId="7" fillId="0" borderId="0" xfId="15" applyFont="1"/>
    <xf numFmtId="0" fontId="11" fillId="0" borderId="0" xfId="15" applyFont="1" applyAlignment="1">
      <alignment horizontal="center"/>
    </xf>
    <xf numFmtId="0" fontId="4" fillId="0" borderId="0" xfId="14" applyFont="1"/>
    <xf numFmtId="0" fontId="5" fillId="0" borderId="6" xfId="0" applyFont="1" applyBorder="1"/>
    <xf numFmtId="167" fontId="18" fillId="0" borderId="0" xfId="0" applyNumberFormat="1" applyFont="1"/>
    <xf numFmtId="167" fontId="36" fillId="0" borderId="0" xfId="0" applyNumberFormat="1" applyFont="1"/>
    <xf numFmtId="165" fontId="4" fillId="0" borderId="5" xfId="13" applyNumberFormat="1" applyFont="1" applyFill="1" applyBorder="1"/>
    <xf numFmtId="0" fontId="4" fillId="0" borderId="7" xfId="15" applyFont="1" applyBorder="1"/>
    <xf numFmtId="165" fontId="4" fillId="0" borderId="4" xfId="13" applyNumberFormat="1" applyFont="1" applyFill="1" applyBorder="1"/>
    <xf numFmtId="0" fontId="5" fillId="0" borderId="6" xfId="0" applyFont="1" applyBorder="1" applyAlignment="1">
      <alignment horizontal="center"/>
    </xf>
    <xf numFmtId="172" fontId="9" fillId="2" borderId="18" xfId="0" applyNumberFormat="1" applyFont="1" applyFill="1" applyBorder="1"/>
    <xf numFmtId="0" fontId="6" fillId="2" borderId="4" xfId="0" applyFont="1" applyFill="1" applyBorder="1" applyAlignment="1">
      <alignment horizontal="center"/>
    </xf>
    <xf numFmtId="0" fontId="4" fillId="0" borderId="19" xfId="0" applyFont="1" applyBorder="1"/>
    <xf numFmtId="0" fontId="7" fillId="0" borderId="13" xfId="0" applyFont="1" applyBorder="1"/>
    <xf numFmtId="0" fontId="11" fillId="0" borderId="7" xfId="0" applyFont="1" applyBorder="1" applyAlignment="1">
      <alignment horizontal="center"/>
    </xf>
    <xf numFmtId="171" fontId="18" fillId="0" borderId="0" xfId="9" applyNumberFormat="1" applyFont="1" applyBorder="1"/>
    <xf numFmtId="171" fontId="18" fillId="0" borderId="0" xfId="0" applyNumberFormat="1" applyFont="1"/>
    <xf numFmtId="169" fontId="18" fillId="0" borderId="0" xfId="1" applyNumberFormat="1" applyFont="1" applyBorder="1"/>
    <xf numFmtId="169" fontId="18" fillId="0" borderId="0" xfId="1" applyNumberFormat="1" applyFont="1"/>
    <xf numFmtId="171" fontId="4" fillId="0" borderId="0" xfId="0" applyNumberFormat="1" applyFont="1"/>
    <xf numFmtId="175" fontId="4" fillId="0" borderId="0" xfId="0" applyNumberFormat="1" applyFont="1"/>
    <xf numFmtId="10" fontId="18" fillId="0" borderId="0" xfId="9" applyNumberFormat="1" applyFont="1" applyBorder="1"/>
    <xf numFmtId="0" fontId="36" fillId="0" borderId="0" xfId="0" applyFont="1"/>
    <xf numFmtId="167" fontId="4" fillId="0" borderId="0" xfId="1" applyNumberFormat="1" applyFont="1"/>
    <xf numFmtId="38" fontId="4" fillId="0" borderId="0" xfId="0" applyNumberFormat="1" applyFont="1"/>
    <xf numFmtId="169" fontId="4" fillId="0" borderId="10" xfId="1" applyNumberFormat="1" applyFont="1" applyFill="1" applyBorder="1"/>
    <xf numFmtId="0" fontId="37" fillId="0" borderId="0" xfId="5" applyFont="1"/>
    <xf numFmtId="165" fontId="26" fillId="0" borderId="4" xfId="4" applyNumberFormat="1" applyFont="1" applyFill="1" applyBorder="1" applyAlignment="1">
      <alignment horizontal="left"/>
    </xf>
    <xf numFmtId="167" fontId="26" fillId="0" borderId="4" xfId="2" applyNumberFormat="1" applyFont="1" applyFill="1" applyBorder="1"/>
    <xf numFmtId="167" fontId="26" fillId="0" borderId="22" xfId="2" applyNumberFormat="1" applyFont="1" applyFill="1" applyBorder="1"/>
    <xf numFmtId="44" fontId="26" fillId="0" borderId="23" xfId="4" applyFont="1" applyFill="1" applyBorder="1"/>
    <xf numFmtId="44" fontId="26" fillId="0" borderId="4" xfId="4" applyFont="1" applyFill="1" applyBorder="1"/>
    <xf numFmtId="167" fontId="26" fillId="0" borderId="24" xfId="2" applyNumberFormat="1" applyFont="1" applyFill="1" applyBorder="1"/>
    <xf numFmtId="167" fontId="26" fillId="0" borderId="27" xfId="2" applyNumberFormat="1" applyFont="1" applyFill="1" applyBorder="1"/>
    <xf numFmtId="164" fontId="26" fillId="0" borderId="25" xfId="4" applyNumberFormat="1" applyFont="1" applyFill="1" applyBorder="1"/>
    <xf numFmtId="164" fontId="26" fillId="0" borderId="26" xfId="4" applyNumberFormat="1" applyFont="1" applyFill="1" applyBorder="1"/>
    <xf numFmtId="165" fontId="26" fillId="0" borderId="4" xfId="4" applyNumberFormat="1" applyFont="1" applyFill="1" applyBorder="1"/>
    <xf numFmtId="167" fontId="26" fillId="0" borderId="9" xfId="2" applyNumberFormat="1" applyFont="1" applyFill="1" applyBorder="1"/>
    <xf numFmtId="165" fontId="26" fillId="0" borderId="10" xfId="4" applyNumberFormat="1" applyFont="1" applyFill="1" applyBorder="1" applyAlignment="1">
      <alignment horizontal="left"/>
    </xf>
    <xf numFmtId="165" fontId="4" fillId="0" borderId="4" xfId="15" applyNumberFormat="1" applyFont="1" applyBorder="1"/>
    <xf numFmtId="165" fontId="4" fillId="0" borderId="9" xfId="13" applyNumberFormat="1" applyFont="1" applyFill="1" applyBorder="1"/>
    <xf numFmtId="44" fontId="4" fillId="0" borderId="4" xfId="15" applyNumberFormat="1" applyFont="1" applyBorder="1"/>
    <xf numFmtId="0" fontId="36" fillId="0" borderId="0" xfId="6" applyFont="1"/>
    <xf numFmtId="167" fontId="4" fillId="0" borderId="9" xfId="12" applyNumberFormat="1" applyFont="1" applyFill="1" applyBorder="1"/>
    <xf numFmtId="0" fontId="36" fillId="0" borderId="0" xfId="0" applyFont="1" applyAlignment="1">
      <alignment wrapText="1"/>
    </xf>
    <xf numFmtId="44" fontId="36" fillId="0" borderId="0" xfId="0" applyNumberFormat="1" applyFont="1"/>
    <xf numFmtId="168" fontId="4" fillId="0" borderId="10" xfId="13" applyNumberFormat="1" applyFont="1" applyFill="1" applyBorder="1"/>
    <xf numFmtId="42" fontId="4" fillId="0" borderId="10" xfId="0" applyNumberFormat="1" applyFont="1" applyBorder="1"/>
    <xf numFmtId="10" fontId="4" fillId="0" borderId="10" xfId="9" applyNumberFormat="1" applyFont="1" applyFill="1" applyBorder="1"/>
    <xf numFmtId="167" fontId="27" fillId="0" borderId="4" xfId="2" applyNumberFormat="1" applyFont="1" applyFill="1" applyBorder="1" applyAlignment="1">
      <alignment horizontal="center"/>
    </xf>
    <xf numFmtId="167" fontId="4" fillId="0" borderId="0" xfId="1" applyNumberFormat="1" applyFont="1" applyAlignment="1">
      <alignment horizontal="center"/>
    </xf>
    <xf numFmtId="177" fontId="18" fillId="0" borderId="0" xfId="1" applyNumberFormat="1" applyFont="1" applyBorder="1"/>
    <xf numFmtId="167" fontId="35" fillId="0" borderId="9" xfId="1" applyNumberFormat="1" applyFont="1" applyFill="1" applyBorder="1"/>
    <xf numFmtId="0" fontId="4" fillId="0" borderId="0" xfId="15" applyFont="1" applyAlignment="1">
      <alignment horizontal="left"/>
    </xf>
    <xf numFmtId="164" fontId="26" fillId="0" borderId="20" xfId="3" applyNumberFormat="1" applyFont="1" applyFill="1" applyBorder="1" applyAlignment="1">
      <alignment horizontal="left"/>
    </xf>
    <xf numFmtId="164" fontId="26" fillId="0" borderId="21" xfId="13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17" fontId="4" fillId="0" borderId="19" xfId="0" applyNumberFormat="1" applyFont="1" applyBorder="1" applyAlignment="1">
      <alignment horizontal="center" vertical="justify"/>
    </xf>
    <xf numFmtId="17" fontId="4" fillId="0" borderId="13" xfId="0" applyNumberFormat="1" applyFont="1" applyBorder="1" applyAlignment="1">
      <alignment horizontal="center" vertical="justify"/>
    </xf>
    <xf numFmtId="0" fontId="4" fillId="0" borderId="0" xfId="14" applyFont="1" applyAlignment="1">
      <alignment horizontal="center" vertical="justify"/>
    </xf>
    <xf numFmtId="3" fontId="4" fillId="0" borderId="0" xfId="14" applyNumberFormat="1" applyFont="1" applyAlignment="1">
      <alignment horizontal="center" vertical="justify"/>
    </xf>
    <xf numFmtId="0" fontId="6" fillId="2" borderId="1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8">
    <cellStyle name="Comma" xfId="1" builtinId="3"/>
    <cellStyle name="Comma 2" xfId="2" xr:uid="{00000000-0005-0000-0000-000001000000}"/>
    <cellStyle name="Comma 2 2" xfId="12" xr:uid="{00000000-0005-0000-0000-000001000000}"/>
    <cellStyle name="Currency" xfId="3" builtinId="4"/>
    <cellStyle name="Currency 2" xfId="4" xr:uid="{00000000-0005-0000-0000-000003000000}"/>
    <cellStyle name="Currency 2 2" xfId="13" xr:uid="{00000000-0005-0000-0000-000003000000}"/>
    <cellStyle name="Normal" xfId="0" builtinId="0"/>
    <cellStyle name="Normal 12" xfId="5" xr:uid="{00000000-0005-0000-0000-000005000000}"/>
    <cellStyle name="Normal 12 2" xfId="14" xr:uid="{00000000-0005-0000-0000-000005000000}"/>
    <cellStyle name="Normal 2" xfId="6" xr:uid="{00000000-0005-0000-0000-000006000000}"/>
    <cellStyle name="Normal 2 2" xfId="15" xr:uid="{00000000-0005-0000-0000-000006000000}"/>
    <cellStyle name="Normal 2 3 3" xfId="7" xr:uid="{00000000-0005-0000-0000-000007000000}"/>
    <cellStyle name="Normal 21" xfId="17" xr:uid="{D0B85BDD-AF47-48A8-BE43-19DB148BB222}"/>
    <cellStyle name="Normal 3" xfId="11" xr:uid="{00000000-0005-0000-0000-000038000000}"/>
    <cellStyle name="Normal 5" xfId="8" xr:uid="{00000000-0005-0000-0000-000008000000}"/>
    <cellStyle name="Percent" xfId="9" builtinId="5"/>
    <cellStyle name="Percent 2" xfId="10" xr:uid="{00000000-0005-0000-0000-00000A000000}"/>
    <cellStyle name="Percent 2 2" xfId="16" xr:uid="{00000000-0005-0000-0000-00000A000000}"/>
  </cellStyles>
  <dxfs count="0"/>
  <tableStyles count="1" defaultTableStyle="TableStyleMedium9" defaultPivotStyle="PivotStyleLight16">
    <tableStyle name="Invisible" pivot="0" table="0" count="0" xr9:uid="{C03F0088-E253-400A-95B1-95C36E414C71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tatement%20BH%20-%20TO6%20Cycle%202_Settlement.xlsx" TargetMode="External"/><Relationship Id="rId1" Type="http://schemas.openxmlformats.org/officeDocument/2006/relationships/externalLinkPath" Target="Statement%20BH%20-%20TO6%20Cycle%202_Settl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tatement%20BL%20-%20TO6%20Cycle%202_Settlement.xlsx" TargetMode="External"/><Relationship Id="rId1" Type="http://schemas.openxmlformats.org/officeDocument/2006/relationships/externalLinkPath" Target="Statement%20BL%20-%20TO6%20Cycle%202_Settl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-my.sharepoint.com/personal/kloudat_sdge_com/Documents/TO6%20Cycle%202%20Settlement/Support/TO6%20C2%20Statement%20BD%20-%20Settlement.xlsx" TargetMode="External"/><Relationship Id="rId1" Type="http://schemas.openxmlformats.org/officeDocument/2006/relationships/externalLinkPath" Target="Support/TO6%20C2%20Statement%20BD%20-%20Settlemen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orp.se.sempra.com\corpdata\Electric_Rates_Group\Rate%20Changes\2025%20Rate%20Changes\10-1-25%20BSC%20+%20Roll%20Off%20Filing\Consolidated%20Model%2010-1-25.xlsm" TargetMode="External"/><Relationship Id="rId1" Type="http://schemas.openxmlformats.org/officeDocument/2006/relationships/externalLinkPath" Target="file:///\\corp.se.sempra.com\corpdata\Electric_Rates_Group\Rate%20Changes\2025%20Rate%20Changes\10-1-25%20BSC%20+%20Roll%20Off%20Filing\Consolidated%20Model%2010-1-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Revs @ Present Rates"/>
      <sheetName val="A-Revenues@Present Rates"/>
      <sheetName val="B-Revenues@Present Rates"/>
      <sheetName val="C-Revenues@Present Rates"/>
      <sheetName val="A-Med &amp; Lrg C-I"/>
      <sheetName val="B-Med &amp; Lrg C-I"/>
      <sheetName val="C-Med &amp; Lrg C-I"/>
      <sheetName val="D-Med &amp; Lrg C-I"/>
      <sheetName val="San Diego Unified Port District"/>
      <sheetName val="PA-T-1"/>
      <sheetName val="Wholesale TAC Rates"/>
      <sheetName val="Escondido"/>
      <sheetName val="Standby"/>
    </sheetNames>
    <sheetDataSet>
      <sheetData sheetId="0">
        <row r="33">
          <cell r="I33">
            <v>459675486.88590163</v>
          </cell>
        </row>
        <row r="35">
          <cell r="I35">
            <v>124742491.3459226</v>
          </cell>
        </row>
        <row r="37">
          <cell r="I37">
            <v>447175970.99685061</v>
          </cell>
        </row>
        <row r="39">
          <cell r="I39">
            <v>121172.4</v>
          </cell>
        </row>
        <row r="43">
          <cell r="I43">
            <v>3862589.6046864158</v>
          </cell>
        </row>
        <row r="45">
          <cell r="I45">
            <v>11520612</v>
          </cell>
        </row>
        <row r="47">
          <cell r="I47">
            <v>1060219140.244766</v>
          </cell>
        </row>
      </sheetData>
      <sheetData sheetId="1"/>
      <sheetData sheetId="2"/>
      <sheetData sheetId="3">
        <row r="81">
          <cell r="K81">
            <v>5716004.2365581021</v>
          </cell>
        </row>
        <row r="82">
          <cell r="L82">
            <v>7404812.7748466888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smission Rates Summary"/>
      <sheetName val="Allocation of Base TRR - 12 CPS"/>
      <sheetName val="Transmission Energy Rates"/>
      <sheetName val="Med &amp; Lrg C-I NCD"/>
      <sheetName val="Med &amp; Lrg C-I NCD Revenues"/>
      <sheetName val="M&amp;L C-I On-Peak Demand"/>
      <sheetName val="M&amp;L C-I System Peak Demand"/>
      <sheetName val="AG NCD"/>
      <sheetName val="Standby Demand"/>
      <sheetName val="Summary of Revenues"/>
      <sheetName val="San Diego Unified Port District"/>
      <sheetName val="Workpapers"/>
      <sheetName val="Workpapers 2"/>
    </sheetNames>
    <sheetDataSet>
      <sheetData sheetId="0">
        <row r="14">
          <cell r="C14">
            <v>0.10392999999999999</v>
          </cell>
        </row>
        <row r="16">
          <cell r="C16">
            <v>5.663E-2</v>
          </cell>
        </row>
        <row r="19">
          <cell r="D19">
            <v>22.55</v>
          </cell>
          <cell r="E19">
            <v>22.65</v>
          </cell>
          <cell r="F19">
            <v>23.44</v>
          </cell>
        </row>
        <row r="21">
          <cell r="D21">
            <v>20.3</v>
          </cell>
          <cell r="E21">
            <v>20.39</v>
          </cell>
          <cell r="F21">
            <v>21.1</v>
          </cell>
        </row>
        <row r="24">
          <cell r="D24">
            <v>4.16</v>
          </cell>
          <cell r="E24">
            <v>4.17</v>
          </cell>
          <cell r="F24">
            <v>4.32</v>
          </cell>
        </row>
        <row r="25">
          <cell r="D25">
            <v>0.86</v>
          </cell>
          <cell r="E25">
            <v>0.86</v>
          </cell>
          <cell r="F25">
            <v>0.89</v>
          </cell>
        </row>
        <row r="28">
          <cell r="D28">
            <v>3.86</v>
          </cell>
          <cell r="E28">
            <v>3.89</v>
          </cell>
          <cell r="F28">
            <v>4.0199999999999996</v>
          </cell>
        </row>
        <row r="29">
          <cell r="D29">
            <v>0.91</v>
          </cell>
          <cell r="E29">
            <v>0.92</v>
          </cell>
          <cell r="F29">
            <v>0.95</v>
          </cell>
        </row>
        <row r="32">
          <cell r="D32">
            <v>5.6</v>
          </cell>
          <cell r="E32">
            <v>5.64</v>
          </cell>
          <cell r="F32">
            <v>0</v>
          </cell>
        </row>
        <row r="33">
          <cell r="D33">
            <v>1.03</v>
          </cell>
          <cell r="E33">
            <v>1.04</v>
          </cell>
          <cell r="F33">
            <v>0</v>
          </cell>
        </row>
        <row r="36">
          <cell r="D36">
            <v>5.33</v>
          </cell>
          <cell r="E36">
            <v>5.35</v>
          </cell>
          <cell r="F36">
            <v>0</v>
          </cell>
        </row>
        <row r="37">
          <cell r="D37">
            <v>1.02</v>
          </cell>
          <cell r="E37">
            <v>1.03</v>
          </cell>
          <cell r="F37">
            <v>0</v>
          </cell>
        </row>
        <row r="42">
          <cell r="E42">
            <v>1.1299999999999999</v>
          </cell>
        </row>
        <row r="44">
          <cell r="E44">
            <v>2.34</v>
          </cell>
        </row>
        <row r="45">
          <cell r="E45">
            <v>2.34</v>
          </cell>
        </row>
        <row r="47">
          <cell r="C47">
            <v>3.3610000000000001E-2</v>
          </cell>
        </row>
        <row r="50">
          <cell r="D50">
            <v>9.61</v>
          </cell>
          <cell r="E50">
            <v>9.66</v>
          </cell>
          <cell r="F50">
            <v>10</v>
          </cell>
        </row>
        <row r="52">
          <cell r="C52">
            <v>4.3999999999999997E-2</v>
          </cell>
        </row>
        <row r="54">
          <cell r="D54">
            <v>7.15</v>
          </cell>
          <cell r="E54">
            <v>7.19</v>
          </cell>
          <cell r="F54">
            <v>7.42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ling Copy - Stmt BD"/>
      <sheetName val="Filing Copy - BDWP1"/>
      <sheetName val="Filing Copy-2026 Forecast"/>
      <sheetName val="Filing Copy-Energy Storage Fcst"/>
      <sheetName val="Filing Copy-Pump Load True Up"/>
      <sheetName val="A. Statement BD"/>
      <sheetName val="B. Statement BD Workpaper"/>
      <sheetName val="C. 2026 Forecast Sales"/>
      <sheetName val="D. TO6 C2 Stmt BB"/>
      <sheetName val="E. Energy Storage Load Forecast"/>
      <sheetName val="E1. E-mail wp support"/>
      <sheetName val="F. Loss Factors"/>
      <sheetName val="G. Gross Load_True_Up_Adj"/>
      <sheetName val="G.1 2024 Gross Load Forecast"/>
      <sheetName val="G.2 2024 Gross Load Recorded"/>
    </sheetNames>
    <sheetDataSet>
      <sheetData sheetId="0"/>
      <sheetData sheetId="1"/>
      <sheetData sheetId="2">
        <row r="15">
          <cell r="C15">
            <v>7.5685555555555553</v>
          </cell>
          <cell r="D15">
            <v>7.5685555555555553</v>
          </cell>
          <cell r="E15">
            <v>7.5685555555555553</v>
          </cell>
          <cell r="F15">
            <v>7.5685555555555553</v>
          </cell>
          <cell r="G15">
            <v>7.5685555555555553</v>
          </cell>
          <cell r="H15">
            <v>7.5685555555555553</v>
          </cell>
          <cell r="I15">
            <v>7.5685555555555553</v>
          </cell>
          <cell r="J15">
            <v>7.5685555555555553</v>
          </cell>
          <cell r="K15">
            <v>7.5685555555555553</v>
          </cell>
          <cell r="L15">
            <v>7.5685555555555553</v>
          </cell>
          <cell r="M15">
            <v>7.5685555555555553</v>
          </cell>
          <cell r="N15">
            <v>7.5685555555555553</v>
          </cell>
        </row>
      </sheetData>
      <sheetData sheetId="3"/>
      <sheetData sheetId="4"/>
      <sheetData sheetId="5"/>
      <sheetData sheetId="6"/>
      <sheetData sheetId="7">
        <row r="8">
          <cell r="B8">
            <v>565866.7545167394</v>
          </cell>
          <cell r="C8">
            <v>474945.65281434939</v>
          </cell>
          <cell r="D8">
            <v>415713.04223156243</v>
          </cell>
          <cell r="E8">
            <v>339697.35059226031</v>
          </cell>
          <cell r="F8">
            <v>312119.36205995828</v>
          </cell>
          <cell r="G8">
            <v>335919.48072164389</v>
          </cell>
          <cell r="H8">
            <v>439256.6727740927</v>
          </cell>
          <cell r="I8">
            <v>587388.49004375737</v>
          </cell>
          <cell r="J8">
            <v>663180.16079624335</v>
          </cell>
          <cell r="K8">
            <v>486365.56356523017</v>
          </cell>
          <cell r="L8">
            <v>418337.1072421071</v>
          </cell>
          <cell r="M8">
            <v>490455.11967941705</v>
          </cell>
        </row>
        <row r="9">
          <cell r="B9">
            <v>201410.8846648258</v>
          </cell>
          <cell r="C9">
            <v>193878.03431133719</v>
          </cell>
          <cell r="D9">
            <v>189903.29863903418</v>
          </cell>
          <cell r="E9">
            <v>188108.26087251215</v>
          </cell>
          <cell r="F9">
            <v>187866.12535447706</v>
          </cell>
          <cell r="G9">
            <v>194140.30301661658</v>
          </cell>
          <cell r="H9">
            <v>217323.56930803531</v>
          </cell>
          <cell r="I9">
            <v>229243.87939853666</v>
          </cell>
          <cell r="J9">
            <v>239317.96571833527</v>
          </cell>
          <cell r="K9">
            <v>211348.57679099374</v>
          </cell>
          <cell r="L9">
            <v>195315.56105681779</v>
          </cell>
          <cell r="M9">
            <v>194243.9979147311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>
            <v>624623.34396358684</v>
          </cell>
          <cell r="C11">
            <v>598275.54000922793</v>
          </cell>
          <cell r="D11">
            <v>591888.33811396465</v>
          </cell>
          <cell r="E11">
            <v>593322.4069488364</v>
          </cell>
          <cell r="F11">
            <v>603056.33649390168</v>
          </cell>
          <cell r="G11">
            <v>633872.26914044889</v>
          </cell>
          <cell r="H11">
            <v>704820.31099111389</v>
          </cell>
          <cell r="I11">
            <v>732706.68919207831</v>
          </cell>
          <cell r="J11">
            <v>765160.86600524245</v>
          </cell>
          <cell r="K11">
            <v>700464.73635272053</v>
          </cell>
          <cell r="L11">
            <v>635921.14628863835</v>
          </cell>
          <cell r="M11">
            <v>657229.98612820031</v>
          </cell>
        </row>
        <row r="12">
          <cell r="B12">
            <v>94174.387488365741</v>
          </cell>
          <cell r="C12">
            <v>82713.76973696315</v>
          </cell>
          <cell r="D12">
            <v>90955.385218737327</v>
          </cell>
          <cell r="E12">
            <v>93511.227406458245</v>
          </cell>
          <cell r="F12">
            <v>90384.275919060892</v>
          </cell>
          <cell r="G12">
            <v>89745.277421217557</v>
          </cell>
          <cell r="H12">
            <v>101669.34585700449</v>
          </cell>
          <cell r="I12">
            <v>101261.82916729401</v>
          </cell>
          <cell r="J12">
            <v>101856.00715929084</v>
          </cell>
          <cell r="K12">
            <v>96071.838125213282</v>
          </cell>
          <cell r="L12">
            <v>92182.107097293367</v>
          </cell>
          <cell r="M12">
            <v>106479.83468417113</v>
          </cell>
        </row>
        <row r="13">
          <cell r="B13">
            <v>216.72</v>
          </cell>
          <cell r="C13">
            <v>453.59</v>
          </cell>
          <cell r="D13">
            <v>352.39</v>
          </cell>
          <cell r="E13">
            <v>1098.01</v>
          </cell>
          <cell r="F13">
            <v>195.56</v>
          </cell>
          <cell r="G13">
            <v>0</v>
          </cell>
          <cell r="H13">
            <v>0</v>
          </cell>
          <cell r="I13">
            <v>0</v>
          </cell>
          <cell r="J13">
            <v>102.32</v>
          </cell>
          <cell r="K13">
            <v>747.3</v>
          </cell>
          <cell r="L13">
            <v>703.62</v>
          </cell>
          <cell r="M13">
            <v>339.3</v>
          </cell>
        </row>
        <row r="14">
          <cell r="B14">
            <v>8770.8981289841504</v>
          </cell>
          <cell r="C14">
            <v>8598.1977953569913</v>
          </cell>
          <cell r="D14">
            <v>8121.460102189486</v>
          </cell>
          <cell r="E14">
            <v>8972.6457992273154</v>
          </cell>
          <cell r="F14">
            <v>13494.394209383001</v>
          </cell>
          <cell r="G14">
            <v>15277.102085518412</v>
          </cell>
          <cell r="H14">
            <v>17674.212425930997</v>
          </cell>
          <cell r="I14">
            <v>19350.930552889986</v>
          </cell>
          <cell r="J14">
            <v>18944.80013235228</v>
          </cell>
          <cell r="K14">
            <v>17483.777143699219</v>
          </cell>
          <cell r="L14">
            <v>14421.116292368242</v>
          </cell>
          <cell r="M14">
            <v>13285.180217291201</v>
          </cell>
        </row>
        <row r="15">
          <cell r="B15">
            <v>16096.194488099385</v>
          </cell>
          <cell r="C15">
            <v>16324.789675258995</v>
          </cell>
          <cell r="D15">
            <v>15210.058425003275</v>
          </cell>
          <cell r="E15">
            <v>15790.788262185775</v>
          </cell>
          <cell r="F15">
            <v>18980.076654593213</v>
          </cell>
          <cell r="G15">
            <v>19791.045536760012</v>
          </cell>
          <cell r="H15">
            <v>21824.505864378167</v>
          </cell>
          <cell r="I15">
            <v>21947.825423344755</v>
          </cell>
          <cell r="J15">
            <v>21857.831109899176</v>
          </cell>
          <cell r="K15">
            <v>21118.8242638708</v>
          </cell>
          <cell r="L15">
            <v>19755.426797113778</v>
          </cell>
          <cell r="M15">
            <v>18182.7154746778</v>
          </cell>
        </row>
        <row r="16">
          <cell r="B16">
            <v>7050.0413726688057</v>
          </cell>
          <cell r="C16">
            <v>6963.6393231486991</v>
          </cell>
          <cell r="D16">
            <v>6821.3843778897572</v>
          </cell>
          <cell r="E16">
            <v>6696.4339907789936</v>
          </cell>
          <cell r="F16">
            <v>6687.4349307582761</v>
          </cell>
          <cell r="G16">
            <v>6721.2374505943089</v>
          </cell>
          <cell r="H16">
            <v>6678.7223135911072</v>
          </cell>
          <cell r="I16">
            <v>6838.7799659992625</v>
          </cell>
          <cell r="J16">
            <v>6753.5915071859908</v>
          </cell>
          <cell r="K16">
            <v>6782.6486053437784</v>
          </cell>
          <cell r="L16">
            <v>7119.9366196114333</v>
          </cell>
          <cell r="M16">
            <v>7138.9094377961856</v>
          </cell>
        </row>
        <row r="17">
          <cell r="B17">
            <v>7.5685555555555553</v>
          </cell>
          <cell r="C17">
            <v>7.5685555555555553</v>
          </cell>
          <cell r="D17">
            <v>7.5685555555555553</v>
          </cell>
          <cell r="E17">
            <v>7.5685555555555553</v>
          </cell>
          <cell r="F17">
            <v>7.5685555555555553</v>
          </cell>
          <cell r="G17">
            <v>7.5685555555555553</v>
          </cell>
          <cell r="H17">
            <v>7.5685555555555553</v>
          </cell>
          <cell r="I17">
            <v>7.5685555555555553</v>
          </cell>
          <cell r="J17">
            <v>7.5685555555555553</v>
          </cell>
          <cell r="K17">
            <v>7.5685555555555553</v>
          </cell>
          <cell r="L17">
            <v>7.5685555555555553</v>
          </cell>
          <cell r="M17">
            <v>7.5685555555555553</v>
          </cell>
        </row>
        <row r="18">
          <cell r="B18">
            <v>1518216.7931788256</v>
          </cell>
          <cell r="C18">
            <v>1382160.7822211981</v>
          </cell>
          <cell r="D18">
            <v>1318972.9256639367</v>
          </cell>
          <cell r="E18">
            <v>1247204.6924278149</v>
          </cell>
          <cell r="F18">
            <v>1232791.134177688</v>
          </cell>
          <cell r="G18">
            <v>1295474.2839283554</v>
          </cell>
          <cell r="H18">
            <v>1509254.9080897018</v>
          </cell>
          <cell r="I18">
            <v>1698745.9922994561</v>
          </cell>
          <cell r="J18">
            <v>1817181.1109841049</v>
          </cell>
          <cell r="K18">
            <v>1540390.8334026269</v>
          </cell>
          <cell r="L18">
            <v>1383763.5899495056</v>
          </cell>
          <cell r="M18">
            <v>1487362.6120918402</v>
          </cell>
        </row>
        <row r="24">
          <cell r="B24">
            <v>57086.588799999998</v>
          </cell>
          <cell r="C24">
            <v>49775.4879</v>
          </cell>
          <cell r="D24">
            <v>44640.052899999995</v>
          </cell>
          <cell r="E24">
            <v>37804.715199999999</v>
          </cell>
          <cell r="F24">
            <v>35106.300900000002</v>
          </cell>
          <cell r="G24">
            <v>38744.773799999995</v>
          </cell>
          <cell r="H24">
            <v>43505.435799999999</v>
          </cell>
          <cell r="I24">
            <v>58807.220100000006</v>
          </cell>
          <cell r="J24">
            <v>70375.036200000002</v>
          </cell>
          <cell r="K24">
            <v>56850.117099999996</v>
          </cell>
          <cell r="L24">
            <v>52399.742200000001</v>
          </cell>
          <cell r="M24">
            <v>61108.017500000002</v>
          </cell>
        </row>
        <row r="27">
          <cell r="B27">
            <v>11625.5121</v>
          </cell>
          <cell r="C27">
            <v>10132.8195</v>
          </cell>
          <cell r="D27">
            <v>9084.6010999999999</v>
          </cell>
          <cell r="E27">
            <v>7687.1929</v>
          </cell>
          <cell r="F27">
            <v>7141.3666000000003</v>
          </cell>
          <cell r="G27">
            <v>7657.6166999999996</v>
          </cell>
          <cell r="H27">
            <v>8594.5890999999992</v>
          </cell>
          <cell r="I27">
            <v>11614.3552</v>
          </cell>
          <cell r="J27">
            <v>13901.822399999999</v>
          </cell>
          <cell r="K27">
            <v>11231.359899999999</v>
          </cell>
          <cell r="L27">
            <v>10669.369500000001</v>
          </cell>
          <cell r="M27">
            <v>12445.3675</v>
          </cell>
        </row>
        <row r="28">
          <cell r="B28">
            <v>9966.1023999999998</v>
          </cell>
          <cell r="C28">
            <v>8707.8168000000005</v>
          </cell>
          <cell r="D28">
            <v>7830.9988999999996</v>
          </cell>
          <cell r="E28">
            <v>6668.5195000000003</v>
          </cell>
          <cell r="F28">
            <v>6195.6984000000002</v>
          </cell>
          <cell r="G28">
            <v>5140.5177000000003</v>
          </cell>
          <cell r="H28">
            <v>5804.4919</v>
          </cell>
          <cell r="I28">
            <v>7763.4177</v>
          </cell>
          <cell r="J28">
            <v>9242.4766</v>
          </cell>
          <cell r="K28">
            <v>7475.9413999999997</v>
          </cell>
          <cell r="L28">
            <v>9177.5540999999994</v>
          </cell>
          <cell r="M28">
            <v>10683.647499999999</v>
          </cell>
        </row>
        <row r="29">
          <cell r="B29">
            <v>35494.974300000002</v>
          </cell>
          <cell r="C29">
            <v>30934.851600000002</v>
          </cell>
          <cell r="D29">
            <v>27724.4529</v>
          </cell>
          <cell r="E29">
            <v>23449.002799999998</v>
          </cell>
          <cell r="F29">
            <v>21769.2359</v>
          </cell>
          <cell r="G29">
            <v>25946.6394</v>
          </cell>
          <cell r="H29">
            <v>29106.354800000001</v>
          </cell>
          <cell r="I29">
            <v>39429.447200000002</v>
          </cell>
          <cell r="J29">
            <v>47230.737200000003</v>
          </cell>
          <cell r="K29">
            <v>38142.815799999997</v>
          </cell>
          <cell r="L29">
            <v>32552.818599999999</v>
          </cell>
          <cell r="M29">
            <v>37979.002500000002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64">
          <cell r="B64">
            <v>0.74135771480741097</v>
          </cell>
          <cell r="C64">
            <v>0.74135771480741097</v>
          </cell>
          <cell r="D64">
            <v>0.74135771480741097</v>
          </cell>
          <cell r="E64">
            <v>0.74135771480741097</v>
          </cell>
          <cell r="F64">
            <v>0.74135771480741097</v>
          </cell>
          <cell r="G64">
            <v>0.73649434752213505</v>
          </cell>
          <cell r="H64">
            <v>0.73649434752213505</v>
          </cell>
          <cell r="I64">
            <v>0.73649434752213505</v>
          </cell>
          <cell r="J64">
            <v>0.73649434752213505</v>
          </cell>
          <cell r="K64">
            <v>0.73649434752213505</v>
          </cell>
          <cell r="L64">
            <v>0.74135771480741097</v>
          </cell>
          <cell r="M64">
            <v>0.74135771480741097</v>
          </cell>
        </row>
        <row r="65">
          <cell r="B65">
            <v>0.234987239387941</v>
          </cell>
          <cell r="C65">
            <v>0.234987239387941</v>
          </cell>
          <cell r="D65">
            <v>0.234987239387941</v>
          </cell>
          <cell r="E65">
            <v>0.234987239387941</v>
          </cell>
          <cell r="F65">
            <v>0.234987239387941</v>
          </cell>
          <cell r="G65">
            <v>0.238622663573579</v>
          </cell>
          <cell r="H65">
            <v>0.238622663573579</v>
          </cell>
          <cell r="I65">
            <v>0.238622663573579</v>
          </cell>
          <cell r="J65">
            <v>0.238622663573579</v>
          </cell>
          <cell r="K65">
            <v>0.238622663573579</v>
          </cell>
          <cell r="L65">
            <v>0.234987239387941</v>
          </cell>
          <cell r="M65">
            <v>0.234987239387941</v>
          </cell>
        </row>
        <row r="66">
          <cell r="B66">
            <v>2.36550458046474E-2</v>
          </cell>
          <cell r="C66">
            <v>2.36550458046474E-2</v>
          </cell>
          <cell r="D66">
            <v>2.36550458046474E-2</v>
          </cell>
          <cell r="E66">
            <v>2.36550458046474E-2</v>
          </cell>
          <cell r="F66">
            <v>2.36550458046474E-2</v>
          </cell>
          <cell r="G66">
            <v>2.4882988904284899E-2</v>
          </cell>
          <cell r="H66">
            <v>2.4882988904284899E-2</v>
          </cell>
          <cell r="I66">
            <v>2.4882988904284899E-2</v>
          </cell>
          <cell r="J66">
            <v>2.4882988904284899E-2</v>
          </cell>
          <cell r="K66">
            <v>2.4882988904284899E-2</v>
          </cell>
          <cell r="L66">
            <v>2.36550458046474E-2</v>
          </cell>
          <cell r="M66">
            <v>2.36550458046474E-2</v>
          </cell>
        </row>
        <row r="67">
          <cell r="B67">
            <v>0.99999999999999933</v>
          </cell>
          <cell r="C67">
            <v>0.99999999999999933</v>
          </cell>
          <cell r="D67">
            <v>0.99999999999999933</v>
          </cell>
          <cell r="E67">
            <v>0.99999999999999933</v>
          </cell>
          <cell r="F67">
            <v>0.99999999999999933</v>
          </cell>
          <cell r="G67">
            <v>0.99999999999999889</v>
          </cell>
          <cell r="H67">
            <v>0.99999999999999889</v>
          </cell>
          <cell r="I67">
            <v>0.99999999999999889</v>
          </cell>
          <cell r="J67">
            <v>0.99999999999999889</v>
          </cell>
          <cell r="K67">
            <v>0.99999999999999889</v>
          </cell>
          <cell r="L67">
            <v>0.99999999999999933</v>
          </cell>
          <cell r="M67">
            <v>0.99999999999999933</v>
          </cell>
        </row>
        <row r="74">
          <cell r="B74">
            <v>2.62507935042859E-3</v>
          </cell>
          <cell r="C74">
            <v>2.62507935042859E-3</v>
          </cell>
          <cell r="D74">
            <v>2.62507935042859E-3</v>
          </cell>
          <cell r="E74">
            <v>2.62507935042859E-3</v>
          </cell>
          <cell r="F74">
            <v>2.62507935042859E-3</v>
          </cell>
          <cell r="G74">
            <v>2.6250685943222198E-3</v>
          </cell>
          <cell r="H74">
            <v>2.6250685943222198E-3</v>
          </cell>
          <cell r="I74">
            <v>2.6250685943222198E-3</v>
          </cell>
          <cell r="J74">
            <v>2.6250685943222198E-3</v>
          </cell>
          <cell r="K74">
            <v>2.6250685943222198E-3</v>
          </cell>
          <cell r="L74">
            <v>2.62507935042859E-3</v>
          </cell>
          <cell r="M74">
            <v>2.62507935042859E-3</v>
          </cell>
        </row>
        <row r="75">
          <cell r="B75">
            <v>2.1106876682580799E-3</v>
          </cell>
          <cell r="C75">
            <v>2.1106876682580799E-3</v>
          </cell>
          <cell r="D75">
            <v>2.1106876682580799E-3</v>
          </cell>
          <cell r="E75">
            <v>2.1106876682580799E-3</v>
          </cell>
          <cell r="F75">
            <v>2.1106876682580799E-3</v>
          </cell>
          <cell r="G75">
            <v>2.0974007090810002E-3</v>
          </cell>
          <cell r="H75">
            <v>2.0974007090810002E-3</v>
          </cell>
          <cell r="I75">
            <v>2.0974007090810002E-3</v>
          </cell>
          <cell r="J75">
            <v>2.0974007090810002E-3</v>
          </cell>
          <cell r="K75">
            <v>2.0974007090810002E-3</v>
          </cell>
          <cell r="L75">
            <v>2.1106876682580799E-3</v>
          </cell>
          <cell r="M75">
            <v>2.1106876682580799E-3</v>
          </cell>
        </row>
        <row r="76">
          <cell r="B76">
            <v>1.22816455760107E-3</v>
          </cell>
          <cell r="C76">
            <v>1.22816455760107E-3</v>
          </cell>
          <cell r="D76">
            <v>1.22816455760107E-3</v>
          </cell>
          <cell r="E76">
            <v>1.22816455760107E-3</v>
          </cell>
          <cell r="F76">
            <v>1.22816455760107E-3</v>
          </cell>
          <cell r="G76">
            <v>1.2187773237198501E-3</v>
          </cell>
          <cell r="H76">
            <v>1.2187773237198501E-3</v>
          </cell>
          <cell r="I76">
            <v>1.2187773237198501E-3</v>
          </cell>
          <cell r="J76">
            <v>1.2187773237198501E-3</v>
          </cell>
          <cell r="K76">
            <v>1.2187773237198501E-3</v>
          </cell>
          <cell r="L76">
            <v>1.22816455760107E-3</v>
          </cell>
          <cell r="M76">
            <v>1.22816455760107E-3</v>
          </cell>
        </row>
        <row r="84">
          <cell r="B84">
            <v>2.4318459450238098E-3</v>
          </cell>
          <cell r="C84">
            <v>2.4318459450238098E-3</v>
          </cell>
          <cell r="D84">
            <v>2.4318459450238098E-3</v>
          </cell>
          <cell r="E84">
            <v>2.4318459450238098E-3</v>
          </cell>
          <cell r="F84">
            <v>2.4318459450238098E-3</v>
          </cell>
          <cell r="G84">
            <v>2.4779039437715501E-3</v>
          </cell>
          <cell r="H84">
            <v>2.4779039437715501E-3</v>
          </cell>
          <cell r="I84">
            <v>2.4779039437715501E-3</v>
          </cell>
          <cell r="J84">
            <v>2.4779039437715501E-3</v>
          </cell>
          <cell r="K84">
            <v>2.4779039437715501E-3</v>
          </cell>
          <cell r="L84">
            <v>2.4318459450238098E-3</v>
          </cell>
          <cell r="M84">
            <v>2.4318459450238098E-3</v>
          </cell>
        </row>
        <row r="85">
          <cell r="B85">
            <v>2.04653656864236E-3</v>
          </cell>
          <cell r="C85">
            <v>2.04653656864236E-3</v>
          </cell>
          <cell r="D85">
            <v>2.04653656864236E-3</v>
          </cell>
          <cell r="E85">
            <v>2.04653656864236E-3</v>
          </cell>
          <cell r="F85">
            <v>2.04653656864236E-3</v>
          </cell>
          <cell r="G85">
            <v>2.0356020413727898E-3</v>
          </cell>
          <cell r="H85">
            <v>2.0356020413727898E-3</v>
          </cell>
          <cell r="I85">
            <v>2.0356020413727898E-3</v>
          </cell>
          <cell r="J85">
            <v>2.0356020413727898E-3</v>
          </cell>
          <cell r="K85">
            <v>2.0356020413727898E-3</v>
          </cell>
          <cell r="L85">
            <v>2.04653656864236E-3</v>
          </cell>
          <cell r="M85">
            <v>2.04653656864236E-3</v>
          </cell>
        </row>
        <row r="86">
          <cell r="B86">
            <v>2.9884826284296701E-3</v>
          </cell>
          <cell r="C86">
            <v>2.9884826284296701E-3</v>
          </cell>
          <cell r="D86">
            <v>2.9884826284296701E-3</v>
          </cell>
          <cell r="E86">
            <v>2.9884826284296701E-3</v>
          </cell>
          <cell r="F86">
            <v>2.9884826284296701E-3</v>
          </cell>
          <cell r="G86">
            <v>2.54633386718982E-3</v>
          </cell>
          <cell r="H86">
            <v>2.54633386718982E-3</v>
          </cell>
          <cell r="I86">
            <v>2.54633386718982E-3</v>
          </cell>
          <cell r="J86">
            <v>2.54633386718982E-3</v>
          </cell>
          <cell r="K86">
            <v>2.54633386718982E-3</v>
          </cell>
          <cell r="L86">
            <v>2.9884826284296701E-3</v>
          </cell>
          <cell r="M86">
            <v>2.9884826284296701E-3</v>
          </cell>
        </row>
        <row r="95">
          <cell r="B95">
            <v>2.2809262336616399E-3</v>
          </cell>
          <cell r="C95">
            <v>2.2809262336616399E-3</v>
          </cell>
          <cell r="D95">
            <v>2.2809262336616399E-3</v>
          </cell>
          <cell r="E95">
            <v>2.2809262336616399E-3</v>
          </cell>
          <cell r="F95">
            <v>2.2809262336616399E-3</v>
          </cell>
          <cell r="G95">
            <v>2.66665113284539E-3</v>
          </cell>
          <cell r="H95">
            <v>2.66665113284539E-3</v>
          </cell>
          <cell r="I95">
            <v>2.66665113284539E-3</v>
          </cell>
          <cell r="J95">
            <v>2.66665113284539E-3</v>
          </cell>
          <cell r="K95">
            <v>2.66665113284539E-3</v>
          </cell>
          <cell r="L95">
            <v>2.2809262336616399E-3</v>
          </cell>
          <cell r="M95">
            <v>2.2809262336616399E-3</v>
          </cell>
        </row>
        <row r="96">
          <cell r="B96">
            <v>1.9725401325032198E-3</v>
          </cell>
          <cell r="C96">
            <v>1.9725401325032198E-3</v>
          </cell>
          <cell r="D96">
            <v>1.9725401325032198E-3</v>
          </cell>
          <cell r="E96">
            <v>1.9725401325032198E-3</v>
          </cell>
          <cell r="F96">
            <v>1.9725401325032198E-3</v>
          </cell>
          <cell r="G96">
            <v>2.14303440313226E-3</v>
          </cell>
          <cell r="H96">
            <v>2.14303440313226E-3</v>
          </cell>
          <cell r="I96">
            <v>2.14303440313226E-3</v>
          </cell>
          <cell r="J96">
            <v>2.14303440313226E-3</v>
          </cell>
          <cell r="K96">
            <v>2.14303440313226E-3</v>
          </cell>
          <cell r="L96">
            <v>1.9725401325032198E-3</v>
          </cell>
          <cell r="M96">
            <v>1.9725401325032198E-3</v>
          </cell>
        </row>
        <row r="97">
          <cell r="B97">
            <v>2.7077072157385799E-3</v>
          </cell>
          <cell r="C97">
            <v>2.7077072157385799E-3</v>
          </cell>
          <cell r="D97">
            <v>2.7077072157385799E-3</v>
          </cell>
          <cell r="E97">
            <v>2.7077072157385799E-3</v>
          </cell>
          <cell r="F97">
            <v>2.7077072157385799E-3</v>
          </cell>
          <cell r="G97">
            <v>2.8826273232633302E-3</v>
          </cell>
          <cell r="H97">
            <v>2.8826273232633302E-3</v>
          </cell>
          <cell r="I97">
            <v>2.8826273232633302E-3</v>
          </cell>
          <cell r="J97">
            <v>2.8826273232633302E-3</v>
          </cell>
          <cell r="K97">
            <v>2.8826273232633302E-3</v>
          </cell>
          <cell r="L97">
            <v>2.7077072157385799E-3</v>
          </cell>
          <cell r="M97">
            <v>2.7077072157385799E-3</v>
          </cell>
        </row>
        <row r="112">
          <cell r="B112">
            <v>0.30777994363928302</v>
          </cell>
          <cell r="C112">
            <v>0.30777994363928302</v>
          </cell>
          <cell r="D112">
            <v>0.30777994363928302</v>
          </cell>
          <cell r="E112">
            <v>0.30777994363928302</v>
          </cell>
          <cell r="F112">
            <v>0.30777994363928302</v>
          </cell>
          <cell r="G112">
            <v>0.30322674422573997</v>
          </cell>
          <cell r="H112">
            <v>0.30322674422573997</v>
          </cell>
          <cell r="I112">
            <v>0.30322674422573997</v>
          </cell>
          <cell r="J112">
            <v>0.30322674422573997</v>
          </cell>
          <cell r="K112">
            <v>0.30322674422573997</v>
          </cell>
          <cell r="L112">
            <v>0.30777994363928302</v>
          </cell>
          <cell r="M112">
            <v>0.30777994363928302</v>
          </cell>
        </row>
        <row r="113">
          <cell r="B113">
            <v>0.69222005636071604</v>
          </cell>
          <cell r="C113">
            <v>0.69222005636071604</v>
          </cell>
          <cell r="D113">
            <v>0.69222005636071604</v>
          </cell>
          <cell r="E113">
            <v>0.69222005636071604</v>
          </cell>
          <cell r="F113">
            <v>0.69222005636071604</v>
          </cell>
          <cell r="G113">
            <v>0.69677325577425897</v>
          </cell>
          <cell r="H113">
            <v>0.69677325577425897</v>
          </cell>
          <cell r="I113">
            <v>0.69677325577425897</v>
          </cell>
          <cell r="J113">
            <v>0.69677325577425897</v>
          </cell>
          <cell r="K113">
            <v>0.69677325577425897</v>
          </cell>
          <cell r="L113">
            <v>0.69222005636071604</v>
          </cell>
          <cell r="M113">
            <v>0.69222005636071604</v>
          </cell>
        </row>
        <row r="114">
          <cell r="B114">
            <v>0.99999999999999911</v>
          </cell>
          <cell r="C114">
            <v>0.99999999999999911</v>
          </cell>
          <cell r="D114">
            <v>0.99999999999999911</v>
          </cell>
          <cell r="E114">
            <v>0.99999999999999911</v>
          </cell>
          <cell r="F114">
            <v>0.99999999999999911</v>
          </cell>
          <cell r="G114">
            <v>0.99999999999999889</v>
          </cell>
          <cell r="H114">
            <v>0.99999999999999889</v>
          </cell>
          <cell r="I114">
            <v>0.99999999999999889</v>
          </cell>
          <cell r="J114">
            <v>0.99999999999999889</v>
          </cell>
          <cell r="K114">
            <v>0.99999999999999889</v>
          </cell>
          <cell r="L114">
            <v>0.99999999999999911</v>
          </cell>
          <cell r="M114">
            <v>0.99999999999999911</v>
          </cell>
        </row>
        <row r="122">
          <cell r="B122">
            <v>2.2551438150857001E-3</v>
          </cell>
          <cell r="C122">
            <v>2.2551438150857001E-3</v>
          </cell>
          <cell r="D122">
            <v>2.2551438150857001E-3</v>
          </cell>
          <cell r="E122">
            <v>2.2551438150857001E-3</v>
          </cell>
          <cell r="F122">
            <v>2.2551438150857001E-3</v>
          </cell>
          <cell r="G122">
            <v>2.2573935969543799E-3</v>
          </cell>
          <cell r="H122">
            <v>2.2573935969543799E-3</v>
          </cell>
          <cell r="I122">
            <v>2.2573935969543799E-3</v>
          </cell>
          <cell r="J122">
            <v>2.2573935969543799E-3</v>
          </cell>
          <cell r="K122">
            <v>2.2573935969543799E-3</v>
          </cell>
          <cell r="L122">
            <v>2.2551438150857001E-3</v>
          </cell>
          <cell r="M122">
            <v>2.2551438150857001E-3</v>
          </cell>
        </row>
        <row r="123">
          <cell r="B123">
            <v>1.7307171688804E-3</v>
          </cell>
          <cell r="C123">
            <v>1.7307171688804E-3</v>
          </cell>
          <cell r="D123">
            <v>1.7307171688804E-3</v>
          </cell>
          <cell r="E123">
            <v>1.7307171688804E-3</v>
          </cell>
          <cell r="F123">
            <v>1.7307171688804E-3</v>
          </cell>
          <cell r="G123">
            <v>1.7307171688804E-3</v>
          </cell>
          <cell r="H123">
            <v>1.7307171688804E-3</v>
          </cell>
          <cell r="I123">
            <v>1.7307171688804E-3</v>
          </cell>
          <cell r="J123">
            <v>1.7307171688804E-3</v>
          </cell>
          <cell r="K123">
            <v>1.7307171688804E-3</v>
          </cell>
          <cell r="L123">
            <v>1.7307171688804E-3</v>
          </cell>
          <cell r="M123">
            <v>1.7307171688804E-3</v>
          </cell>
        </row>
        <row r="132">
          <cell r="B132">
            <v>1.4780222973568001E-3</v>
          </cell>
          <cell r="C132">
            <v>1.4780222973568001E-3</v>
          </cell>
          <cell r="D132">
            <v>1.4780222973568001E-3</v>
          </cell>
          <cell r="E132">
            <v>1.4780222973568001E-3</v>
          </cell>
          <cell r="F132">
            <v>1.4780222973568001E-3</v>
          </cell>
          <cell r="G132">
            <v>1.55360757415683E-3</v>
          </cell>
          <cell r="H132">
            <v>1.55360757415683E-3</v>
          </cell>
          <cell r="I132">
            <v>1.55360757415683E-3</v>
          </cell>
          <cell r="J132">
            <v>1.55360757415683E-3</v>
          </cell>
          <cell r="K132">
            <v>1.55360757415683E-3</v>
          </cell>
          <cell r="L132">
            <v>1.4780222973568001E-3</v>
          </cell>
          <cell r="M132">
            <v>1.4780222973568001E-3</v>
          </cell>
        </row>
        <row r="133">
          <cell r="B133">
            <v>1.4349117898702999E-3</v>
          </cell>
          <cell r="C133">
            <v>1.4349117898702999E-3</v>
          </cell>
          <cell r="D133">
            <v>1.4349117898702999E-3</v>
          </cell>
          <cell r="E133">
            <v>1.4349117898702999E-3</v>
          </cell>
          <cell r="F133">
            <v>1.4349117898702999E-3</v>
          </cell>
          <cell r="G133">
            <v>1.3512467049344001E-3</v>
          </cell>
          <cell r="H133">
            <v>1.3512467049344001E-3</v>
          </cell>
          <cell r="I133">
            <v>1.3512467049344001E-3</v>
          </cell>
          <cell r="J133">
            <v>1.3512467049344001E-3</v>
          </cell>
          <cell r="K133">
            <v>1.3512467049344001E-3</v>
          </cell>
          <cell r="L133">
            <v>1.4349117898702999E-3</v>
          </cell>
          <cell r="M133">
            <v>1.4349117898702999E-3</v>
          </cell>
        </row>
        <row r="143">
          <cell r="B143">
            <v>1.4873469184060501E-3</v>
          </cell>
          <cell r="C143">
            <v>1.4873469184060501E-3</v>
          </cell>
          <cell r="D143">
            <v>1.4873469184060501E-3</v>
          </cell>
          <cell r="E143">
            <v>1.4873469184060501E-3</v>
          </cell>
          <cell r="F143">
            <v>1.4873469184060501E-3</v>
          </cell>
          <cell r="G143">
            <v>1.63018836635535E-3</v>
          </cell>
          <cell r="H143">
            <v>1.63018836635535E-3</v>
          </cell>
          <cell r="I143">
            <v>1.63018836635535E-3</v>
          </cell>
          <cell r="J143">
            <v>1.63018836635535E-3</v>
          </cell>
          <cell r="K143">
            <v>1.63018836635535E-3</v>
          </cell>
          <cell r="L143">
            <v>1.4873469184060501E-3</v>
          </cell>
          <cell r="M143">
            <v>1.4873469184060501E-3</v>
          </cell>
        </row>
        <row r="144">
          <cell r="B144">
            <v>1.45258510530909E-3</v>
          </cell>
          <cell r="C144">
            <v>1.45258510530909E-3</v>
          </cell>
          <cell r="D144">
            <v>1.45258510530909E-3</v>
          </cell>
          <cell r="E144">
            <v>1.45258510530909E-3</v>
          </cell>
          <cell r="F144">
            <v>1.45258510530909E-3</v>
          </cell>
          <cell r="G144">
            <v>1.4244602307784001E-3</v>
          </cell>
          <cell r="H144">
            <v>1.4244602307784001E-3</v>
          </cell>
          <cell r="I144">
            <v>1.4244602307784001E-3</v>
          </cell>
          <cell r="J144">
            <v>1.4244602307784001E-3</v>
          </cell>
          <cell r="K144">
            <v>1.4244602307784001E-3</v>
          </cell>
          <cell r="L144">
            <v>1.45258510530909E-3</v>
          </cell>
          <cell r="M144">
            <v>1.45258510530909E-3</v>
          </cell>
        </row>
        <row r="166">
          <cell r="B166">
            <v>0.62502335247653096</v>
          </cell>
          <cell r="C166">
            <v>0.62502335247653096</v>
          </cell>
          <cell r="D166">
            <v>0.62502335247653096</v>
          </cell>
          <cell r="E166">
            <v>0.62502335247653096</v>
          </cell>
          <cell r="F166">
            <v>0.62502335247653096</v>
          </cell>
          <cell r="G166">
            <v>0.66913004742416604</v>
          </cell>
          <cell r="H166">
            <v>0.66913004742416604</v>
          </cell>
          <cell r="I166">
            <v>0.66913004742416604</v>
          </cell>
          <cell r="J166">
            <v>0.66913004742416604</v>
          </cell>
          <cell r="K166">
            <v>0.66913004742416604</v>
          </cell>
          <cell r="L166">
            <v>0.62502335247653096</v>
          </cell>
          <cell r="M166">
            <v>0.62502335247653096</v>
          </cell>
        </row>
        <row r="167">
          <cell r="B167">
            <v>0.37497664752346799</v>
          </cell>
          <cell r="C167">
            <v>0.37497664752346799</v>
          </cell>
          <cell r="D167">
            <v>0.37497664752346799</v>
          </cell>
          <cell r="E167">
            <v>0.37497664752346799</v>
          </cell>
          <cell r="F167">
            <v>0.37497664752346799</v>
          </cell>
          <cell r="G167">
            <v>0.33086995257583302</v>
          </cell>
          <cell r="H167">
            <v>0.33086995257583302</v>
          </cell>
          <cell r="I167">
            <v>0.33086995257583302</v>
          </cell>
          <cell r="J167">
            <v>0.33086995257583302</v>
          </cell>
          <cell r="K167">
            <v>0.33086995257583302</v>
          </cell>
          <cell r="L167">
            <v>0.37497664752346799</v>
          </cell>
          <cell r="M167">
            <v>0.37497664752346799</v>
          </cell>
        </row>
        <row r="176">
          <cell r="B176">
            <v>3.8120345933276198E-3</v>
          </cell>
          <cell r="C176">
            <v>3.8120345933276198E-3</v>
          </cell>
          <cell r="D176">
            <v>3.8120345933276198E-3</v>
          </cell>
          <cell r="E176">
            <v>3.8120345933276198E-3</v>
          </cell>
          <cell r="F176">
            <v>3.8120345933276198E-3</v>
          </cell>
          <cell r="G176">
            <v>3.7945351156279802E-3</v>
          </cell>
          <cell r="H176">
            <v>3.7945351156279802E-3</v>
          </cell>
          <cell r="I176">
            <v>3.7945351156279802E-3</v>
          </cell>
          <cell r="J176">
            <v>3.7945351156279802E-3</v>
          </cell>
          <cell r="K176">
            <v>3.7945351156279802E-3</v>
          </cell>
          <cell r="L176">
            <v>3.8120345933276198E-3</v>
          </cell>
          <cell r="M176">
            <v>3.8120345933276198E-3</v>
          </cell>
        </row>
        <row r="177">
          <cell r="B177">
            <v>2.65335463340999E-3</v>
          </cell>
          <cell r="C177">
            <v>2.65335463340999E-3</v>
          </cell>
          <cell r="D177">
            <v>2.65335463340999E-3</v>
          </cell>
          <cell r="E177">
            <v>2.65335463340999E-3</v>
          </cell>
          <cell r="F177">
            <v>2.65335463340999E-3</v>
          </cell>
          <cell r="G177">
            <v>2.6406123183774499E-3</v>
          </cell>
          <cell r="H177">
            <v>2.6406123183774499E-3</v>
          </cell>
          <cell r="I177">
            <v>2.6406123183774499E-3</v>
          </cell>
          <cell r="J177">
            <v>2.6406123183774499E-3</v>
          </cell>
          <cell r="K177">
            <v>2.6406123183774499E-3</v>
          </cell>
          <cell r="L177">
            <v>2.65335463340999E-3</v>
          </cell>
          <cell r="M177">
            <v>2.65335463340999E-3</v>
          </cell>
        </row>
        <row r="190">
          <cell r="B190">
            <v>6.1479999999999997</v>
          </cell>
          <cell r="C190">
            <v>6.1479999999999997</v>
          </cell>
          <cell r="D190">
            <v>6.1479999999999997</v>
          </cell>
          <cell r="E190">
            <v>6.1479999999999997</v>
          </cell>
          <cell r="F190">
            <v>6.1479999999999997</v>
          </cell>
          <cell r="G190">
            <v>6.1479999999999997</v>
          </cell>
          <cell r="H190">
            <v>6.1479999999999997</v>
          </cell>
          <cell r="I190">
            <v>6.1479999999999997</v>
          </cell>
          <cell r="J190">
            <v>6.1479999999999997</v>
          </cell>
          <cell r="K190">
            <v>6.1479999999999997</v>
          </cell>
          <cell r="L190">
            <v>6.1479999999999997</v>
          </cell>
          <cell r="M190">
            <v>6.1479999999999997</v>
          </cell>
        </row>
        <row r="191">
          <cell r="B191">
            <v>84.682000000000002</v>
          </cell>
          <cell r="C191">
            <v>84.682000000000002</v>
          </cell>
          <cell r="D191">
            <v>84.682000000000002</v>
          </cell>
          <cell r="E191">
            <v>84.682000000000002</v>
          </cell>
          <cell r="F191">
            <v>84.682000000000002</v>
          </cell>
          <cell r="G191">
            <v>84.682000000000002</v>
          </cell>
          <cell r="H191">
            <v>84.682000000000002</v>
          </cell>
          <cell r="I191">
            <v>84.682000000000002</v>
          </cell>
          <cell r="J191">
            <v>84.682000000000002</v>
          </cell>
          <cell r="K191">
            <v>84.682000000000002</v>
          </cell>
          <cell r="L191">
            <v>84.682000000000002</v>
          </cell>
          <cell r="M191">
            <v>84.682000000000002</v>
          </cell>
        </row>
        <row r="192">
          <cell r="B192">
            <v>54.676000000000002</v>
          </cell>
          <cell r="C192">
            <v>54.676000000000002</v>
          </cell>
          <cell r="D192">
            <v>54.676000000000002</v>
          </cell>
          <cell r="E192">
            <v>54.676000000000002</v>
          </cell>
          <cell r="F192">
            <v>54.676000000000002</v>
          </cell>
          <cell r="G192">
            <v>54.676000000000002</v>
          </cell>
          <cell r="H192">
            <v>54.676000000000002</v>
          </cell>
          <cell r="I192">
            <v>54.676000000000002</v>
          </cell>
          <cell r="J192">
            <v>54.676000000000002</v>
          </cell>
          <cell r="K192">
            <v>54.676000000000002</v>
          </cell>
          <cell r="L192">
            <v>54.676000000000002</v>
          </cell>
          <cell r="M192">
            <v>54.676000000000002</v>
          </cell>
        </row>
        <row r="197">
          <cell r="B197">
            <v>216.72</v>
          </cell>
          <cell r="C197">
            <v>453.59</v>
          </cell>
          <cell r="D197">
            <v>352.39</v>
          </cell>
          <cell r="E197">
            <v>1098.01</v>
          </cell>
          <cell r="F197">
            <v>195.56</v>
          </cell>
          <cell r="G197">
            <v>0</v>
          </cell>
          <cell r="H197">
            <v>0</v>
          </cell>
          <cell r="I197">
            <v>0</v>
          </cell>
          <cell r="J197">
            <v>102.32</v>
          </cell>
          <cell r="K197">
            <v>747.3</v>
          </cell>
          <cell r="L197">
            <v>703.62</v>
          </cell>
          <cell r="M197">
            <v>339.3</v>
          </cell>
        </row>
        <row r="199">
          <cell r="B199">
            <v>11.9</v>
          </cell>
          <cell r="C199">
            <v>16</v>
          </cell>
          <cell r="D199">
            <v>15.7</v>
          </cell>
          <cell r="E199">
            <v>15.8</v>
          </cell>
          <cell r="F199">
            <v>8.6999999999999993</v>
          </cell>
          <cell r="G199">
            <v>8.8000000000000007</v>
          </cell>
          <cell r="H199">
            <v>9.9</v>
          </cell>
          <cell r="I199">
            <v>8</v>
          </cell>
          <cell r="J199">
            <v>8</v>
          </cell>
          <cell r="K199">
            <v>16.899999999999999</v>
          </cell>
          <cell r="L199">
            <v>16.600000000000001</v>
          </cell>
          <cell r="M199">
            <v>9.8000000000000007</v>
          </cell>
        </row>
        <row r="201">
          <cell r="L201">
            <v>7.58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scription"/>
      <sheetName val="Class Avg Rev Adj"/>
      <sheetName val="Class Avg Rates Adj"/>
      <sheetName val="Class Avg Rev"/>
      <sheetName val="Attachment A"/>
      <sheetName val="Inputs"/>
      <sheetName val="Residential Fixed Charge"/>
      <sheetName val="SAPC Calcs"/>
      <sheetName val="Determinants"/>
      <sheetName val="Determinants (GF)"/>
      <sheetName val="Total Present Rate"/>
      <sheetName val="Total Proposed Rate"/>
      <sheetName val="Total Proposed (No BSC)"/>
      <sheetName val="Distribution"/>
      <sheetName val="Distribution (No BSC)"/>
      <sheetName val="Distribution Design"/>
      <sheetName val="Equal Cents"/>
      <sheetName val="PLACEHOLDER - Distribution VGI"/>
      <sheetName val="DGR Dist Under-Over"/>
      <sheetName val="DGR Storage Dist Under-Over"/>
      <sheetName val="Demand Response"/>
      <sheetName val="Total Distribution"/>
      <sheetName val="Total Dist (No BSC)"/>
      <sheetName val="Transmission"/>
      <sheetName val="PPP"/>
      <sheetName val="ND"/>
      <sheetName val="CTC"/>
      <sheetName val="LGC"/>
      <sheetName val="RS"/>
      <sheetName val="TRAC"/>
      <sheetName val="TRAC (No BSC)"/>
      <sheetName val="WF-NBC"/>
      <sheetName val="DWR-BC"/>
      <sheetName val="EECC"/>
      <sheetName val="CPP-D Under-Over for EECC"/>
      <sheetName val="DGR Comm Under-Over"/>
      <sheetName val="DGR Storage Comm Under-Over"/>
      <sheetName val="DPP Under-Over for EECC"/>
      <sheetName val="Total EECC"/>
      <sheetName val="DPP_CPP-D"/>
      <sheetName val="CPP-D Und Ovr for CPP-D"/>
      <sheetName val="DGR Comm Und Ovr for CPP"/>
      <sheetName val="DGR StorageComm Und Ovr for CPP"/>
      <sheetName val="DPP Under-Over for CPP-D"/>
      <sheetName val="Total DPP_CPP-D"/>
      <sheetName val="Effective FERA Discount"/>
      <sheetName val="Effective CARE Discount"/>
      <sheetName val="E-LI Workpaper"/>
      <sheetName val="MB Discount"/>
      <sheetName val="Pilot Rates"/>
      <sheetName val="Pilot Rates (No BSC)"/>
      <sheetName val="Hourly Commodity"/>
      <sheetName val="Hourly Distribution"/>
      <sheetName val="EV-HP"/>
      <sheetName val="Total Present Rate (GF)"/>
      <sheetName val="Total Proposed Rate (GF)"/>
      <sheetName val="Distribution (GF)"/>
      <sheetName val="Distribution VGI (GF)"/>
      <sheetName val="DGR Dist Under-Over (GF)"/>
      <sheetName val="DGR Storage Dist Under-Over(GF)"/>
      <sheetName val="Total Distribution (GF)"/>
      <sheetName val="Transmission (GF)"/>
      <sheetName val="EECC (GF)"/>
      <sheetName val="CPP-D Under-Over for EECC (GF)"/>
      <sheetName val="DGR Comm Under-Over (GF)"/>
      <sheetName val="DGR Storage Comm Under-Over(GF)"/>
      <sheetName val="DPP Under-Over for EECC (GF)"/>
      <sheetName val="Total EECC (GF)"/>
      <sheetName val="DPP_CPP-D (GF)"/>
      <sheetName val="CPP-D Und Ovr for CPP-D (GF)"/>
      <sheetName val="DGR Comm Und Ovr for CPP (GF)"/>
      <sheetName val="DGRStorageCommUndOvr forCPP(GF)"/>
      <sheetName val="DPP Under-Over for CPP-D (GF)"/>
      <sheetName val="Total DPP_CPP-D (GF)"/>
    </sheetNames>
    <sheetDataSet>
      <sheetData sheetId="0"/>
      <sheetData sheetId="1"/>
      <sheetData sheetId="2"/>
      <sheetData sheetId="3"/>
      <sheetData sheetId="4">
        <row r="27">
          <cell r="I27">
            <v>35.117000000000004</v>
          </cell>
        </row>
      </sheetData>
      <sheetData sheetId="5">
        <row r="132">
          <cell r="B132">
            <v>-2.4499999999999999E-3</v>
          </cell>
        </row>
        <row r="133">
          <cell r="B133">
            <v>-2.0230000000000001E-2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092">
          <cell r="Q3092">
            <v>18290445652.985176</v>
          </cell>
          <cell r="T3092">
            <v>4.8148809687561425E-2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0"/>
  <sheetViews>
    <sheetView tabSelected="1" zoomScale="70" zoomScaleNormal="70" workbookViewId="0">
      <selection activeCell="B48" sqref="B48"/>
    </sheetView>
  </sheetViews>
  <sheetFormatPr defaultColWidth="9.140625" defaultRowHeight="18.75" x14ac:dyDescent="0.3"/>
  <cols>
    <col min="1" max="1" width="5.5703125" style="1" bestFit="1" customWidth="1"/>
    <col min="2" max="2" width="90.5703125" style="1" customWidth="1"/>
    <col min="3" max="4" width="27.5703125" style="1" bestFit="1" customWidth="1"/>
    <col min="5" max="5" width="20.5703125" style="1" customWidth="1"/>
    <col min="6" max="6" width="19.140625" style="1" customWidth="1"/>
    <col min="7" max="7" width="109.5703125" style="1" bestFit="1" customWidth="1"/>
    <col min="8" max="8" width="5.5703125" style="1" bestFit="1" customWidth="1"/>
    <col min="9" max="9" width="9.140625" style="1"/>
    <col min="10" max="10" width="14.5703125" style="1" bestFit="1" customWidth="1"/>
    <col min="11" max="16384" width="9.140625" style="1"/>
  </cols>
  <sheetData>
    <row r="1" spans="1:8" x14ac:dyDescent="0.3">
      <c r="A1" s="426" t="s">
        <v>0</v>
      </c>
      <c r="B1" s="426"/>
      <c r="C1" s="426"/>
      <c r="D1" s="426"/>
      <c r="E1" s="426"/>
      <c r="F1" s="426"/>
      <c r="G1" s="426"/>
      <c r="H1" s="426"/>
    </row>
    <row r="2" spans="1:8" x14ac:dyDescent="0.3">
      <c r="A2" s="426" t="s">
        <v>1</v>
      </c>
      <c r="B2" s="426"/>
      <c r="C2" s="426"/>
      <c r="D2" s="426"/>
      <c r="E2" s="426"/>
      <c r="F2" s="426"/>
      <c r="G2" s="426"/>
      <c r="H2" s="426"/>
    </row>
    <row r="3" spans="1:8" x14ac:dyDescent="0.3">
      <c r="A3" s="426" t="s">
        <v>2</v>
      </c>
      <c r="B3" s="426"/>
      <c r="C3" s="426"/>
      <c r="D3" s="426"/>
      <c r="E3" s="426"/>
      <c r="F3" s="426"/>
      <c r="G3" s="426"/>
      <c r="H3" s="426"/>
    </row>
    <row r="4" spans="1:8" x14ac:dyDescent="0.3">
      <c r="A4" s="426" t="s">
        <v>3</v>
      </c>
      <c r="B4" s="426"/>
      <c r="C4" s="426"/>
      <c r="D4" s="426"/>
      <c r="E4" s="426"/>
      <c r="F4" s="426"/>
      <c r="G4" s="426"/>
      <c r="H4" s="426"/>
    </row>
    <row r="5" spans="1:8" x14ac:dyDescent="0.3">
      <c r="A5" s="425" t="s">
        <v>461</v>
      </c>
      <c r="B5" s="425"/>
      <c r="C5" s="425"/>
      <c r="D5" s="425"/>
      <c r="E5" s="425"/>
      <c r="F5" s="425"/>
      <c r="G5" s="425"/>
      <c r="H5" s="425"/>
    </row>
    <row r="6" spans="1:8" x14ac:dyDescent="0.3">
      <c r="A6" s="7"/>
      <c r="B6" s="78"/>
      <c r="C6" s="78"/>
      <c r="D6" s="78"/>
      <c r="E6" s="78"/>
      <c r="F6" s="78"/>
    </row>
    <row r="7" spans="1:8" x14ac:dyDescent="0.3">
      <c r="A7" s="8"/>
      <c r="B7" s="8"/>
      <c r="C7" s="8" t="s">
        <v>4</v>
      </c>
      <c r="D7" s="8" t="s">
        <v>5</v>
      </c>
      <c r="E7" s="8" t="s">
        <v>6</v>
      </c>
      <c r="F7" s="8" t="s">
        <v>7</v>
      </c>
      <c r="G7" s="8"/>
      <c r="H7" s="8"/>
    </row>
    <row r="8" spans="1:8" x14ac:dyDescent="0.3">
      <c r="A8" s="11"/>
      <c r="B8" s="11"/>
      <c r="C8" s="11"/>
      <c r="D8" s="11"/>
      <c r="E8" s="11"/>
      <c r="F8" s="11"/>
      <c r="G8" s="11"/>
      <c r="H8" s="11"/>
    </row>
    <row r="9" spans="1:8" x14ac:dyDescent="0.3">
      <c r="A9" s="11"/>
      <c r="B9" s="14"/>
      <c r="C9" s="11">
        <v>2026</v>
      </c>
      <c r="D9" s="11">
        <v>2025</v>
      </c>
      <c r="E9" s="11"/>
      <c r="F9" s="11"/>
      <c r="G9" s="11"/>
      <c r="H9" s="11"/>
    </row>
    <row r="10" spans="1:8" x14ac:dyDescent="0.3">
      <c r="A10" s="11" t="s">
        <v>8</v>
      </c>
      <c r="B10" s="14"/>
      <c r="C10" s="11" t="s">
        <v>9</v>
      </c>
      <c r="D10" s="11" t="s">
        <v>9</v>
      </c>
      <c r="E10" s="11"/>
      <c r="F10" s="11"/>
      <c r="G10" s="11"/>
      <c r="H10" s="11" t="s">
        <v>8</v>
      </c>
    </row>
    <row r="11" spans="1:8" ht="22.5" x14ac:dyDescent="0.3">
      <c r="A11" s="17" t="s">
        <v>10</v>
      </c>
      <c r="B11" s="17" t="s">
        <v>11</v>
      </c>
      <c r="C11" s="79" t="s">
        <v>12</v>
      </c>
      <c r="D11" s="79" t="s">
        <v>13</v>
      </c>
      <c r="E11" s="17" t="s">
        <v>14</v>
      </c>
      <c r="F11" s="79" t="s">
        <v>15</v>
      </c>
      <c r="G11" s="17" t="s">
        <v>16</v>
      </c>
      <c r="H11" s="17" t="s">
        <v>10</v>
      </c>
    </row>
    <row r="12" spans="1:8" x14ac:dyDescent="0.3">
      <c r="A12" s="8"/>
      <c r="B12" s="8"/>
      <c r="C12" s="8"/>
      <c r="D12" s="8"/>
      <c r="E12" s="8"/>
      <c r="F12" s="80"/>
      <c r="G12" s="8"/>
      <c r="H12" s="8"/>
    </row>
    <row r="13" spans="1:8" x14ac:dyDescent="0.3">
      <c r="A13" s="11">
        <v>1</v>
      </c>
      <c r="B13" s="14" t="s">
        <v>17</v>
      </c>
      <c r="C13" s="40">
        <f>'Summary of Revs @ Changed Rates'!I33</f>
        <v>534146616.19020295</v>
      </c>
      <c r="D13" s="53">
        <f>'[1]Summary of Revs @ Present Rates'!$I$33</f>
        <v>459675486.88590163</v>
      </c>
      <c r="E13" s="40">
        <f>C13-D13</f>
        <v>74471129.304301322</v>
      </c>
      <c r="F13" s="81">
        <f>(C13-D13)/D13</f>
        <v>0.16200805008944533</v>
      </c>
      <c r="G13" s="344" t="s">
        <v>18</v>
      </c>
      <c r="H13" s="11">
        <v>1</v>
      </c>
    </row>
    <row r="14" spans="1:8" x14ac:dyDescent="0.3">
      <c r="A14" s="11">
        <f t="shared" ref="A14:A40" si="0">A13+1</f>
        <v>2</v>
      </c>
      <c r="B14" s="19"/>
      <c r="C14" s="40"/>
      <c r="D14" s="53"/>
      <c r="E14" s="40"/>
      <c r="F14" s="40"/>
      <c r="G14" s="344" t="s">
        <v>19</v>
      </c>
      <c r="H14" s="11">
        <v>2</v>
      </c>
    </row>
    <row r="15" spans="1:8" x14ac:dyDescent="0.3">
      <c r="A15" s="11">
        <f t="shared" si="0"/>
        <v>3</v>
      </c>
      <c r="B15" s="19"/>
      <c r="C15" s="40"/>
      <c r="D15" s="53"/>
      <c r="E15" s="40"/>
      <c r="F15" s="40"/>
      <c r="G15" s="344"/>
      <c r="H15" s="11">
        <v>3</v>
      </c>
    </row>
    <row r="16" spans="1:8" x14ac:dyDescent="0.3">
      <c r="A16" s="11">
        <f t="shared" si="0"/>
        <v>4</v>
      </c>
      <c r="B16" s="14" t="s">
        <v>20</v>
      </c>
      <c r="C16" s="18">
        <f>'Summary of Revs @ Changed Rates'!I35</f>
        <v>138296148.88252929</v>
      </c>
      <c r="D16" s="53">
        <f>'[1]Summary of Revs @ Present Rates'!$I$35</f>
        <v>124742491.3459226</v>
      </c>
      <c r="E16" s="40">
        <f>C16-D16</f>
        <v>13553657.536606684</v>
      </c>
      <c r="F16" s="81">
        <f>(C16-D16)/D16</f>
        <v>0.10865309318715724</v>
      </c>
      <c r="G16" s="344" t="s">
        <v>21</v>
      </c>
      <c r="H16" s="11">
        <v>4</v>
      </c>
    </row>
    <row r="17" spans="1:10" x14ac:dyDescent="0.3">
      <c r="A17" s="11">
        <f t="shared" si="0"/>
        <v>5</v>
      </c>
      <c r="B17" s="21"/>
      <c r="C17" s="18"/>
      <c r="D17" s="47"/>
      <c r="E17" s="18"/>
      <c r="F17" s="40"/>
      <c r="G17" s="344" t="s">
        <v>22</v>
      </c>
      <c r="H17" s="11">
        <v>5</v>
      </c>
    </row>
    <row r="18" spans="1:10" x14ac:dyDescent="0.3">
      <c r="A18" s="11">
        <f t="shared" si="0"/>
        <v>6</v>
      </c>
      <c r="B18" s="21"/>
      <c r="C18" s="18"/>
      <c r="D18" s="47"/>
      <c r="E18" s="18"/>
      <c r="F18" s="40"/>
      <c r="G18" s="344"/>
      <c r="H18" s="11">
        <v>6</v>
      </c>
    </row>
    <row r="19" spans="1:10" ht="22.5" x14ac:dyDescent="0.3">
      <c r="A19" s="11">
        <f t="shared" si="0"/>
        <v>7</v>
      </c>
      <c r="B19" s="14" t="s">
        <v>23</v>
      </c>
      <c r="C19" s="18">
        <f>'Summary of Revs @ Changed Rates'!I37</f>
        <v>499052145.77231836</v>
      </c>
      <c r="D19" s="53">
        <f>'[1]Summary of Revs @ Present Rates'!$I$37</f>
        <v>447175970.99685061</v>
      </c>
      <c r="E19" s="40">
        <f>C19-D19</f>
        <v>51876174.775467753</v>
      </c>
      <c r="F19" s="81">
        <f>(C19-D19)/D19</f>
        <v>0.11600841310821039</v>
      </c>
      <c r="G19" s="344" t="s">
        <v>24</v>
      </c>
      <c r="H19" s="11">
        <v>7</v>
      </c>
      <c r="J19" s="46"/>
    </row>
    <row r="20" spans="1:10" x14ac:dyDescent="0.3">
      <c r="A20" s="11">
        <f t="shared" si="0"/>
        <v>8</v>
      </c>
      <c r="B20" s="14"/>
      <c r="C20" s="47"/>
      <c r="D20" s="47"/>
      <c r="E20" s="47"/>
      <c r="F20" s="245"/>
      <c r="G20" s="344" t="s">
        <v>25</v>
      </c>
      <c r="H20" s="11">
        <v>8</v>
      </c>
    </row>
    <row r="21" spans="1:10" x14ac:dyDescent="0.3">
      <c r="A21" s="11">
        <f t="shared" si="0"/>
        <v>9</v>
      </c>
      <c r="B21" s="14"/>
      <c r="C21" s="18"/>
      <c r="D21" s="47"/>
      <c r="E21" s="18"/>
      <c r="F21" s="40"/>
      <c r="G21" s="344"/>
      <c r="H21" s="11">
        <v>9</v>
      </c>
    </row>
    <row r="22" spans="1:10" x14ac:dyDescent="0.3">
      <c r="A22" s="11">
        <f t="shared" si="0"/>
        <v>10</v>
      </c>
      <c r="B22" s="127" t="s">
        <v>26</v>
      </c>
      <c r="C22" s="18">
        <f>'Summary of Revs @ Changed Rates'!I39</f>
        <v>181790.2</v>
      </c>
      <c r="D22" s="47">
        <f>'[1]Summary of Revs @ Present Rates'!$I$39</f>
        <v>121172.4</v>
      </c>
      <c r="E22" s="40">
        <f>C22-D22</f>
        <v>60617.800000000017</v>
      </c>
      <c r="F22" s="81">
        <f>(C22-D22)/D22</f>
        <v>0.50026078545939523</v>
      </c>
      <c r="G22" s="344" t="s">
        <v>27</v>
      </c>
      <c r="H22" s="11">
        <v>10</v>
      </c>
    </row>
    <row r="23" spans="1:10" x14ac:dyDescent="0.3">
      <c r="A23" s="11">
        <f t="shared" si="0"/>
        <v>11</v>
      </c>
      <c r="B23" s="14"/>
      <c r="C23" s="18"/>
      <c r="D23" s="47"/>
      <c r="E23" s="18"/>
      <c r="F23" s="40"/>
      <c r="G23" s="344" t="s">
        <v>28</v>
      </c>
      <c r="H23" s="11">
        <v>11</v>
      </c>
    </row>
    <row r="24" spans="1:10" x14ac:dyDescent="0.3">
      <c r="A24" s="11">
        <f t="shared" si="0"/>
        <v>12</v>
      </c>
      <c r="B24" s="14" t="s">
        <v>29</v>
      </c>
      <c r="C24" s="18"/>
      <c r="D24" s="18"/>
      <c r="E24" s="40"/>
      <c r="F24" s="81"/>
      <c r="G24" s="344"/>
      <c r="H24" s="11">
        <v>12</v>
      </c>
    </row>
    <row r="25" spans="1:10" x14ac:dyDescent="0.3">
      <c r="A25" s="11">
        <f t="shared" si="0"/>
        <v>13</v>
      </c>
      <c r="B25" s="14"/>
      <c r="C25" s="18"/>
      <c r="D25" s="47"/>
      <c r="E25" s="40"/>
      <c r="F25" s="81"/>
      <c r="G25" s="344"/>
      <c r="H25" s="11">
        <v>13</v>
      </c>
    </row>
    <row r="26" spans="1:10" x14ac:dyDescent="0.3">
      <c r="A26" s="11">
        <f t="shared" si="0"/>
        <v>14</v>
      </c>
      <c r="B26" s="214" t="s">
        <v>30</v>
      </c>
      <c r="C26" s="18">
        <f>'C-Revenues@Changed Rates'!K81</f>
        <v>5525306.3672912801</v>
      </c>
      <c r="D26" s="47">
        <f>'[1]C-Revenues@Present Rates'!$K$81</f>
        <v>5716004.2365581021</v>
      </c>
      <c r="E26" s="40">
        <f>C26-D26</f>
        <v>-190697.869266822</v>
      </c>
      <c r="F26" s="81">
        <f>(C26-D26)/D26</f>
        <v>-3.3362093758987646E-2</v>
      </c>
      <c r="G26" s="344" t="s">
        <v>31</v>
      </c>
      <c r="H26" s="11">
        <v>14</v>
      </c>
    </row>
    <row r="27" spans="1:10" x14ac:dyDescent="0.3">
      <c r="A27" s="11">
        <f t="shared" si="0"/>
        <v>15</v>
      </c>
      <c r="B27" s="214"/>
      <c r="C27" s="18"/>
      <c r="D27" s="47"/>
      <c r="E27" s="18"/>
      <c r="F27" s="40"/>
      <c r="G27" s="344" t="s">
        <v>32</v>
      </c>
      <c r="H27" s="11">
        <v>15</v>
      </c>
    </row>
    <row r="28" spans="1:10" ht="21" x14ac:dyDescent="0.45">
      <c r="A28" s="11">
        <f t="shared" si="0"/>
        <v>16</v>
      </c>
      <c r="B28" s="214" t="s">
        <v>33</v>
      </c>
      <c r="C28" s="218">
        <f>'C-Revenues@Changed Rates'!L82</f>
        <v>7628126.8163362294</v>
      </c>
      <c r="D28" s="219">
        <f>'[1]C-Revenues@Present Rates'!$L$82</f>
        <v>7404812.7748466888</v>
      </c>
      <c r="E28" s="220">
        <f>C28-D28</f>
        <v>223314.0414895406</v>
      </c>
      <c r="F28" s="221">
        <f>(C28-D28)/D28</f>
        <v>3.0157959192177435E-2</v>
      </c>
      <c r="G28" s="344" t="s">
        <v>34</v>
      </c>
      <c r="H28" s="11">
        <v>16</v>
      </c>
    </row>
    <row r="29" spans="1:10" x14ac:dyDescent="0.3">
      <c r="A29" s="11">
        <f t="shared" si="0"/>
        <v>17</v>
      </c>
      <c r="B29" s="214"/>
      <c r="C29" s="18"/>
      <c r="D29" s="47"/>
      <c r="E29" s="18"/>
      <c r="F29" s="40"/>
      <c r="G29" s="344" t="s">
        <v>35</v>
      </c>
      <c r="H29" s="11">
        <v>17</v>
      </c>
    </row>
    <row r="30" spans="1:10" x14ac:dyDescent="0.3">
      <c r="A30" s="11">
        <f t="shared" si="0"/>
        <v>18</v>
      </c>
      <c r="B30" s="214"/>
      <c r="C30" s="18"/>
      <c r="D30" s="47"/>
      <c r="E30" s="18"/>
      <c r="F30" s="40"/>
      <c r="G30" s="344"/>
      <c r="H30" s="11">
        <v>18</v>
      </c>
    </row>
    <row r="31" spans="1:10" x14ac:dyDescent="0.3">
      <c r="A31" s="11">
        <f t="shared" si="0"/>
        <v>19</v>
      </c>
      <c r="B31" s="214"/>
      <c r="C31" s="18"/>
      <c r="D31" s="47"/>
      <c r="E31" s="18"/>
      <c r="F31" s="40"/>
      <c r="G31" s="344"/>
      <c r="H31" s="11">
        <v>19</v>
      </c>
    </row>
    <row r="32" spans="1:10" x14ac:dyDescent="0.3">
      <c r="A32" s="11">
        <f t="shared" si="0"/>
        <v>20</v>
      </c>
      <c r="B32" s="214" t="s">
        <v>36</v>
      </c>
      <c r="C32" s="18">
        <f>C26+C28</f>
        <v>13153433.183627509</v>
      </c>
      <c r="D32" s="18">
        <f>D26+D28</f>
        <v>13120817.01140479</v>
      </c>
      <c r="E32" s="40">
        <f>C32-D32</f>
        <v>32616.172222718596</v>
      </c>
      <c r="F32" s="81">
        <f>(C32-D32)/D32</f>
        <v>2.4858339381128615E-3</v>
      </c>
      <c r="G32" s="344" t="s">
        <v>37</v>
      </c>
      <c r="H32" s="11">
        <v>20</v>
      </c>
    </row>
    <row r="33" spans="1:10" x14ac:dyDescent="0.3">
      <c r="A33" s="11">
        <f t="shared" si="0"/>
        <v>21</v>
      </c>
      <c r="B33" s="14"/>
      <c r="C33" s="18"/>
      <c r="D33" s="47"/>
      <c r="E33" s="18"/>
      <c r="F33" s="40"/>
      <c r="G33" s="344" t="s">
        <v>38</v>
      </c>
      <c r="H33" s="11">
        <v>21</v>
      </c>
    </row>
    <row r="34" spans="1:10" x14ac:dyDescent="0.3">
      <c r="A34" s="11">
        <f t="shared" si="0"/>
        <v>22</v>
      </c>
      <c r="B34" s="14"/>
      <c r="C34" s="18"/>
      <c r="D34" s="47"/>
      <c r="E34" s="18"/>
      <c r="F34" s="40"/>
      <c r="G34" s="344"/>
      <c r="H34" s="11">
        <v>22</v>
      </c>
    </row>
    <row r="35" spans="1:10" x14ac:dyDescent="0.3">
      <c r="A35" s="11">
        <f t="shared" si="0"/>
        <v>23</v>
      </c>
      <c r="B35" s="14" t="s">
        <v>39</v>
      </c>
      <c r="C35" s="18">
        <f>'Summary of Revs @ Changed Rates'!I43</f>
        <v>3619121.4353961307</v>
      </c>
      <c r="D35" s="53">
        <f>'[1]Summary of Revs @ Present Rates'!$I$43</f>
        <v>3862589.6046864158</v>
      </c>
      <c r="E35" s="40">
        <f>C35-D35</f>
        <v>-243468.16929028509</v>
      </c>
      <c r="F35" s="81">
        <f>(C35-D35)/D35</f>
        <v>-6.3032367972742739E-2</v>
      </c>
      <c r="G35" s="344" t="s">
        <v>40</v>
      </c>
      <c r="H35" s="11">
        <v>23</v>
      </c>
    </row>
    <row r="36" spans="1:10" x14ac:dyDescent="0.3">
      <c r="A36" s="11">
        <f t="shared" si="0"/>
        <v>24</v>
      </c>
      <c r="B36" s="14"/>
      <c r="C36" s="18"/>
      <c r="D36" s="47"/>
      <c r="E36" s="18"/>
      <c r="F36" s="40"/>
      <c r="G36" s="344" t="s">
        <v>41</v>
      </c>
      <c r="H36" s="11">
        <v>24</v>
      </c>
    </row>
    <row r="37" spans="1:10" x14ac:dyDescent="0.3">
      <c r="A37" s="11">
        <f t="shared" si="0"/>
        <v>25</v>
      </c>
      <c r="B37" s="14"/>
      <c r="C37" s="18"/>
      <c r="D37" s="47"/>
      <c r="E37" s="18"/>
      <c r="F37" s="40"/>
      <c r="G37" s="344"/>
      <c r="H37" s="11">
        <v>25</v>
      </c>
    </row>
    <row r="38" spans="1:10" x14ac:dyDescent="0.3">
      <c r="A38" s="11">
        <f t="shared" si="0"/>
        <v>26</v>
      </c>
      <c r="B38" s="14" t="s">
        <v>42</v>
      </c>
      <c r="C38" s="18">
        <f>'Summary of Revs @ Changed Rates'!I45</f>
        <v>12544980</v>
      </c>
      <c r="D38" s="53">
        <f>'[1]Summary of Revs @ Present Rates'!$I$45</f>
        <v>11520612</v>
      </c>
      <c r="E38" s="40">
        <f>C38-D38</f>
        <v>1024368</v>
      </c>
      <c r="F38" s="81">
        <f>IFERROR((C38-D38)/D38,0)</f>
        <v>8.8916109665007376E-2</v>
      </c>
      <c r="G38" s="344" t="s">
        <v>43</v>
      </c>
      <c r="H38" s="11">
        <v>26</v>
      </c>
    </row>
    <row r="39" spans="1:10" x14ac:dyDescent="0.3">
      <c r="A39" s="11">
        <f t="shared" si="0"/>
        <v>27</v>
      </c>
      <c r="B39" s="14"/>
      <c r="C39" s="82"/>
      <c r="D39" s="57"/>
      <c r="E39" s="82"/>
      <c r="F39" s="82"/>
      <c r="G39" s="344" t="s">
        <v>44</v>
      </c>
      <c r="H39" s="11">
        <v>27</v>
      </c>
    </row>
    <row r="40" spans="1:10" ht="19.5" thickBot="1" x14ac:dyDescent="0.35">
      <c r="A40" s="11">
        <f t="shared" si="0"/>
        <v>28</v>
      </c>
      <c r="B40" s="19" t="s">
        <v>45</v>
      </c>
      <c r="C40" s="416">
        <f>C13+C16+C19+C22+C32+C35+C38</f>
        <v>1200994235.6640744</v>
      </c>
      <c r="D40" s="416">
        <f>D13+D16+D19+D22+D32+D35+D38</f>
        <v>1060219140.244766</v>
      </c>
      <c r="E40" s="416">
        <f>E13+E16+E19+E22+E32+E35+E38</f>
        <v>140775095.41930822</v>
      </c>
      <c r="F40" s="417">
        <f>E40/D40</f>
        <v>0.1327792435314914</v>
      </c>
      <c r="G40" s="344" t="s">
        <v>448</v>
      </c>
      <c r="H40" s="11">
        <v>28</v>
      </c>
      <c r="J40" s="391"/>
    </row>
    <row r="41" spans="1:10" ht="19.5" thickTop="1" x14ac:dyDescent="0.3">
      <c r="A41" s="17"/>
      <c r="B41" s="24"/>
      <c r="C41" s="24"/>
      <c r="D41" s="24"/>
      <c r="E41" s="24"/>
      <c r="F41" s="24"/>
      <c r="G41" s="215"/>
      <c r="H41" s="24"/>
    </row>
    <row r="42" spans="1:10" x14ac:dyDescent="0.3">
      <c r="A42" s="7"/>
      <c r="B42" s="25" t="s">
        <v>46</v>
      </c>
    </row>
    <row r="43" spans="1:10" ht="22.5" x14ac:dyDescent="0.3">
      <c r="A43" s="76">
        <v>1</v>
      </c>
      <c r="B43" s="1" t="s">
        <v>475</v>
      </c>
    </row>
    <row r="44" spans="1:10" ht="22.5" x14ac:dyDescent="0.3">
      <c r="A44" s="76">
        <v>2</v>
      </c>
      <c r="B44" s="1" t="s">
        <v>47</v>
      </c>
    </row>
    <row r="45" spans="1:10" x14ac:dyDescent="0.3">
      <c r="A45" s="7"/>
    </row>
    <row r="46" spans="1:10" x14ac:dyDescent="0.3">
      <c r="A46" s="7"/>
    </row>
    <row r="47" spans="1:10" x14ac:dyDescent="0.3">
      <c r="A47" s="7"/>
    </row>
    <row r="48" spans="1:10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</sheetData>
  <mergeCells count="5">
    <mergeCell ref="A5:H5"/>
    <mergeCell ref="A1:H1"/>
    <mergeCell ref="A2:H2"/>
    <mergeCell ref="A3:H3"/>
    <mergeCell ref="A4:H4"/>
  </mergeCells>
  <phoneticPr fontId="3" type="noConversion"/>
  <printOptions horizontalCentered="1"/>
  <pageMargins left="0.25" right="0.25" top="0.5" bottom="0.5" header="0.25" footer="0.25"/>
  <pageSetup scale="44" orientation="landscape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99"/>
  <sheetViews>
    <sheetView zoomScale="75" zoomScaleNormal="75" zoomScaleSheetLayoutView="70" workbookViewId="0">
      <selection activeCell="A6" sqref="A6"/>
    </sheetView>
  </sheetViews>
  <sheetFormatPr defaultColWidth="9.140625" defaultRowHeight="18.75" x14ac:dyDescent="0.3"/>
  <cols>
    <col min="1" max="1" width="5.5703125" style="1" customWidth="1"/>
    <col min="2" max="2" width="42.5703125" style="1" customWidth="1"/>
    <col min="3" max="8" width="15.5703125" style="1" customWidth="1"/>
    <col min="9" max="9" width="17.140625" style="1" customWidth="1"/>
    <col min="10" max="10" width="51.140625" style="1" customWidth="1"/>
    <col min="11" max="11" width="5.5703125" style="1" customWidth="1"/>
    <col min="12" max="14" width="17.140625" style="1" customWidth="1"/>
    <col min="15" max="15" width="18.42578125" style="1" customWidth="1"/>
    <col min="16" max="16" width="68" style="1" customWidth="1"/>
    <col min="17" max="17" width="5.5703125" style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228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29">
        <f>'Summary of Revs @ Changed Rates'!H8</f>
        <v>46174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187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201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29" si="0">A11+1</f>
        <v>3</v>
      </c>
      <c r="B12" s="14" t="s">
        <v>123</v>
      </c>
      <c r="C12" s="47">
        <f>'Workpaper 1'!C92*1000</f>
        <v>1056226.9939690088</v>
      </c>
      <c r="D12" s="47">
        <f>'Workpaper 1'!D92*1000</f>
        <v>1011673.3248861259</v>
      </c>
      <c r="E12" s="47">
        <f>'Workpaper 1'!E92*1000</f>
        <v>1000872.6797887177</v>
      </c>
      <c r="F12" s="47">
        <f>'Workpaper 1'!F92*1000</f>
        <v>1003297.6647484369</v>
      </c>
      <c r="G12" s="47">
        <f>'Workpaper 1'!G92*1000</f>
        <v>1019757.5669314873</v>
      </c>
      <c r="H12" s="47">
        <f>'Workpaper 1'!H92*1000</f>
        <v>1244908.3302001948</v>
      </c>
      <c r="I12" s="14"/>
      <c r="J12" s="11" t="s">
        <v>229</v>
      </c>
      <c r="K12" s="11">
        <f t="shared" ref="K12:K29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1'!C93*1000</f>
        <v>289526.51193025138</v>
      </c>
      <c r="D13" s="47">
        <f>'Workpaper 1'!D93*1000</f>
        <v>277313.73146079091</v>
      </c>
      <c r="E13" s="47">
        <f>'Workpaper 1'!E93*1000</f>
        <v>274353.12439478649</v>
      </c>
      <c r="F13" s="47">
        <f>'Workpaper 1'!F93*1000</f>
        <v>275017.84650554467</v>
      </c>
      <c r="G13" s="47">
        <f>'Workpaper 1'!G93*1000</f>
        <v>279529.73466309306</v>
      </c>
      <c r="H13" s="47">
        <f>'Workpaper 1'!H93*1000</f>
        <v>324147.43150513264</v>
      </c>
      <c r="I13" s="14"/>
      <c r="J13" s="11" t="s">
        <v>230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1'!C94*1000</f>
        <v>40007.711211152819</v>
      </c>
      <c r="D14" s="47">
        <f>'Workpaper 1'!D94*1000</f>
        <v>38320.109648001002</v>
      </c>
      <c r="E14" s="47">
        <f>'Workpaper 1'!E94*1000</f>
        <v>37911.00337404797</v>
      </c>
      <c r="F14" s="47">
        <f>'Workpaper 1'!F94*1000</f>
        <v>38002.856828384778</v>
      </c>
      <c r="G14" s="47">
        <f>'Workpaper 1'!G94*1000</f>
        <v>38626.324148253931</v>
      </c>
      <c r="H14" s="47">
        <f>'Workpaper 1'!H94*1000</f>
        <v>45466.633337664047</v>
      </c>
      <c r="I14" s="14"/>
      <c r="J14" s="11" t="s">
        <v>231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1385761.2171104131</v>
      </c>
      <c r="D15" s="48">
        <f t="shared" si="2"/>
        <v>1327307.1659949177</v>
      </c>
      <c r="E15" s="48">
        <f t="shared" si="2"/>
        <v>1313136.8075575521</v>
      </c>
      <c r="F15" s="48">
        <f t="shared" si="2"/>
        <v>1316318.3680823664</v>
      </c>
      <c r="G15" s="48">
        <f t="shared" si="2"/>
        <v>1337913.6257428343</v>
      </c>
      <c r="H15" s="48">
        <f t="shared" si="2"/>
        <v>1614522.3950429915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Determinants'!D21</f>
        <v>1385761.2171104131</v>
      </c>
      <c r="D16" s="35">
        <f>'A-Billing Determinants'!F21</f>
        <v>1327307.1659949177</v>
      </c>
      <c r="E16" s="35">
        <f>'A-Billing Determinants'!H21</f>
        <v>1313136.8075575521</v>
      </c>
      <c r="F16" s="35">
        <f>'A-Billing Determinants'!J21</f>
        <v>1316318.3680823664</v>
      </c>
      <c r="G16" s="35">
        <f>'A-Billing Determinants'!L21</f>
        <v>1337913.6257428343</v>
      </c>
      <c r="H16" s="35">
        <f>'A-Billing Determinants'!N21</f>
        <v>1614522.3950429913</v>
      </c>
      <c r="I16" s="14"/>
      <c r="J16" s="11" t="s">
        <v>232</v>
      </c>
      <c r="K16" s="11">
        <f t="shared" si="1"/>
        <v>7</v>
      </c>
    </row>
    <row r="17" spans="1:17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7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7" x14ac:dyDescent="0.3">
      <c r="A19" s="11">
        <f t="shared" si="0"/>
        <v>10</v>
      </c>
      <c r="B19" s="38" t="s">
        <v>187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7" x14ac:dyDescent="0.3">
      <c r="A20" s="11">
        <f t="shared" si="0"/>
        <v>11</v>
      </c>
      <c r="B20" s="38" t="s">
        <v>193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7" x14ac:dyDescent="0.3">
      <c r="A21" s="11">
        <f t="shared" si="0"/>
        <v>12</v>
      </c>
      <c r="B21" s="14" t="s">
        <v>123</v>
      </c>
      <c r="C21" s="51">
        <f>'[2]Transmission Rates Summary'!$F$29</f>
        <v>0.95</v>
      </c>
      <c r="D21" s="51">
        <f>C21</f>
        <v>0.95</v>
      </c>
      <c r="E21" s="51">
        <f t="shared" ref="E21:F23" si="4">D21</f>
        <v>0.95</v>
      </c>
      <c r="F21" s="51">
        <f t="shared" si="4"/>
        <v>0.95</v>
      </c>
      <c r="G21" s="51">
        <f>F21</f>
        <v>0.95</v>
      </c>
      <c r="H21" s="51">
        <f>'[2]Transmission Rates Summary'!$F$28</f>
        <v>4.0199999999999996</v>
      </c>
      <c r="I21" s="14"/>
      <c r="J21" s="11" t="s">
        <v>233</v>
      </c>
      <c r="K21" s="11">
        <f t="shared" si="1"/>
        <v>12</v>
      </c>
    </row>
    <row r="22" spans="1:17" x14ac:dyDescent="0.3">
      <c r="A22" s="11">
        <f t="shared" si="0"/>
        <v>13</v>
      </c>
      <c r="B22" s="14" t="s">
        <v>138</v>
      </c>
      <c r="C22" s="51">
        <f>'[2]Transmission Rates Summary'!$E$29</f>
        <v>0.92</v>
      </c>
      <c r="D22" s="51">
        <f>C22</f>
        <v>0.92</v>
      </c>
      <c r="E22" s="51">
        <f t="shared" si="4"/>
        <v>0.92</v>
      </c>
      <c r="F22" s="51">
        <f t="shared" si="4"/>
        <v>0.92</v>
      </c>
      <c r="G22" s="51">
        <f>F22</f>
        <v>0.92</v>
      </c>
      <c r="H22" s="51">
        <f>'[2]Transmission Rates Summary'!$E$28</f>
        <v>3.89</v>
      </c>
      <c r="I22" s="14"/>
      <c r="J22" s="11" t="s">
        <v>234</v>
      </c>
      <c r="K22" s="11">
        <f t="shared" si="1"/>
        <v>13</v>
      </c>
    </row>
    <row r="23" spans="1:17" x14ac:dyDescent="0.3">
      <c r="A23" s="11">
        <f t="shared" si="0"/>
        <v>14</v>
      </c>
      <c r="B23" s="14" t="s">
        <v>127</v>
      </c>
      <c r="C23" s="51">
        <f>'[2]Transmission Rates Summary'!$D$29</f>
        <v>0.91</v>
      </c>
      <c r="D23" s="51">
        <f>C23</f>
        <v>0.91</v>
      </c>
      <c r="E23" s="51">
        <f t="shared" si="4"/>
        <v>0.91</v>
      </c>
      <c r="F23" s="51">
        <f t="shared" si="4"/>
        <v>0.91</v>
      </c>
      <c r="G23" s="51">
        <f>F23</f>
        <v>0.91</v>
      </c>
      <c r="H23" s="51">
        <f>'[2]Transmission Rates Summary'!$D$28</f>
        <v>3.86</v>
      </c>
      <c r="I23" s="14"/>
      <c r="J23" s="11" t="s">
        <v>235</v>
      </c>
      <c r="K23" s="11">
        <f t="shared" si="1"/>
        <v>14</v>
      </c>
    </row>
    <row r="24" spans="1:17" x14ac:dyDescent="0.3">
      <c r="A24" s="11">
        <f t="shared" si="0"/>
        <v>15</v>
      </c>
      <c r="B24" s="38" t="s">
        <v>197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7" x14ac:dyDescent="0.3">
      <c r="A25" s="11">
        <f t="shared" si="0"/>
        <v>16</v>
      </c>
      <c r="B25" s="38" t="s">
        <v>142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7" x14ac:dyDescent="0.3">
      <c r="A26" s="11">
        <f t="shared" si="0"/>
        <v>17</v>
      </c>
      <c r="B26" s="14" t="s">
        <v>123</v>
      </c>
      <c r="C26" s="53">
        <f t="shared" ref="C26:H28" si="5">C21*C12</f>
        <v>1003415.6442705583</v>
      </c>
      <c r="D26" s="53">
        <f t="shared" si="5"/>
        <v>961089.65864181949</v>
      </c>
      <c r="E26" s="53">
        <f t="shared" si="5"/>
        <v>950829.04579928168</v>
      </c>
      <c r="F26" s="53">
        <f t="shared" si="5"/>
        <v>953132.78151101503</v>
      </c>
      <c r="G26" s="53">
        <f t="shared" si="5"/>
        <v>968769.68858491292</v>
      </c>
      <c r="H26" s="53">
        <f t="shared" si="5"/>
        <v>5004531.4874047823</v>
      </c>
      <c r="I26" s="14"/>
      <c r="J26" s="52" t="s">
        <v>198</v>
      </c>
      <c r="K26" s="11">
        <f t="shared" si="1"/>
        <v>17</v>
      </c>
    </row>
    <row r="27" spans="1:17" x14ac:dyDescent="0.3">
      <c r="A27" s="11">
        <f t="shared" si="0"/>
        <v>18</v>
      </c>
      <c r="B27" s="14" t="s">
        <v>125</v>
      </c>
      <c r="C27" s="37">
        <f t="shared" si="5"/>
        <v>266364.39097583125</v>
      </c>
      <c r="D27" s="37">
        <f t="shared" si="5"/>
        <v>255128.63294392766</v>
      </c>
      <c r="E27" s="37">
        <f t="shared" si="5"/>
        <v>252404.87444320359</v>
      </c>
      <c r="F27" s="37">
        <f t="shared" si="5"/>
        <v>253016.41878510112</v>
      </c>
      <c r="G27" s="37">
        <f t="shared" si="5"/>
        <v>257167.35589004561</v>
      </c>
      <c r="H27" s="37">
        <f t="shared" si="5"/>
        <v>1260933.508554966</v>
      </c>
      <c r="I27" s="14"/>
      <c r="J27" s="52" t="s">
        <v>199</v>
      </c>
      <c r="K27" s="11">
        <f t="shared" si="1"/>
        <v>18</v>
      </c>
    </row>
    <row r="28" spans="1:17" x14ac:dyDescent="0.3">
      <c r="A28" s="11">
        <f t="shared" si="0"/>
        <v>19</v>
      </c>
      <c r="B28" s="14" t="s">
        <v>127</v>
      </c>
      <c r="C28" s="37">
        <f t="shared" si="5"/>
        <v>36407.017202149065</v>
      </c>
      <c r="D28" s="37">
        <f t="shared" si="5"/>
        <v>34871.299779680914</v>
      </c>
      <c r="E28" s="37">
        <f t="shared" si="5"/>
        <v>34499.013070383655</v>
      </c>
      <c r="F28" s="37">
        <f t="shared" si="5"/>
        <v>34582.599713830146</v>
      </c>
      <c r="G28" s="37">
        <f t="shared" si="5"/>
        <v>35149.954974911081</v>
      </c>
      <c r="H28" s="37">
        <f t="shared" si="5"/>
        <v>175501.20468338323</v>
      </c>
      <c r="I28" s="14"/>
      <c r="J28" s="52" t="s">
        <v>200</v>
      </c>
      <c r="K28" s="11">
        <f t="shared" si="1"/>
        <v>19</v>
      </c>
    </row>
    <row r="29" spans="1:17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1306187.0524485386</v>
      </c>
      <c r="D29" s="54">
        <f t="shared" si="6"/>
        <v>1251089.5913654282</v>
      </c>
      <c r="E29" s="54">
        <f t="shared" si="6"/>
        <v>1237732.9333128689</v>
      </c>
      <c r="F29" s="54">
        <f t="shared" si="6"/>
        <v>1240731.8000099461</v>
      </c>
      <c r="G29" s="54">
        <f t="shared" si="6"/>
        <v>1261086.9994498696</v>
      </c>
      <c r="H29" s="54">
        <f t="shared" si="6"/>
        <v>6440966.2006431315</v>
      </c>
      <c r="I29" s="14"/>
      <c r="J29" s="50" t="s">
        <v>175</v>
      </c>
      <c r="K29" s="11">
        <f t="shared" si="1"/>
        <v>20</v>
      </c>
    </row>
    <row r="30" spans="1:17" ht="19.5" thickTop="1" x14ac:dyDescent="0.3">
      <c r="A30" s="17"/>
      <c r="B30" s="24"/>
      <c r="C30" s="24"/>
      <c r="D30" s="24"/>
      <c r="E30" s="24"/>
      <c r="F30" s="24"/>
      <c r="G30" s="24"/>
      <c r="H30" s="24"/>
      <c r="I30" s="24"/>
      <c r="J30" s="17"/>
      <c r="K30" s="17"/>
    </row>
    <row r="31" spans="1:17" x14ac:dyDescent="0.3">
      <c r="A31" s="104"/>
      <c r="B31" s="98"/>
      <c r="O31" s="46"/>
      <c r="P31" s="7"/>
      <c r="Q31" s="7"/>
    </row>
    <row r="32" spans="1:17" x14ac:dyDescent="0.3">
      <c r="A32" s="8" t="s">
        <v>8</v>
      </c>
      <c r="B32" s="28"/>
      <c r="C32" s="8" t="str">
        <f>C7</f>
        <v>(A)</v>
      </c>
      <c r="D32" s="8" t="str">
        <f t="shared" ref="D32:I32" si="7">D7</f>
        <v>(B)</v>
      </c>
      <c r="E32" s="8" t="str">
        <f t="shared" si="7"/>
        <v>(C)</v>
      </c>
      <c r="F32" s="8" t="str">
        <f t="shared" si="7"/>
        <v>(D)</v>
      </c>
      <c r="G32" s="8" t="str">
        <f t="shared" si="7"/>
        <v>(E)</v>
      </c>
      <c r="H32" s="8" t="str">
        <f t="shared" si="7"/>
        <v>(F)</v>
      </c>
      <c r="I32" s="8" t="str">
        <f t="shared" si="7"/>
        <v>(G)</v>
      </c>
      <c r="J32" s="28"/>
      <c r="K32" s="8" t="s">
        <v>8</v>
      </c>
      <c r="O32" s="46"/>
      <c r="P32" s="7"/>
      <c r="Q32" s="7"/>
    </row>
    <row r="33" spans="1:17" ht="22.5" x14ac:dyDescent="0.3">
      <c r="A33" s="17" t="s">
        <v>10</v>
      </c>
      <c r="B33" s="17" t="s">
        <v>114</v>
      </c>
      <c r="C33" s="29">
        <f>'Summary of Revs @ Changed Rates'!C30</f>
        <v>46204</v>
      </c>
      <c r="D33" s="29">
        <f>'Summary of Revs @ Changed Rates'!D30</f>
        <v>46235</v>
      </c>
      <c r="E33" s="29">
        <f>'Summary of Revs @ Changed Rates'!E30</f>
        <v>46266</v>
      </c>
      <c r="F33" s="29">
        <f>'Summary of Revs @ Changed Rates'!F30</f>
        <v>46296</v>
      </c>
      <c r="G33" s="29">
        <f>'Summary of Revs @ Changed Rates'!G30</f>
        <v>46327</v>
      </c>
      <c r="H33" s="29">
        <f>'Summary of Revs @ Changed Rates'!H30</f>
        <v>46357</v>
      </c>
      <c r="I33" s="30" t="s">
        <v>61</v>
      </c>
      <c r="J33" s="17" t="s">
        <v>186</v>
      </c>
      <c r="K33" s="17" t="s">
        <v>10</v>
      </c>
      <c r="O33" s="46"/>
      <c r="P33" s="7"/>
      <c r="Q33" s="7"/>
    </row>
    <row r="34" spans="1:17" x14ac:dyDescent="0.3">
      <c r="A34" s="8"/>
      <c r="B34" s="28"/>
      <c r="C34" s="31"/>
      <c r="D34" s="31"/>
      <c r="E34" s="31"/>
      <c r="F34" s="31"/>
      <c r="G34" s="31"/>
      <c r="H34" s="31"/>
      <c r="I34" s="11"/>
      <c r="J34" s="11"/>
      <c r="K34" s="11"/>
      <c r="O34" s="46"/>
      <c r="P34" s="7"/>
      <c r="Q34" s="7"/>
    </row>
    <row r="35" spans="1:17" x14ac:dyDescent="0.3">
      <c r="A35" s="11">
        <f>A29+1</f>
        <v>21</v>
      </c>
      <c r="B35" s="32" t="s">
        <v>187</v>
      </c>
      <c r="C35" s="31"/>
      <c r="D35" s="31"/>
      <c r="E35" s="31"/>
      <c r="F35" s="31"/>
      <c r="G35" s="31"/>
      <c r="H35" s="31"/>
      <c r="I35" s="11"/>
      <c r="J35" s="11"/>
      <c r="K35" s="11">
        <f>K29+1</f>
        <v>21</v>
      </c>
      <c r="O35" s="46"/>
      <c r="P35" s="7"/>
      <c r="Q35" s="7"/>
    </row>
    <row r="36" spans="1:17" ht="22.5" x14ac:dyDescent="0.3">
      <c r="A36" s="11">
        <f>A35+1</f>
        <v>22</v>
      </c>
      <c r="B36" s="32" t="s">
        <v>201</v>
      </c>
      <c r="C36" s="14"/>
      <c r="D36" s="14"/>
      <c r="E36" s="14"/>
      <c r="F36" s="14"/>
      <c r="G36" s="14"/>
      <c r="H36" s="14"/>
      <c r="I36" s="14"/>
      <c r="J36" s="11"/>
      <c r="K36" s="11">
        <f>K35+1</f>
        <v>22</v>
      </c>
      <c r="O36" s="46"/>
      <c r="P36" s="7"/>
      <c r="Q36" s="7"/>
    </row>
    <row r="37" spans="1:17" x14ac:dyDescent="0.3">
      <c r="A37" s="11">
        <f t="shared" ref="A37:A54" si="8">A36+1</f>
        <v>23</v>
      </c>
      <c r="B37" s="14" t="s">
        <v>123</v>
      </c>
      <c r="C37" s="47">
        <f>'Workpaper 1'!I92*1000</f>
        <v>1384248.4032894545</v>
      </c>
      <c r="D37" s="47">
        <f>'Workpaper 1'!J92*1000</f>
        <v>1439016.5107010154</v>
      </c>
      <c r="E37" s="47">
        <f>'Workpaper 1'!K92*1000</f>
        <v>1502755.6534770273</v>
      </c>
      <c r="F37" s="47">
        <f>'Workpaper 1'!L92*1000</f>
        <v>1375694.1701826844</v>
      </c>
      <c r="G37" s="47">
        <f>'Workpaper 1'!M92*1000</f>
        <v>1075331.3772802749</v>
      </c>
      <c r="H37" s="47">
        <f>'Workpaper 1'!N92*1000</f>
        <v>1111364.247435092</v>
      </c>
      <c r="I37" s="37">
        <f>SUM(C12:H12,C37:H37)</f>
        <v>14225146.922889519</v>
      </c>
      <c r="J37" s="11" t="str">
        <f>J12</f>
        <v>(Page BG-21.2, Line 90) x 1000</v>
      </c>
      <c r="K37" s="11">
        <f t="shared" ref="K37:K54" si="9">K36+1</f>
        <v>23</v>
      </c>
      <c r="O37" s="46"/>
      <c r="P37" s="7"/>
      <c r="Q37" s="7"/>
    </row>
    <row r="38" spans="1:17" x14ac:dyDescent="0.3">
      <c r="A38" s="11">
        <f t="shared" si="8"/>
        <v>24</v>
      </c>
      <c r="B38" s="14" t="s">
        <v>125</v>
      </c>
      <c r="C38" s="47">
        <f>'Workpaper 1'!I93*1000</f>
        <v>360428.5983203291</v>
      </c>
      <c r="D38" s="47">
        <f>'Workpaper 1'!J93*1000</f>
        <v>374689.03896096628</v>
      </c>
      <c r="E38" s="47">
        <f>'Workpaper 1'!K93*1000</f>
        <v>391285.34482218645</v>
      </c>
      <c r="F38" s="47">
        <f>'Workpaper 1'!L93*1000</f>
        <v>358201.25946911448</v>
      </c>
      <c r="G38" s="47">
        <f>'Workpaper 1'!M93*1000</f>
        <v>294763.28915169369</v>
      </c>
      <c r="H38" s="47">
        <f>'Workpaper 1'!N93*1000</f>
        <v>304640.40010448004</v>
      </c>
      <c r="I38" s="37">
        <f>SUM(C13:H13,C38:H38)</f>
        <v>3803896.3112883689</v>
      </c>
      <c r="J38" s="11" t="str">
        <f>J13</f>
        <v>(Page BG-21.2, Line 91) x 1000</v>
      </c>
      <c r="K38" s="11">
        <f t="shared" si="9"/>
        <v>24</v>
      </c>
      <c r="O38" s="46"/>
      <c r="P38" s="7"/>
      <c r="Q38" s="7"/>
    </row>
    <row r="39" spans="1:17" x14ac:dyDescent="0.3">
      <c r="A39" s="11">
        <f t="shared" si="8"/>
        <v>25</v>
      </c>
      <c r="B39" s="14" t="s">
        <v>127</v>
      </c>
      <c r="C39" s="47">
        <f>'Workpaper 1'!I94*1000</f>
        <v>50555.62170628865</v>
      </c>
      <c r="D39" s="47">
        <f>'Workpaper 1'!J94*1000</f>
        <v>52555.866541889336</v>
      </c>
      <c r="E39" s="47">
        <f>'Workpaper 1'!K94*1000</f>
        <v>54883.752189009996</v>
      </c>
      <c r="F39" s="47">
        <f>'Workpaper 1'!L94*1000</f>
        <v>50243.203377392208</v>
      </c>
      <c r="G39" s="47">
        <f>'Workpaper 1'!M94*1000</f>
        <v>40731.346049827211</v>
      </c>
      <c r="H39" s="47">
        <f>'Workpaper 1'!N94*1000</f>
        <v>42096.197233800252</v>
      </c>
      <c r="I39" s="37">
        <f>SUM(C14:H14,C39:H39)</f>
        <v>529400.62564571213</v>
      </c>
      <c r="J39" s="11" t="str">
        <f>J14</f>
        <v>(Page BG-21.2, Line 92) x 1000</v>
      </c>
      <c r="K39" s="11">
        <f t="shared" si="9"/>
        <v>25</v>
      </c>
      <c r="O39" s="46"/>
      <c r="P39" s="7"/>
      <c r="Q39" s="7"/>
    </row>
    <row r="40" spans="1:17" ht="19.5" thickBot="1" x14ac:dyDescent="0.35">
      <c r="A40" s="11">
        <f t="shared" si="8"/>
        <v>26</v>
      </c>
      <c r="B40" s="14" t="s">
        <v>129</v>
      </c>
      <c r="C40" s="48">
        <f t="shared" ref="C40:I40" si="10">SUM(C37:C39)</f>
        <v>1795232.6233160722</v>
      </c>
      <c r="D40" s="48">
        <f t="shared" si="10"/>
        <v>1866261.4162038709</v>
      </c>
      <c r="E40" s="48">
        <f t="shared" si="10"/>
        <v>1948924.7504882237</v>
      </c>
      <c r="F40" s="48">
        <f t="shared" si="10"/>
        <v>1784138.6330291911</v>
      </c>
      <c r="G40" s="48">
        <f t="shared" si="10"/>
        <v>1410826.0124817959</v>
      </c>
      <c r="H40" s="48">
        <f t="shared" si="10"/>
        <v>1458100.8447733724</v>
      </c>
      <c r="I40" s="49">
        <f t="shared" si="10"/>
        <v>18558443.859823599</v>
      </c>
      <c r="J40" s="50" t="s">
        <v>177</v>
      </c>
      <c r="K40" s="11">
        <f t="shared" si="9"/>
        <v>26</v>
      </c>
      <c r="O40" s="46"/>
      <c r="P40" s="7"/>
      <c r="Q40" s="7"/>
    </row>
    <row r="41" spans="1:17" ht="20.25" thickTop="1" thickBot="1" x14ac:dyDescent="0.35">
      <c r="A41" s="11">
        <f t="shared" si="8"/>
        <v>27</v>
      </c>
      <c r="B41" s="14" t="s">
        <v>131</v>
      </c>
      <c r="C41" s="35">
        <f>'B-Billing Determinants'!D21</f>
        <v>1795232.6233160719</v>
      </c>
      <c r="D41" s="35">
        <f>'B-Billing Determinants'!F21</f>
        <v>1866261.4162038709</v>
      </c>
      <c r="E41" s="35">
        <f>'B-Billing Determinants'!H21</f>
        <v>1948924.750488224</v>
      </c>
      <c r="F41" s="35">
        <f>'B-Billing Determinants'!J21</f>
        <v>1784138.6330291911</v>
      </c>
      <c r="G41" s="35">
        <f>'B-Billing Determinants'!L21</f>
        <v>1410826.0124817956</v>
      </c>
      <c r="H41" s="35">
        <f>'B-Billing Determinants'!N21</f>
        <v>1458100.8447733722</v>
      </c>
      <c r="I41" s="37">
        <f>SUM(C16:H16,C41:H41)</f>
        <v>18558443.859823599</v>
      </c>
      <c r="J41" s="11" t="s">
        <v>236</v>
      </c>
      <c r="K41" s="11">
        <f t="shared" si="9"/>
        <v>27</v>
      </c>
      <c r="O41" s="46"/>
      <c r="P41" s="7"/>
      <c r="Q41" s="7"/>
    </row>
    <row r="42" spans="1:17" ht="20.25" thickTop="1" thickBot="1" x14ac:dyDescent="0.35">
      <c r="A42" s="11">
        <f t="shared" si="8"/>
        <v>28</v>
      </c>
      <c r="B42" s="14"/>
      <c r="C42" s="35">
        <f t="shared" ref="C42:I42" si="11">C40-C41</f>
        <v>0</v>
      </c>
      <c r="D42" s="35">
        <f t="shared" si="11"/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35">
        <f t="shared" si="11"/>
        <v>0</v>
      </c>
      <c r="J42" s="36" t="s">
        <v>179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8"/>
        <v>29</v>
      </c>
      <c r="B43" s="11"/>
      <c r="C43" s="37"/>
      <c r="D43" s="37"/>
      <c r="E43" s="37"/>
      <c r="F43" s="37"/>
      <c r="G43" s="37"/>
      <c r="H43" s="37"/>
      <c r="I43" s="37"/>
      <c r="J43" s="36"/>
      <c r="K43" s="11">
        <f t="shared" si="9"/>
        <v>29</v>
      </c>
      <c r="O43" s="46"/>
      <c r="P43" s="7"/>
      <c r="Q43" s="7"/>
    </row>
    <row r="44" spans="1:17" x14ac:dyDescent="0.3">
      <c r="A44" s="11">
        <f t="shared" si="8"/>
        <v>30</v>
      </c>
      <c r="B44" s="38" t="s">
        <v>187</v>
      </c>
      <c r="C44" s="37"/>
      <c r="D44" s="37"/>
      <c r="E44" s="37"/>
      <c r="F44" s="37"/>
      <c r="G44" s="37"/>
      <c r="H44" s="37"/>
      <c r="I44" s="37"/>
      <c r="J44" s="36"/>
      <c r="K44" s="11">
        <f t="shared" si="9"/>
        <v>30</v>
      </c>
      <c r="O44" s="46"/>
      <c r="P44" s="7"/>
      <c r="Q44" s="7"/>
    </row>
    <row r="45" spans="1:17" x14ac:dyDescent="0.3">
      <c r="A45" s="11">
        <f t="shared" si="8"/>
        <v>31</v>
      </c>
      <c r="B45" s="38" t="s">
        <v>193</v>
      </c>
      <c r="C45" s="14"/>
      <c r="D45" s="14"/>
      <c r="E45" s="14"/>
      <c r="F45" s="14"/>
      <c r="G45" s="14"/>
      <c r="H45" s="14"/>
      <c r="I45" s="14"/>
      <c r="J45" s="11"/>
      <c r="K45" s="11">
        <f t="shared" si="9"/>
        <v>31</v>
      </c>
      <c r="O45" s="46"/>
      <c r="P45" s="7"/>
      <c r="Q45" s="7"/>
    </row>
    <row r="46" spans="1:17" x14ac:dyDescent="0.3">
      <c r="A46" s="11">
        <f t="shared" si="8"/>
        <v>32</v>
      </c>
      <c r="B46" s="14" t="s">
        <v>123</v>
      </c>
      <c r="C46" s="51">
        <f>H21</f>
        <v>4.0199999999999996</v>
      </c>
      <c r="D46" s="51">
        <f t="shared" ref="D46:F48" si="12">C46</f>
        <v>4.0199999999999996</v>
      </c>
      <c r="E46" s="51">
        <f t="shared" si="12"/>
        <v>4.0199999999999996</v>
      </c>
      <c r="F46" s="51">
        <f>E46</f>
        <v>4.0199999999999996</v>
      </c>
      <c r="G46" s="51">
        <f>C21</f>
        <v>0.95</v>
      </c>
      <c r="H46" s="51">
        <f>'E-Med &amp; Lrg C-I'!$C21</f>
        <v>0.95</v>
      </c>
      <c r="I46" s="14"/>
      <c r="J46" s="11" t="str">
        <f>J21</f>
        <v>Statement BL, Page 1, Lines 15 &amp; 16, Col. D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8"/>
        <v>33</v>
      </c>
      <c r="B47" s="14" t="s">
        <v>138</v>
      </c>
      <c r="C47" s="51">
        <f>H22</f>
        <v>3.89</v>
      </c>
      <c r="D47" s="51">
        <f t="shared" si="12"/>
        <v>3.89</v>
      </c>
      <c r="E47" s="51">
        <f t="shared" si="12"/>
        <v>3.89</v>
      </c>
      <c r="F47" s="51">
        <f t="shared" si="12"/>
        <v>3.89</v>
      </c>
      <c r="G47" s="51">
        <f>C22</f>
        <v>0.92</v>
      </c>
      <c r="H47" s="51">
        <f>'E-Med &amp; Lrg C-I'!$C22</f>
        <v>0.92</v>
      </c>
      <c r="I47" s="14"/>
      <c r="J47" s="11" t="str">
        <f>J22</f>
        <v>Statement BL, Page 1, Lines 15 &amp; 16, Col. C</v>
      </c>
      <c r="K47" s="11">
        <f t="shared" si="9"/>
        <v>33</v>
      </c>
      <c r="O47" s="46"/>
      <c r="P47" s="7"/>
      <c r="Q47" s="7"/>
    </row>
    <row r="48" spans="1:17" x14ac:dyDescent="0.3">
      <c r="A48" s="11">
        <f t="shared" si="8"/>
        <v>34</v>
      </c>
      <c r="B48" s="14" t="s">
        <v>127</v>
      </c>
      <c r="C48" s="51">
        <f>H23</f>
        <v>3.86</v>
      </c>
      <c r="D48" s="51">
        <f t="shared" si="12"/>
        <v>3.86</v>
      </c>
      <c r="E48" s="51">
        <f t="shared" si="12"/>
        <v>3.86</v>
      </c>
      <c r="F48" s="51">
        <f t="shared" si="12"/>
        <v>3.86</v>
      </c>
      <c r="G48" s="51">
        <f>C23</f>
        <v>0.91</v>
      </c>
      <c r="H48" s="51">
        <f>'E-Med &amp; Lrg C-I'!$C23</f>
        <v>0.91</v>
      </c>
      <c r="I48" s="14"/>
      <c r="J48" s="11" t="str">
        <f>J23</f>
        <v>Statement BL, Page 1, Lines 15 &amp; 16, Col. B</v>
      </c>
      <c r="K48" s="11">
        <f t="shared" si="9"/>
        <v>34</v>
      </c>
      <c r="O48" s="46"/>
      <c r="P48" s="7"/>
      <c r="Q48" s="7"/>
    </row>
    <row r="49" spans="1:17" x14ac:dyDescent="0.3">
      <c r="A49" s="11">
        <f t="shared" si="8"/>
        <v>35</v>
      </c>
      <c r="B49" s="38" t="s">
        <v>197</v>
      </c>
      <c r="C49" s="51"/>
      <c r="D49" s="51"/>
      <c r="E49" s="51"/>
      <c r="F49" s="51"/>
      <c r="G49" s="51"/>
      <c r="H49" s="51"/>
      <c r="I49" s="14"/>
      <c r="J49" s="61"/>
      <c r="K49" s="11">
        <f t="shared" si="9"/>
        <v>35</v>
      </c>
      <c r="O49" s="46"/>
      <c r="P49" s="7"/>
      <c r="Q49" s="7"/>
    </row>
    <row r="50" spans="1:17" x14ac:dyDescent="0.3">
      <c r="A50" s="11">
        <f t="shared" si="8"/>
        <v>36</v>
      </c>
      <c r="B50" s="38" t="s">
        <v>142</v>
      </c>
      <c r="C50" s="37"/>
      <c r="D50" s="37"/>
      <c r="E50" s="37"/>
      <c r="F50" s="37"/>
      <c r="G50" s="37"/>
      <c r="H50" s="37"/>
      <c r="I50" s="37"/>
      <c r="J50" s="52"/>
      <c r="K50" s="11">
        <f t="shared" si="9"/>
        <v>36</v>
      </c>
      <c r="O50" s="46"/>
      <c r="P50" s="7"/>
      <c r="Q50" s="7"/>
    </row>
    <row r="51" spans="1:17" x14ac:dyDescent="0.3">
      <c r="A51" s="11">
        <f t="shared" si="8"/>
        <v>37</v>
      </c>
      <c r="B51" s="14" t="s">
        <v>123</v>
      </c>
      <c r="C51" s="53">
        <f t="shared" ref="C51:H53" si="13">C46*C37</f>
        <v>5564678.5812236061</v>
      </c>
      <c r="D51" s="53">
        <f t="shared" si="13"/>
        <v>5784846.3730180813</v>
      </c>
      <c r="E51" s="53">
        <f t="shared" si="13"/>
        <v>6041077.7269776491</v>
      </c>
      <c r="F51" s="53">
        <f t="shared" si="13"/>
        <v>5530290.564134391</v>
      </c>
      <c r="G51" s="53">
        <f t="shared" si="13"/>
        <v>1021564.8084162611</v>
      </c>
      <c r="H51" s="53">
        <f t="shared" si="13"/>
        <v>1055796.0350633373</v>
      </c>
      <c r="I51" s="53">
        <f>SUM(C26:H26,C51:H51)</f>
        <v>34840022.395045698</v>
      </c>
      <c r="J51" s="52" t="s">
        <v>203</v>
      </c>
      <c r="K51" s="11">
        <f t="shared" si="9"/>
        <v>37</v>
      </c>
      <c r="O51" s="46"/>
      <c r="P51" s="7"/>
      <c r="Q51" s="7"/>
    </row>
    <row r="52" spans="1:17" x14ac:dyDescent="0.3">
      <c r="A52" s="11">
        <f t="shared" si="8"/>
        <v>38</v>
      </c>
      <c r="B52" s="14" t="s">
        <v>125</v>
      </c>
      <c r="C52" s="37">
        <f t="shared" si="13"/>
        <v>1402067.2474660801</v>
      </c>
      <c r="D52" s="37">
        <f t="shared" si="13"/>
        <v>1457540.3615581589</v>
      </c>
      <c r="E52" s="37">
        <f t="shared" si="13"/>
        <v>1522099.9913583053</v>
      </c>
      <c r="F52" s="37">
        <f t="shared" si="13"/>
        <v>1393402.8993348554</v>
      </c>
      <c r="G52" s="37">
        <f t="shared" si="13"/>
        <v>271182.22601955821</v>
      </c>
      <c r="H52" s="37">
        <f t="shared" si="13"/>
        <v>280269.16809612163</v>
      </c>
      <c r="I52" s="53">
        <f>SUM(C27:H27,C52:H52)</f>
        <v>8871577.0754261538</v>
      </c>
      <c r="J52" s="52" t="s">
        <v>204</v>
      </c>
      <c r="K52" s="11">
        <f t="shared" si="9"/>
        <v>38</v>
      </c>
      <c r="O52" s="46"/>
      <c r="P52" s="7"/>
      <c r="Q52" s="7"/>
    </row>
    <row r="53" spans="1:17" x14ac:dyDescent="0.3">
      <c r="A53" s="11">
        <f t="shared" si="8"/>
        <v>39</v>
      </c>
      <c r="B53" s="14" t="s">
        <v>127</v>
      </c>
      <c r="C53" s="37">
        <f t="shared" si="13"/>
        <v>195144.69978627417</v>
      </c>
      <c r="D53" s="37">
        <f t="shared" si="13"/>
        <v>202865.64485169284</v>
      </c>
      <c r="E53" s="37">
        <f t="shared" si="13"/>
        <v>211851.28344957856</v>
      </c>
      <c r="F53" s="37">
        <f t="shared" si="13"/>
        <v>193938.76503673391</v>
      </c>
      <c r="G53" s="37">
        <f t="shared" si="13"/>
        <v>37065.524905342761</v>
      </c>
      <c r="H53" s="37">
        <f t="shared" si="13"/>
        <v>38307.539482758228</v>
      </c>
      <c r="I53" s="53">
        <f>SUM(C28:H28,C53:H53)</f>
        <v>1230184.5469367185</v>
      </c>
      <c r="J53" s="52" t="s">
        <v>205</v>
      </c>
      <c r="K53" s="11">
        <f t="shared" si="9"/>
        <v>39</v>
      </c>
      <c r="O53" s="46"/>
      <c r="P53" s="7"/>
      <c r="Q53" s="7"/>
    </row>
    <row r="54" spans="1:17" ht="19.5" thickBot="1" x14ac:dyDescent="0.35">
      <c r="A54" s="11">
        <f t="shared" si="8"/>
        <v>40</v>
      </c>
      <c r="B54" s="14" t="s">
        <v>146</v>
      </c>
      <c r="C54" s="224">
        <f t="shared" ref="C54:I54" si="14">SUM(C51:C53)</f>
        <v>7161890.5284759598</v>
      </c>
      <c r="D54" s="224">
        <f t="shared" si="14"/>
        <v>7445252.3794279331</v>
      </c>
      <c r="E54" s="224">
        <f t="shared" si="14"/>
        <v>7775029.0017855335</v>
      </c>
      <c r="F54" s="224">
        <f t="shared" si="14"/>
        <v>7117632.2285059802</v>
      </c>
      <c r="G54" s="224">
        <f t="shared" si="14"/>
        <v>1329812.5593411622</v>
      </c>
      <c r="H54" s="224">
        <f t="shared" si="14"/>
        <v>1374372.7426422171</v>
      </c>
      <c r="I54" s="54">
        <f t="shared" si="14"/>
        <v>44941784.017408572</v>
      </c>
      <c r="J54" s="50" t="s">
        <v>183</v>
      </c>
      <c r="K54" s="11">
        <f t="shared" si="9"/>
        <v>40</v>
      </c>
      <c r="O54" s="46"/>
      <c r="P54" s="7"/>
      <c r="Q54" s="7"/>
    </row>
    <row r="55" spans="1:17" ht="19.5" thickTop="1" x14ac:dyDescent="0.3">
      <c r="A55" s="11"/>
      <c r="B55" s="24"/>
      <c r="C55" s="225"/>
      <c r="D55" s="225"/>
      <c r="E55" s="225"/>
      <c r="F55" s="225"/>
      <c r="G55" s="225"/>
      <c r="H55" s="225"/>
      <c r="I55" s="105"/>
      <c r="J55" s="17"/>
      <c r="K55" s="17"/>
      <c r="O55" s="46"/>
      <c r="P55" s="7"/>
      <c r="Q55" s="7"/>
    </row>
    <row r="56" spans="1:17" x14ac:dyDescent="0.3">
      <c r="A56" s="7"/>
      <c r="B56" s="25" t="s">
        <v>46</v>
      </c>
      <c r="O56" s="46"/>
      <c r="P56" s="7"/>
      <c r="Q56" s="7"/>
    </row>
    <row r="57" spans="1:17" ht="22.5" x14ac:dyDescent="0.3">
      <c r="A57" s="77">
        <v>1</v>
      </c>
      <c r="B57" s="1" t="s">
        <v>237</v>
      </c>
      <c r="O57" s="46"/>
      <c r="P57" s="7"/>
      <c r="Q57" s="7"/>
    </row>
    <row r="58" spans="1:17" ht="22.5" x14ac:dyDescent="0.3">
      <c r="A58" s="77">
        <v>2</v>
      </c>
      <c r="B58" s="1" t="s">
        <v>207</v>
      </c>
      <c r="O58" s="46"/>
      <c r="P58" s="7"/>
      <c r="Q58" s="7"/>
    </row>
    <row r="59" spans="1:17" ht="22.5" x14ac:dyDescent="0.3">
      <c r="A59" s="77">
        <v>3</v>
      </c>
      <c r="B59" s="1" t="s">
        <v>157</v>
      </c>
      <c r="O59" s="46"/>
      <c r="P59" s="7"/>
      <c r="Q59" s="7"/>
    </row>
    <row r="60" spans="1:17" ht="22.5" x14ac:dyDescent="0.3">
      <c r="A60" s="77"/>
      <c r="O60" s="46"/>
      <c r="P60" s="7"/>
      <c r="Q60" s="7"/>
    </row>
    <row r="61" spans="1:17" x14ac:dyDescent="0.3">
      <c r="A61" s="96"/>
      <c r="O61" s="46"/>
      <c r="P61" s="7"/>
      <c r="Q61" s="7"/>
    </row>
    <row r="62" spans="1:17" x14ac:dyDescent="0.3">
      <c r="A62" s="96"/>
      <c r="O62" s="46"/>
      <c r="P62" s="7"/>
      <c r="Q62" s="7"/>
    </row>
    <row r="63" spans="1:17" x14ac:dyDescent="0.3">
      <c r="A63" s="96"/>
      <c r="O63" s="46"/>
      <c r="P63" s="7"/>
      <c r="Q63" s="7"/>
    </row>
    <row r="64" spans="1:17" x14ac:dyDescent="0.3">
      <c r="A64" s="96"/>
      <c r="O64" s="46"/>
      <c r="P64" s="7"/>
      <c r="Q64" s="7"/>
    </row>
    <row r="65" spans="1:17" x14ac:dyDescent="0.3">
      <c r="A65" s="96"/>
      <c r="B65" s="25"/>
      <c r="O65" s="46"/>
      <c r="P65" s="7"/>
      <c r="Q65" s="7"/>
    </row>
    <row r="66" spans="1:17" x14ac:dyDescent="0.3">
      <c r="A66" s="96"/>
      <c r="O66" s="46"/>
      <c r="P66" s="7"/>
      <c r="Q66" s="7"/>
    </row>
    <row r="67" spans="1:17" x14ac:dyDescent="0.3">
      <c r="A67" s="96"/>
      <c r="O67" s="46"/>
      <c r="P67" s="7"/>
      <c r="Q67" s="7"/>
    </row>
    <row r="68" spans="1:17" x14ac:dyDescent="0.3">
      <c r="A68" s="96"/>
      <c r="O68" s="46"/>
      <c r="P68" s="7"/>
      <c r="Q68" s="7"/>
    </row>
    <row r="69" spans="1:17" x14ac:dyDescent="0.3">
      <c r="A69" s="96"/>
      <c r="O69" s="46"/>
      <c r="P69" s="7"/>
      <c r="Q69" s="7"/>
    </row>
    <row r="70" spans="1:17" x14ac:dyDescent="0.3">
      <c r="A70" s="96"/>
      <c r="O70" s="46"/>
      <c r="P70" s="7"/>
      <c r="Q70" s="7"/>
    </row>
    <row r="71" spans="1:17" x14ac:dyDescent="0.3">
      <c r="A71" s="96"/>
      <c r="B71" s="97"/>
      <c r="O71" s="46"/>
      <c r="P71" s="7"/>
      <c r="Q71" s="7"/>
    </row>
    <row r="72" spans="1:17" x14ac:dyDescent="0.3">
      <c r="A72" s="96"/>
      <c r="O72" s="46"/>
      <c r="P72" s="7"/>
      <c r="Q72" s="7"/>
    </row>
    <row r="73" spans="1:17" x14ac:dyDescent="0.3">
      <c r="A73" s="96"/>
      <c r="O73" s="46"/>
      <c r="P73" s="7"/>
      <c r="Q73" s="7"/>
    </row>
    <row r="74" spans="1:17" x14ac:dyDescent="0.3">
      <c r="A74" s="96"/>
      <c r="O74" s="46"/>
      <c r="P74" s="7"/>
      <c r="Q74" s="7"/>
    </row>
    <row r="75" spans="1:17" x14ac:dyDescent="0.3">
      <c r="A75" s="96"/>
      <c r="O75" s="46"/>
      <c r="P75" s="7"/>
      <c r="Q75" s="7"/>
    </row>
    <row r="76" spans="1:17" x14ac:dyDescent="0.3">
      <c r="A76" s="96"/>
    </row>
    <row r="77" spans="1:17" x14ac:dyDescent="0.3">
      <c r="A77" s="96"/>
      <c r="B77" s="25"/>
    </row>
    <row r="78" spans="1:17" ht="22.5" x14ac:dyDescent="0.3">
      <c r="A78" s="26"/>
    </row>
    <row r="79" spans="1:17" ht="22.5" x14ac:dyDescent="0.3">
      <c r="A79" s="26"/>
    </row>
    <row r="80" spans="1:17" ht="22.5" x14ac:dyDescent="0.3">
      <c r="A80" s="26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8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78"/>
  <sheetViews>
    <sheetView zoomScale="75" zoomScaleNormal="75" zoomScaleSheetLayoutView="70" workbookViewId="0">
      <selection activeCell="A2" sqref="A2:K2"/>
    </sheetView>
  </sheetViews>
  <sheetFormatPr defaultColWidth="9.140625" defaultRowHeight="18.75" x14ac:dyDescent="0.3"/>
  <cols>
    <col min="1" max="1" width="6" style="1" customWidth="1"/>
    <col min="2" max="2" width="48.140625" style="1" customWidth="1"/>
    <col min="3" max="3" width="18" style="1" customWidth="1"/>
    <col min="4" max="8" width="17.28515625" style="1" customWidth="1"/>
    <col min="9" max="9" width="18.42578125" style="1" customWidth="1"/>
    <col min="10" max="10" width="64.5703125" style="1" customWidth="1"/>
    <col min="11" max="11" width="5.5703125" style="1" customWidth="1"/>
    <col min="12" max="12" width="17.140625" style="1" customWidth="1"/>
    <col min="13" max="13" width="36" style="1" customWidth="1"/>
    <col min="14" max="14" width="17.140625" style="1" customWidth="1"/>
    <col min="15" max="15" width="18.42578125" style="1" customWidth="1"/>
    <col min="16" max="16" width="68" style="1" customWidth="1"/>
    <col min="17" max="17" width="5.5703125" style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228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29">
        <f>'Summary of Revs @ Changed Rates'!H8</f>
        <v>46174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208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209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37" si="0">A11+1</f>
        <v>3</v>
      </c>
      <c r="B12" s="14" t="s">
        <v>123</v>
      </c>
      <c r="C12" s="47">
        <f>'Workpaper 1'!C138*1000</f>
        <v>0</v>
      </c>
      <c r="D12" s="47">
        <f>'Workpaper 1'!D138*1000</f>
        <v>0</v>
      </c>
      <c r="E12" s="47">
        <f>'Workpaper 1'!E138*1000</f>
        <v>0</v>
      </c>
      <c r="F12" s="47">
        <f>'Workpaper 1'!F138*1000</f>
        <v>0</v>
      </c>
      <c r="G12" s="47">
        <f>'Workpaper 1'!G138*1000</f>
        <v>0</v>
      </c>
      <c r="H12" s="47">
        <f>'Workpaper 1'!H138*1000</f>
        <v>0</v>
      </c>
      <c r="I12" s="14"/>
      <c r="J12" s="11" t="s">
        <v>238</v>
      </c>
      <c r="K12" s="11">
        <f t="shared" ref="K12:K37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1'!C139*1000</f>
        <v>43110.732096118227</v>
      </c>
      <c r="D13" s="47">
        <f>'Workpaper 1'!D139*1000</f>
        <v>37864.341493389096</v>
      </c>
      <c r="E13" s="47">
        <f>'Workpaper 1'!E139*1000</f>
        <v>41637.151559373131</v>
      </c>
      <c r="F13" s="47">
        <f>'Workpaper 1'!F139*1000</f>
        <v>42807.153624408114</v>
      </c>
      <c r="G13" s="47">
        <f>'Workpaper 1'!G139*1000</f>
        <v>41375.71168519296</v>
      </c>
      <c r="H13" s="47">
        <f>'Workpaper 1'!H139*1000</f>
        <v>44362.590345103548</v>
      </c>
      <c r="I13" s="14"/>
      <c r="J13" s="11" t="s">
        <v>239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1'!C140*1000</f>
        <v>94693.151195210026</v>
      </c>
      <c r="D14" s="47">
        <f>'Workpaper 1'!D140*1000</f>
        <v>83169.402132778952</v>
      </c>
      <c r="E14" s="47">
        <f>'Workpaper 1'!E140*1000</f>
        <v>91456.416911662862</v>
      </c>
      <c r="F14" s="47">
        <f>'Workpaper 1'!F140*1000</f>
        <v>94026.338067166551</v>
      </c>
      <c r="G14" s="47">
        <f>'Workpaper 1'!G140*1000</f>
        <v>90882.161631585448</v>
      </c>
      <c r="H14" s="47">
        <f>'Workpaper 1'!H140*1000</f>
        <v>89074.502615407793</v>
      </c>
      <c r="I14" s="14"/>
      <c r="J14" s="11" t="s">
        <v>240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137803.88329132827</v>
      </c>
      <c r="D15" s="48">
        <f t="shared" si="2"/>
        <v>121033.74362616806</v>
      </c>
      <c r="E15" s="48">
        <f t="shared" si="2"/>
        <v>133093.56847103598</v>
      </c>
      <c r="F15" s="48">
        <f t="shared" si="2"/>
        <v>136833.49169157466</v>
      </c>
      <c r="G15" s="48">
        <f t="shared" si="2"/>
        <v>132257.87331677839</v>
      </c>
      <c r="H15" s="48">
        <f t="shared" si="2"/>
        <v>133437.09296051133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Determinants'!D22</f>
        <v>137803.88329132824</v>
      </c>
      <c r="D16" s="35">
        <f>'A-Billing Determinants'!F22</f>
        <v>121033.74362616804</v>
      </c>
      <c r="E16" s="35">
        <f>'A-Billing Determinants'!H22</f>
        <v>133093.56847103598</v>
      </c>
      <c r="F16" s="35">
        <f>'A-Billing Determinants'!J22</f>
        <v>136833.49169157466</v>
      </c>
      <c r="G16" s="35">
        <f>'A-Billing Determinants'!L22</f>
        <v>132257.87331677842</v>
      </c>
      <c r="H16" s="35">
        <f>'A-Billing Determinants'!N22</f>
        <v>133437.09296051133</v>
      </c>
      <c r="I16" s="14"/>
      <c r="J16" s="11" t="s">
        <v>241</v>
      </c>
      <c r="K16" s="11">
        <f t="shared" si="1"/>
        <v>7</v>
      </c>
    </row>
    <row r="17" spans="1:13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3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3" x14ac:dyDescent="0.3">
      <c r="A19" s="11">
        <f t="shared" si="0"/>
        <v>10</v>
      </c>
      <c r="B19" s="38" t="s">
        <v>214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3" x14ac:dyDescent="0.3">
      <c r="A20" s="11">
        <f t="shared" si="0"/>
        <v>11</v>
      </c>
      <c r="B20" s="38" t="s">
        <v>215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3" x14ac:dyDescent="0.3">
      <c r="A21" s="11">
        <f t="shared" si="0"/>
        <v>12</v>
      </c>
      <c r="B21" s="14" t="s">
        <v>123</v>
      </c>
      <c r="C21" s="51">
        <f>'[2]Transmission Rates Summary'!$F$37</f>
        <v>0</v>
      </c>
      <c r="D21" s="51">
        <f>C21</f>
        <v>0</v>
      </c>
      <c r="E21" s="51">
        <f t="shared" ref="E21:F23" si="4">D21</f>
        <v>0</v>
      </c>
      <c r="F21" s="51">
        <f t="shared" si="4"/>
        <v>0</v>
      </c>
      <c r="G21" s="51">
        <f>F21</f>
        <v>0</v>
      </c>
      <c r="H21" s="51">
        <f>'[2]Transmission Rates Summary'!$F$36</f>
        <v>0</v>
      </c>
      <c r="I21" s="14"/>
      <c r="J21" s="11" t="s">
        <v>242</v>
      </c>
      <c r="K21" s="11">
        <f t="shared" si="1"/>
        <v>12</v>
      </c>
    </row>
    <row r="22" spans="1:13" x14ac:dyDescent="0.3">
      <c r="A22" s="11">
        <f t="shared" si="0"/>
        <v>13</v>
      </c>
      <c r="B22" s="14" t="s">
        <v>138</v>
      </c>
      <c r="C22" s="51">
        <f>'[2]Transmission Rates Summary'!$E$37</f>
        <v>1.03</v>
      </c>
      <c r="D22" s="51">
        <f>C22</f>
        <v>1.03</v>
      </c>
      <c r="E22" s="51">
        <f t="shared" si="4"/>
        <v>1.03</v>
      </c>
      <c r="F22" s="51">
        <f t="shared" si="4"/>
        <v>1.03</v>
      </c>
      <c r="G22" s="51">
        <f>F22</f>
        <v>1.03</v>
      </c>
      <c r="H22" s="51">
        <f>'[2]Transmission Rates Summary'!$E$36</f>
        <v>5.35</v>
      </c>
      <c r="I22" s="14"/>
      <c r="J22" s="11" t="s">
        <v>243</v>
      </c>
      <c r="K22" s="11">
        <f t="shared" si="1"/>
        <v>13</v>
      </c>
    </row>
    <row r="23" spans="1:13" x14ac:dyDescent="0.3">
      <c r="A23" s="11">
        <f t="shared" si="0"/>
        <v>14</v>
      </c>
      <c r="B23" s="14" t="s">
        <v>127</v>
      </c>
      <c r="C23" s="51">
        <f>'[2]Transmission Rates Summary'!$D$37</f>
        <v>1.02</v>
      </c>
      <c r="D23" s="51">
        <f>C23</f>
        <v>1.02</v>
      </c>
      <c r="E23" s="51">
        <f t="shared" si="4"/>
        <v>1.02</v>
      </c>
      <c r="F23" s="51">
        <f t="shared" si="4"/>
        <v>1.02</v>
      </c>
      <c r="G23" s="51">
        <f>F23</f>
        <v>1.02</v>
      </c>
      <c r="H23" s="51">
        <f>'[2]Transmission Rates Summary'!$D$36</f>
        <v>5.33</v>
      </c>
      <c r="I23" s="14"/>
      <c r="J23" s="11" t="s">
        <v>244</v>
      </c>
      <c r="K23" s="11">
        <f t="shared" si="1"/>
        <v>14</v>
      </c>
    </row>
    <row r="24" spans="1:13" x14ac:dyDescent="0.3">
      <c r="A24" s="11">
        <f t="shared" si="0"/>
        <v>15</v>
      </c>
      <c r="B24" s="38" t="s">
        <v>219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3" x14ac:dyDescent="0.3">
      <c r="A25" s="11">
        <f t="shared" si="0"/>
        <v>16</v>
      </c>
      <c r="B25" s="38" t="s">
        <v>220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3" x14ac:dyDescent="0.3">
      <c r="A26" s="11">
        <f t="shared" si="0"/>
        <v>17</v>
      </c>
      <c r="B26" s="14" t="s">
        <v>123</v>
      </c>
      <c r="C26" s="53">
        <f t="shared" ref="C26:H28" si="5">C21*C12</f>
        <v>0</v>
      </c>
      <c r="D26" s="53">
        <f t="shared" si="5"/>
        <v>0</v>
      </c>
      <c r="E26" s="53">
        <f t="shared" si="5"/>
        <v>0</v>
      </c>
      <c r="F26" s="53">
        <f t="shared" si="5"/>
        <v>0</v>
      </c>
      <c r="G26" s="53">
        <f t="shared" si="5"/>
        <v>0</v>
      </c>
      <c r="H26" s="53">
        <f t="shared" si="5"/>
        <v>0</v>
      </c>
      <c r="I26" s="14"/>
      <c r="J26" s="52" t="s">
        <v>198</v>
      </c>
      <c r="K26" s="11">
        <f t="shared" si="1"/>
        <v>17</v>
      </c>
    </row>
    <row r="27" spans="1:13" x14ac:dyDescent="0.3">
      <c r="A27" s="11">
        <f t="shared" si="0"/>
        <v>18</v>
      </c>
      <c r="B27" s="14" t="s">
        <v>125</v>
      </c>
      <c r="C27" s="37">
        <f t="shared" si="5"/>
        <v>44404.054059001777</v>
      </c>
      <c r="D27" s="37">
        <f t="shared" si="5"/>
        <v>39000.271738190771</v>
      </c>
      <c r="E27" s="37">
        <f t="shared" si="5"/>
        <v>42886.266106154326</v>
      </c>
      <c r="F27" s="37">
        <f t="shared" si="5"/>
        <v>44091.368233140362</v>
      </c>
      <c r="G27" s="37">
        <f t="shared" si="5"/>
        <v>42616.983035748752</v>
      </c>
      <c r="H27" s="37">
        <f t="shared" si="5"/>
        <v>237339.85834630395</v>
      </c>
      <c r="I27" s="14"/>
      <c r="J27" s="52" t="s">
        <v>199</v>
      </c>
      <c r="K27" s="11">
        <f t="shared" si="1"/>
        <v>18</v>
      </c>
    </row>
    <row r="28" spans="1:13" x14ac:dyDescent="0.3">
      <c r="A28" s="11">
        <f t="shared" si="0"/>
        <v>19</v>
      </c>
      <c r="B28" s="14" t="s">
        <v>127</v>
      </c>
      <c r="C28" s="37">
        <f t="shared" si="5"/>
        <v>96587.014219114222</v>
      </c>
      <c r="D28" s="37">
        <f t="shared" si="5"/>
        <v>84832.790175434537</v>
      </c>
      <c r="E28" s="37">
        <f t="shared" si="5"/>
        <v>93285.545249896124</v>
      </c>
      <c r="F28" s="37">
        <f t="shared" si="5"/>
        <v>95906.86482850989</v>
      </c>
      <c r="G28" s="37">
        <f t="shared" si="5"/>
        <v>92699.804864217163</v>
      </c>
      <c r="H28" s="37">
        <f t="shared" si="5"/>
        <v>474767.09894012357</v>
      </c>
      <c r="I28" s="14"/>
      <c r="J28" s="52" t="s">
        <v>200</v>
      </c>
      <c r="K28" s="11">
        <f t="shared" si="1"/>
        <v>19</v>
      </c>
    </row>
    <row r="29" spans="1:13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140991.068278116</v>
      </c>
      <c r="D29" s="54">
        <f t="shared" si="6"/>
        <v>123833.06191362531</v>
      </c>
      <c r="E29" s="54">
        <f t="shared" si="6"/>
        <v>136171.81135605046</v>
      </c>
      <c r="F29" s="54">
        <f t="shared" si="6"/>
        <v>139998.23306165024</v>
      </c>
      <c r="G29" s="54">
        <f t="shared" si="6"/>
        <v>135316.78789996592</v>
      </c>
      <c r="H29" s="54">
        <f t="shared" si="6"/>
        <v>712106.9572864275</v>
      </c>
      <c r="I29" s="14"/>
      <c r="J29" s="50" t="s">
        <v>175</v>
      </c>
      <c r="K29" s="11">
        <f t="shared" si="1"/>
        <v>20</v>
      </c>
    </row>
    <row r="30" spans="1:13" ht="19.5" thickTop="1" x14ac:dyDescent="0.3">
      <c r="A30" s="11">
        <f t="shared" si="0"/>
        <v>21</v>
      </c>
      <c r="B30" s="14"/>
      <c r="C30" s="14"/>
      <c r="D30" s="14"/>
      <c r="E30" s="14"/>
      <c r="F30" s="14"/>
      <c r="G30" s="14"/>
      <c r="H30" s="14"/>
      <c r="I30" s="14"/>
      <c r="J30" s="11"/>
      <c r="K30" s="11">
        <f t="shared" si="1"/>
        <v>21</v>
      </c>
    </row>
    <row r="31" spans="1:13" x14ac:dyDescent="0.3">
      <c r="A31" s="11">
        <f t="shared" si="0"/>
        <v>22</v>
      </c>
      <c r="B31" s="32" t="s">
        <v>142</v>
      </c>
      <c r="C31" s="14"/>
      <c r="D31" s="14"/>
      <c r="E31" s="14"/>
      <c r="F31" s="14"/>
      <c r="G31" s="14"/>
      <c r="H31" s="14"/>
      <c r="I31" s="14"/>
      <c r="J31" s="11"/>
      <c r="K31" s="11">
        <f t="shared" si="1"/>
        <v>22</v>
      </c>
      <c r="L31" s="391"/>
    </row>
    <row r="32" spans="1:13" ht="37.5" x14ac:dyDescent="0.3">
      <c r="A32" s="11">
        <f t="shared" si="0"/>
        <v>23</v>
      </c>
      <c r="B32" s="14" t="s">
        <v>123</v>
      </c>
      <c r="C32" s="53">
        <f>ROUND(SUM(C26,'C-Med &amp; Lrg C-I'!C26,'B-Med &amp; Lrg C-I'!C26,'A-Med &amp; Lrg C-I'!C30),0)</f>
        <v>26651269</v>
      </c>
      <c r="D32" s="53">
        <f>ROUND(SUM(D26,'C-Med &amp; Lrg C-I'!D26,'B-Med &amp; Lrg C-I'!D26,'A-Med &amp; Lrg C-I'!D30),0)</f>
        <v>25527068</v>
      </c>
      <c r="E32" s="53">
        <f>ROUND(SUM(E26,'C-Med &amp; Lrg C-I'!E26,'B-Med &amp; Lrg C-I'!E26,'A-Med &amp; Lrg C-I'!E30),0)</f>
        <v>25254540</v>
      </c>
      <c r="F32" s="53">
        <f>ROUND(SUM(F26,'C-Med &amp; Lrg C-I'!F26,'B-Med &amp; Lrg C-I'!F26,'A-Med &amp; Lrg C-I'!F30),0)</f>
        <v>25315729</v>
      </c>
      <c r="G32" s="53">
        <f>ROUND(SUM(G26,'C-Med &amp; Lrg C-I'!G26,'B-Med &amp; Lrg C-I'!G26,'A-Med &amp; Lrg C-I'!G30),0)</f>
        <v>25731053</v>
      </c>
      <c r="H32" s="53">
        <f>ROUND(SUM(H26,'C-Med &amp; Lrg C-I'!H26,'B-Med &amp; Lrg C-I'!H26,'A-Med &amp; Lrg C-I'!H30),0)</f>
        <v>30855307</v>
      </c>
      <c r="I32" s="14"/>
      <c r="J32" s="99" t="s">
        <v>441</v>
      </c>
      <c r="K32" s="11">
        <f t="shared" si="1"/>
        <v>23</v>
      </c>
      <c r="M32" s="413"/>
    </row>
    <row r="33" spans="1:17" ht="37.5" x14ac:dyDescent="0.3">
      <c r="A33" s="11">
        <f t="shared" si="0"/>
        <v>24</v>
      </c>
      <c r="B33" s="14" t="s">
        <v>125</v>
      </c>
      <c r="C33" s="53">
        <f>ROUND(SUM(C27,'C-Med &amp; Lrg C-I'!C27,'B-Med &amp; Lrg C-I'!C27,'A-Med &amp; Lrg C-I'!C31),0)</f>
        <v>7952432</v>
      </c>
      <c r="D33" s="53">
        <f>ROUND(SUM(D27,'C-Med &amp; Lrg C-I'!D27,'B-Med &amp; Lrg C-I'!D27,'A-Med &amp; Lrg C-I'!D31),0)</f>
        <v>7507476</v>
      </c>
      <c r="E33" s="53">
        <f>ROUND(SUM(E27,'C-Med &amp; Lrg C-I'!E27,'B-Med &amp; Lrg C-I'!E27,'A-Med &amp; Lrg C-I'!E31),0)</f>
        <v>7560765</v>
      </c>
      <c r="F33" s="53">
        <f>ROUND(SUM(F27,'C-Med &amp; Lrg C-I'!F27,'B-Med &amp; Lrg C-I'!F27,'A-Med &amp; Lrg C-I'!F31),0)</f>
        <v>7613238</v>
      </c>
      <c r="G33" s="53">
        <f>ROUND(SUM(G27,'C-Med &amp; Lrg C-I'!G27,'B-Med &amp; Lrg C-I'!G27,'A-Med &amp; Lrg C-I'!G31),0)</f>
        <v>7669976</v>
      </c>
      <c r="H33" s="53">
        <f>ROUND(SUM(H27,'C-Med &amp; Lrg C-I'!H27,'B-Med &amp; Lrg C-I'!H27,'A-Med &amp; Lrg C-I'!H31),0)</f>
        <v>9242474</v>
      </c>
      <c r="I33" s="14"/>
      <c r="J33" s="99" t="s">
        <v>442</v>
      </c>
      <c r="K33" s="11">
        <f t="shared" si="1"/>
        <v>24</v>
      </c>
      <c r="M33" s="413"/>
    </row>
    <row r="34" spans="1:17" ht="37.5" x14ac:dyDescent="0.3">
      <c r="A34" s="11">
        <f t="shared" si="0"/>
        <v>25</v>
      </c>
      <c r="B34" s="14" t="s">
        <v>127</v>
      </c>
      <c r="C34" s="53">
        <f>ROUND(SUM(C28,'C-Med &amp; Lrg C-I'!C28,'B-Med &amp; Lrg C-I'!C28,'A-Med &amp; Lrg C-I'!C32),0)</f>
        <v>2793276</v>
      </c>
      <c r="D34" s="53">
        <f>ROUND(SUM(D28,'C-Med &amp; Lrg C-I'!D28,'B-Med &amp; Lrg C-I'!D28,'A-Med &amp; Lrg C-I'!D32),0)</f>
        <v>2485657</v>
      </c>
      <c r="E34" s="53">
        <f>ROUND(SUM(E28,'C-Med &amp; Lrg C-I'!E28,'B-Med &amp; Lrg C-I'!E28,'A-Med &amp; Lrg C-I'!E32),0)</f>
        <v>2690392</v>
      </c>
      <c r="F34" s="53">
        <f>ROUND(SUM(F28,'C-Med &amp; Lrg C-I'!F28,'B-Med &amp; Lrg C-I'!F28,'A-Med &amp; Lrg C-I'!F32),0)</f>
        <v>2756104</v>
      </c>
      <c r="G34" s="53">
        <f>ROUND(SUM(G28,'C-Med &amp; Lrg C-I'!G28,'B-Med &amp; Lrg C-I'!G28,'A-Med &amp; Lrg C-I'!G32),0)</f>
        <v>2683182</v>
      </c>
      <c r="H34" s="53">
        <f>ROUND(SUM(H28,'C-Med &amp; Lrg C-I'!H28,'B-Med &amp; Lrg C-I'!H28,'A-Med &amp; Lrg C-I'!H32),0)</f>
        <v>3229052</v>
      </c>
      <c r="I34" s="14"/>
      <c r="J34" s="99" t="s">
        <v>443</v>
      </c>
      <c r="K34" s="11">
        <f t="shared" si="1"/>
        <v>25</v>
      </c>
      <c r="M34" s="413"/>
    </row>
    <row r="35" spans="1:17" ht="19.5" thickBot="1" x14ac:dyDescent="0.35">
      <c r="A35" s="11">
        <f t="shared" si="0"/>
        <v>26</v>
      </c>
      <c r="B35" s="14" t="s">
        <v>221</v>
      </c>
      <c r="C35" s="42">
        <f t="shared" ref="C35:H35" si="7">SUM(C32:C34)</f>
        <v>37396977</v>
      </c>
      <c r="D35" s="42">
        <f t="shared" si="7"/>
        <v>35520201</v>
      </c>
      <c r="E35" s="42">
        <f t="shared" si="7"/>
        <v>35505697</v>
      </c>
      <c r="F35" s="42">
        <f t="shared" si="7"/>
        <v>35685071</v>
      </c>
      <c r="G35" s="42">
        <f t="shared" si="7"/>
        <v>36084211</v>
      </c>
      <c r="H35" s="42">
        <f t="shared" si="7"/>
        <v>43326833</v>
      </c>
      <c r="I35" s="14"/>
      <c r="J35" s="55" t="s">
        <v>177</v>
      </c>
      <c r="K35" s="11">
        <f t="shared" si="1"/>
        <v>26</v>
      </c>
    </row>
    <row r="36" spans="1:17" ht="19.5" thickTop="1" x14ac:dyDescent="0.3">
      <c r="A36" s="11">
        <f t="shared" si="0"/>
        <v>27</v>
      </c>
      <c r="B36" s="14"/>
      <c r="C36" s="14"/>
      <c r="D36" s="14"/>
      <c r="E36" s="14"/>
      <c r="F36" s="14"/>
      <c r="G36" s="14"/>
      <c r="H36" s="14"/>
      <c r="I36" s="14"/>
      <c r="J36" s="11"/>
      <c r="K36" s="11">
        <f t="shared" si="1"/>
        <v>27</v>
      </c>
    </row>
    <row r="37" spans="1:17" ht="19.5" thickBot="1" x14ac:dyDescent="0.35">
      <c r="A37" s="11">
        <f t="shared" si="0"/>
        <v>28</v>
      </c>
      <c r="B37" s="38" t="s">
        <v>155</v>
      </c>
      <c r="C37" s="45">
        <f>C35+'A-Med &amp; Lrg C-I'!C13</f>
        <v>37396977</v>
      </c>
      <c r="D37" s="45">
        <f>D35+'A-Med &amp; Lrg C-I'!D13</f>
        <v>35520201</v>
      </c>
      <c r="E37" s="45">
        <f>E35+'A-Med &amp; Lrg C-I'!E13</f>
        <v>35505697</v>
      </c>
      <c r="F37" s="45">
        <f>F35+'A-Med &amp; Lrg C-I'!F13</f>
        <v>35685071</v>
      </c>
      <c r="G37" s="45">
        <f>G35+'A-Med &amp; Lrg C-I'!G13</f>
        <v>36084211</v>
      </c>
      <c r="H37" s="45">
        <f>H35+'A-Med &amp; Lrg C-I'!H13</f>
        <v>43326833</v>
      </c>
      <c r="I37" s="14"/>
      <c r="J37" s="99" t="s">
        <v>222</v>
      </c>
      <c r="K37" s="11">
        <f t="shared" si="1"/>
        <v>28</v>
      </c>
    </row>
    <row r="38" spans="1:17" ht="19.5" thickTop="1" x14ac:dyDescent="0.3">
      <c r="A38" s="17"/>
      <c r="B38" s="24"/>
      <c r="C38" s="24"/>
      <c r="D38" s="24"/>
      <c r="E38" s="24"/>
      <c r="F38" s="24"/>
      <c r="G38" s="24"/>
      <c r="H38" s="24"/>
      <c r="I38" s="24"/>
      <c r="J38" s="17"/>
      <c r="K38" s="17"/>
    </row>
    <row r="39" spans="1:17" x14ac:dyDescent="0.3">
      <c r="A39" s="7"/>
      <c r="O39" s="46"/>
      <c r="P39" s="7"/>
      <c r="Q39" s="7"/>
    </row>
    <row r="40" spans="1:17" x14ac:dyDescent="0.3">
      <c r="A40" s="8" t="s">
        <v>8</v>
      </c>
      <c r="B40" s="28"/>
      <c r="C40" s="8" t="str">
        <f>C7</f>
        <v>(A)</v>
      </c>
      <c r="D40" s="8" t="str">
        <f t="shared" ref="D40:I40" si="8">D7</f>
        <v>(B)</v>
      </c>
      <c r="E40" s="8" t="str">
        <f t="shared" si="8"/>
        <v>(C)</v>
      </c>
      <c r="F40" s="8" t="str">
        <f t="shared" si="8"/>
        <v>(D)</v>
      </c>
      <c r="G40" s="8" t="str">
        <f t="shared" si="8"/>
        <v>(E)</v>
      </c>
      <c r="H40" s="8" t="str">
        <f t="shared" si="8"/>
        <v>(F)</v>
      </c>
      <c r="I40" s="8" t="str">
        <f t="shared" si="8"/>
        <v>(G)</v>
      </c>
      <c r="J40" s="28"/>
      <c r="K40" s="8" t="s">
        <v>8</v>
      </c>
    </row>
    <row r="41" spans="1:17" ht="22.5" x14ac:dyDescent="0.3">
      <c r="A41" s="17" t="s">
        <v>10</v>
      </c>
      <c r="B41" s="17" t="s">
        <v>114</v>
      </c>
      <c r="C41" s="29">
        <f>'Summary of Revs @ Changed Rates'!C30</f>
        <v>46204</v>
      </c>
      <c r="D41" s="29">
        <f>'Summary of Revs @ Changed Rates'!D30</f>
        <v>46235</v>
      </c>
      <c r="E41" s="29">
        <f>'Summary of Revs @ Changed Rates'!E30</f>
        <v>46266</v>
      </c>
      <c r="F41" s="29">
        <f>'Summary of Revs @ Changed Rates'!F30</f>
        <v>46296</v>
      </c>
      <c r="G41" s="29">
        <f>'Summary of Revs @ Changed Rates'!G30</f>
        <v>46327</v>
      </c>
      <c r="H41" s="29">
        <f>'Summary of Revs @ Changed Rates'!H30</f>
        <v>46357</v>
      </c>
      <c r="I41" s="30" t="s">
        <v>61</v>
      </c>
      <c r="J41" s="17" t="s">
        <v>186</v>
      </c>
      <c r="K41" s="17" t="s">
        <v>10</v>
      </c>
    </row>
    <row r="42" spans="1:17" x14ac:dyDescent="0.3">
      <c r="A42" s="11"/>
      <c r="B42" s="14"/>
      <c r="C42" s="31"/>
      <c r="D42" s="31"/>
      <c r="E42" s="31"/>
      <c r="F42" s="31"/>
      <c r="G42" s="31"/>
      <c r="H42" s="31"/>
      <c r="I42" s="11"/>
      <c r="J42" s="11"/>
      <c r="K42" s="11"/>
    </row>
    <row r="43" spans="1:17" x14ac:dyDescent="0.3">
      <c r="A43" s="11">
        <f>A37+1</f>
        <v>29</v>
      </c>
      <c r="B43" s="32" t="s">
        <v>208</v>
      </c>
      <c r="C43" s="31"/>
      <c r="D43" s="31"/>
      <c r="E43" s="31"/>
      <c r="F43" s="31"/>
      <c r="G43" s="31"/>
      <c r="H43" s="31"/>
      <c r="I43" s="11"/>
      <c r="J43" s="11"/>
      <c r="K43" s="11">
        <f>K37+1</f>
        <v>29</v>
      </c>
    </row>
    <row r="44" spans="1:17" ht="22.5" x14ac:dyDescent="0.3">
      <c r="A44" s="11">
        <f>A43+1</f>
        <v>30</v>
      </c>
      <c r="B44" s="32" t="s">
        <v>245</v>
      </c>
      <c r="C44" s="14"/>
      <c r="D44" s="14"/>
      <c r="E44" s="14"/>
      <c r="F44" s="14"/>
      <c r="G44" s="14"/>
      <c r="H44" s="14"/>
      <c r="I44" s="14"/>
      <c r="J44" s="11"/>
      <c r="K44" s="11">
        <f>K43+1</f>
        <v>30</v>
      </c>
    </row>
    <row r="45" spans="1:17" x14ac:dyDescent="0.3">
      <c r="A45" s="11">
        <f t="shared" ref="A45:A70" si="9">A44+1</f>
        <v>31</v>
      </c>
      <c r="B45" s="14" t="s">
        <v>123</v>
      </c>
      <c r="C45" s="47">
        <f>'Workpaper 1'!I138*1000</f>
        <v>0</v>
      </c>
      <c r="D45" s="47">
        <f>'Workpaper 1'!J138*1000</f>
        <v>0</v>
      </c>
      <c r="E45" s="47">
        <f>'Workpaper 1'!K138*1000</f>
        <v>0</v>
      </c>
      <c r="F45" s="47">
        <f>'Workpaper 1'!L138*1000</f>
        <v>0</v>
      </c>
      <c r="G45" s="47">
        <f>'Workpaper 1'!M138*1000</f>
        <v>0</v>
      </c>
      <c r="H45" s="47">
        <f>'Workpaper 1'!N138*1000</f>
        <v>0</v>
      </c>
      <c r="I45" s="37">
        <f>SUM(C12:H12,C45:H45)</f>
        <v>0</v>
      </c>
      <c r="J45" s="11" t="str">
        <f>J12</f>
        <v>(Page BG-21.3, Line 136) x 1000</v>
      </c>
      <c r="K45" s="11">
        <f t="shared" ref="K45:K70" si="10">K44+1</f>
        <v>31</v>
      </c>
    </row>
    <row r="46" spans="1:17" x14ac:dyDescent="0.3">
      <c r="A46" s="11">
        <f t="shared" si="9"/>
        <v>32</v>
      </c>
      <c r="B46" s="14" t="s">
        <v>125</v>
      </c>
      <c r="C46" s="47">
        <f>'Workpaper 1'!I139*1000</f>
        <v>50256.856633690826</v>
      </c>
      <c r="D46" s="47">
        <f>'Workpaper 1'!J139*1000</f>
        <v>50055.414324035155</v>
      </c>
      <c r="E46" s="47">
        <f>'Workpaper 1'!K139*1000</f>
        <v>50349.126434671518</v>
      </c>
      <c r="F46" s="47">
        <f>'Workpaper 1'!L139*1000</f>
        <v>47489.91502300842</v>
      </c>
      <c r="G46" s="47">
        <f>'Workpaper 1'!M139*1000</f>
        <v>42198.714842908252</v>
      </c>
      <c r="H46" s="47">
        <f>'Workpaper 1'!N139*1000</f>
        <v>48743.864963022548</v>
      </c>
      <c r="I46" s="37">
        <f>SUM(C13:H13,C46:H46)</f>
        <v>540251.57302492182</v>
      </c>
      <c r="J46" s="11" t="str">
        <f>J13</f>
        <v>(Page BG-21.3, Line 137) x 1000</v>
      </c>
      <c r="K46" s="11">
        <f t="shared" si="10"/>
        <v>32</v>
      </c>
    </row>
    <row r="47" spans="1:17" x14ac:dyDescent="0.3">
      <c r="A47" s="11">
        <f t="shared" si="9"/>
        <v>33</v>
      </c>
      <c r="B47" s="14" t="s">
        <v>127</v>
      </c>
      <c r="C47" s="47">
        <f>'Workpaper 1'!I140*1000</f>
        <v>100909.44809208975</v>
      </c>
      <c r="D47" s="47">
        <f>'Workpaper 1'!J140*1000</f>
        <v>100504.97726658804</v>
      </c>
      <c r="E47" s="47">
        <f>'Workpaper 1'!K140*1000</f>
        <v>101094.71424911171</v>
      </c>
      <c r="F47" s="47">
        <f>'Workpaper 1'!L140*1000</f>
        <v>95353.777293335021</v>
      </c>
      <c r="G47" s="47">
        <f>'Workpaper 1'!M140*1000</f>
        <v>92689.896241007358</v>
      </c>
      <c r="H47" s="47">
        <f>'Workpaper 1'!N140*1000</f>
        <v>107066.38348175955</v>
      </c>
      <c r="I47" s="37">
        <f>SUM(C14:H14,C47:H47)</f>
        <v>1140921.1691777031</v>
      </c>
      <c r="J47" s="11" t="str">
        <f>J14</f>
        <v>(Page BG-21.3, Line 138) x 1000</v>
      </c>
      <c r="K47" s="11">
        <f t="shared" si="10"/>
        <v>33</v>
      </c>
    </row>
    <row r="48" spans="1:17" ht="19.5" thickBot="1" x14ac:dyDescent="0.35">
      <c r="A48" s="11">
        <f t="shared" si="9"/>
        <v>34</v>
      </c>
      <c r="B48" s="14" t="s">
        <v>129</v>
      </c>
      <c r="C48" s="48">
        <f t="shared" ref="C48:I48" si="11">SUM(C45:C47)</f>
        <v>151166.30472578056</v>
      </c>
      <c r="D48" s="48">
        <f t="shared" si="11"/>
        <v>150560.39159062319</v>
      </c>
      <c r="E48" s="48">
        <f t="shared" si="11"/>
        <v>151443.84068378323</v>
      </c>
      <c r="F48" s="48">
        <f t="shared" si="11"/>
        <v>142843.69231634343</v>
      </c>
      <c r="G48" s="48">
        <f t="shared" si="11"/>
        <v>134888.6110839156</v>
      </c>
      <c r="H48" s="48">
        <f t="shared" si="11"/>
        <v>155810.2484447821</v>
      </c>
      <c r="I48" s="49">
        <f t="shared" si="11"/>
        <v>1681172.7422026249</v>
      </c>
      <c r="J48" s="50" t="s">
        <v>149</v>
      </c>
      <c r="K48" s="11">
        <f t="shared" si="10"/>
        <v>34</v>
      </c>
    </row>
    <row r="49" spans="1:12" ht="20.25" thickTop="1" thickBot="1" x14ac:dyDescent="0.35">
      <c r="A49" s="11">
        <f t="shared" si="9"/>
        <v>35</v>
      </c>
      <c r="B49" s="14" t="s">
        <v>131</v>
      </c>
      <c r="C49" s="35">
        <f>'B-Billing Determinants'!D22</f>
        <v>151166.30472578059</v>
      </c>
      <c r="D49" s="35">
        <f>'B-Billing Determinants'!F22</f>
        <v>150560.39159062319</v>
      </c>
      <c r="E49" s="35">
        <f>'B-Billing Determinants'!H22</f>
        <v>151443.84068378323</v>
      </c>
      <c r="F49" s="35">
        <f>'B-Billing Determinants'!J22</f>
        <v>142843.69231634343</v>
      </c>
      <c r="G49" s="35">
        <f>'B-Billing Determinants'!L22</f>
        <v>134888.6110839156</v>
      </c>
      <c r="H49" s="35">
        <f>'B-Billing Determinants'!N22</f>
        <v>155810.24844478208</v>
      </c>
      <c r="I49" s="37">
        <f>SUM(C16:H16,C49:H49)</f>
        <v>1681172.7422026249</v>
      </c>
      <c r="J49" s="11" t="s">
        <v>246</v>
      </c>
      <c r="K49" s="11">
        <f t="shared" si="10"/>
        <v>35</v>
      </c>
    </row>
    <row r="50" spans="1:12" ht="20.25" thickTop="1" thickBot="1" x14ac:dyDescent="0.35">
      <c r="A50" s="11">
        <f t="shared" si="9"/>
        <v>36</v>
      </c>
      <c r="B50" s="14" t="s">
        <v>133</v>
      </c>
      <c r="C50" s="35">
        <f t="shared" ref="C50:I50" si="12">C48-C49</f>
        <v>0</v>
      </c>
      <c r="D50" s="35">
        <f t="shared" si="12"/>
        <v>0</v>
      </c>
      <c r="E50" s="35">
        <f t="shared" si="12"/>
        <v>0</v>
      </c>
      <c r="F50" s="35">
        <f t="shared" si="12"/>
        <v>0</v>
      </c>
      <c r="G50" s="35">
        <f t="shared" si="12"/>
        <v>0</v>
      </c>
      <c r="H50" s="35">
        <f t="shared" si="12"/>
        <v>0</v>
      </c>
      <c r="I50" s="35">
        <f t="shared" si="12"/>
        <v>0</v>
      </c>
      <c r="J50" s="36" t="s">
        <v>151</v>
      </c>
      <c r="K50" s="11">
        <f t="shared" si="10"/>
        <v>36</v>
      </c>
    </row>
    <row r="51" spans="1:12" ht="19.5" thickTop="1" x14ac:dyDescent="0.3">
      <c r="A51" s="11">
        <f t="shared" si="9"/>
        <v>37</v>
      </c>
      <c r="B51" s="11"/>
      <c r="C51" s="37"/>
      <c r="D51" s="37"/>
      <c r="E51" s="37"/>
      <c r="F51" s="37"/>
      <c r="G51" s="37"/>
      <c r="H51" s="37"/>
      <c r="I51" s="37"/>
      <c r="J51" s="36"/>
      <c r="K51" s="11">
        <f t="shared" si="10"/>
        <v>37</v>
      </c>
    </row>
    <row r="52" spans="1:12" x14ac:dyDescent="0.3">
      <c r="A52" s="11">
        <f t="shared" si="9"/>
        <v>38</v>
      </c>
      <c r="B52" s="38" t="s">
        <v>214</v>
      </c>
      <c r="C52" s="37"/>
      <c r="D52" s="37"/>
      <c r="E52" s="37"/>
      <c r="F52" s="37"/>
      <c r="G52" s="37"/>
      <c r="H52" s="37"/>
      <c r="I52" s="37"/>
      <c r="J52" s="36"/>
      <c r="K52" s="11">
        <f t="shared" si="10"/>
        <v>38</v>
      </c>
    </row>
    <row r="53" spans="1:12" x14ac:dyDescent="0.3">
      <c r="A53" s="11">
        <f t="shared" si="9"/>
        <v>39</v>
      </c>
      <c r="B53" s="38" t="s">
        <v>215</v>
      </c>
      <c r="C53" s="14"/>
      <c r="D53" s="14"/>
      <c r="E53" s="14"/>
      <c r="F53" s="14"/>
      <c r="G53" s="14"/>
      <c r="H53" s="14"/>
      <c r="I53" s="14"/>
      <c r="J53" s="11"/>
      <c r="K53" s="11">
        <f t="shared" si="10"/>
        <v>39</v>
      </c>
    </row>
    <row r="54" spans="1:12" x14ac:dyDescent="0.3">
      <c r="A54" s="11">
        <f t="shared" si="9"/>
        <v>40</v>
      </c>
      <c r="B54" s="14" t="s">
        <v>123</v>
      </c>
      <c r="C54" s="51">
        <f>H21</f>
        <v>0</v>
      </c>
      <c r="D54" s="51">
        <f t="shared" ref="D54:F56" si="13">C54</f>
        <v>0</v>
      </c>
      <c r="E54" s="51">
        <f t="shared" si="13"/>
        <v>0</v>
      </c>
      <c r="F54" s="51">
        <f>E54</f>
        <v>0</v>
      </c>
      <c r="G54" s="51">
        <f t="shared" ref="G54:H56" si="14">C21</f>
        <v>0</v>
      </c>
      <c r="H54" s="51">
        <f t="shared" si="14"/>
        <v>0</v>
      </c>
      <c r="I54" s="14"/>
      <c r="J54" s="11" t="str">
        <f>J21</f>
        <v>Statement BL, Page BL-1, Lines 23 &amp; 24, Col. D</v>
      </c>
      <c r="K54" s="11">
        <f t="shared" si="10"/>
        <v>40</v>
      </c>
    </row>
    <row r="55" spans="1:12" x14ac:dyDescent="0.3">
      <c r="A55" s="11">
        <f t="shared" si="9"/>
        <v>41</v>
      </c>
      <c r="B55" s="14" t="s">
        <v>138</v>
      </c>
      <c r="C55" s="51">
        <f>H22</f>
        <v>5.35</v>
      </c>
      <c r="D55" s="51">
        <f t="shared" si="13"/>
        <v>5.35</v>
      </c>
      <c r="E55" s="51">
        <f t="shared" si="13"/>
        <v>5.35</v>
      </c>
      <c r="F55" s="51">
        <f t="shared" si="13"/>
        <v>5.35</v>
      </c>
      <c r="G55" s="51">
        <f t="shared" si="14"/>
        <v>1.03</v>
      </c>
      <c r="H55" s="51">
        <f t="shared" si="14"/>
        <v>1.03</v>
      </c>
      <c r="I55" s="14"/>
      <c r="J55" s="11" t="str">
        <f>J22</f>
        <v>Statement BL, Page BL-1, Lines 23 &amp; 24, Col. C</v>
      </c>
      <c r="K55" s="11">
        <f t="shared" si="10"/>
        <v>41</v>
      </c>
    </row>
    <row r="56" spans="1:12" x14ac:dyDescent="0.3">
      <c r="A56" s="11">
        <f t="shared" si="9"/>
        <v>42</v>
      </c>
      <c r="B56" s="14" t="s">
        <v>127</v>
      </c>
      <c r="C56" s="51">
        <f>H23</f>
        <v>5.33</v>
      </c>
      <c r="D56" s="51">
        <f t="shared" si="13"/>
        <v>5.33</v>
      </c>
      <c r="E56" s="51">
        <f t="shared" si="13"/>
        <v>5.33</v>
      </c>
      <c r="F56" s="51">
        <f t="shared" si="13"/>
        <v>5.33</v>
      </c>
      <c r="G56" s="51">
        <f t="shared" si="14"/>
        <v>1.02</v>
      </c>
      <c r="H56" s="51">
        <f t="shared" si="14"/>
        <v>1.02</v>
      </c>
      <c r="I56" s="14"/>
      <c r="J56" s="11" t="str">
        <f>J23</f>
        <v>Statement BL, Page BL-1, Lines 23 &amp; 24, Col. B</v>
      </c>
      <c r="K56" s="11">
        <f t="shared" si="10"/>
        <v>42</v>
      </c>
    </row>
    <row r="57" spans="1:12" x14ac:dyDescent="0.3">
      <c r="A57" s="11">
        <f t="shared" si="9"/>
        <v>43</v>
      </c>
      <c r="B57" s="38" t="s">
        <v>219</v>
      </c>
      <c r="C57" s="51"/>
      <c r="D57" s="51"/>
      <c r="E57" s="51"/>
      <c r="F57" s="51"/>
      <c r="G57" s="51"/>
      <c r="H57" s="51"/>
      <c r="I57" s="14"/>
      <c r="J57" s="61"/>
      <c r="K57" s="11">
        <f t="shared" si="10"/>
        <v>43</v>
      </c>
    </row>
    <row r="58" spans="1:12" x14ac:dyDescent="0.3">
      <c r="A58" s="11">
        <f t="shared" si="9"/>
        <v>44</v>
      </c>
      <c r="B58" s="38" t="s">
        <v>220</v>
      </c>
      <c r="C58" s="37"/>
      <c r="D58" s="37"/>
      <c r="E58" s="37"/>
      <c r="F58" s="37"/>
      <c r="G58" s="37"/>
      <c r="H58" s="37"/>
      <c r="I58" s="37"/>
      <c r="J58" s="52"/>
      <c r="K58" s="11">
        <f t="shared" si="10"/>
        <v>44</v>
      </c>
    </row>
    <row r="59" spans="1:12" x14ac:dyDescent="0.3">
      <c r="A59" s="11">
        <f t="shared" si="9"/>
        <v>45</v>
      </c>
      <c r="B59" s="14" t="s">
        <v>123</v>
      </c>
      <c r="C59" s="53">
        <f t="shared" ref="C59:H61" si="15">C54*C45</f>
        <v>0</v>
      </c>
      <c r="D59" s="53">
        <f t="shared" si="15"/>
        <v>0</v>
      </c>
      <c r="E59" s="53">
        <f t="shared" si="15"/>
        <v>0</v>
      </c>
      <c r="F59" s="53">
        <f t="shared" si="15"/>
        <v>0</v>
      </c>
      <c r="G59" s="53">
        <f>G54*G45</f>
        <v>0</v>
      </c>
      <c r="H59" s="53">
        <f t="shared" si="15"/>
        <v>0</v>
      </c>
      <c r="I59" s="53">
        <f>SUM(C26:H26,C59:H59)</f>
        <v>0</v>
      </c>
      <c r="J59" s="52" t="s">
        <v>152</v>
      </c>
      <c r="K59" s="11">
        <f t="shared" si="10"/>
        <v>45</v>
      </c>
    </row>
    <row r="60" spans="1:12" x14ac:dyDescent="0.3">
      <c r="A60" s="11">
        <f t="shared" si="9"/>
        <v>46</v>
      </c>
      <c r="B60" s="14" t="s">
        <v>125</v>
      </c>
      <c r="C60" s="37">
        <f>C55*C46</f>
        <v>268874.18299024593</v>
      </c>
      <c r="D60" s="37">
        <f t="shared" si="15"/>
        <v>267796.46663358808</v>
      </c>
      <c r="E60" s="37">
        <f t="shared" si="15"/>
        <v>269367.82642549259</v>
      </c>
      <c r="F60" s="37">
        <f t="shared" si="15"/>
        <v>254071.04537309502</v>
      </c>
      <c r="G60" s="37">
        <f t="shared" si="15"/>
        <v>43464.6762881955</v>
      </c>
      <c r="H60" s="37">
        <f t="shared" si="15"/>
        <v>50206.180911913223</v>
      </c>
      <c r="I60" s="53">
        <f>SUM(C27:H27,C60:H60)</f>
        <v>1604119.1801410702</v>
      </c>
      <c r="J60" s="52" t="s">
        <v>153</v>
      </c>
      <c r="K60" s="11">
        <f t="shared" si="10"/>
        <v>46</v>
      </c>
    </row>
    <row r="61" spans="1:12" x14ac:dyDescent="0.3">
      <c r="A61" s="11">
        <f t="shared" si="9"/>
        <v>47</v>
      </c>
      <c r="B61" s="14" t="s">
        <v>127</v>
      </c>
      <c r="C61" s="37">
        <f t="shared" si="15"/>
        <v>537847.35833083838</v>
      </c>
      <c r="D61" s="37">
        <f t="shared" si="15"/>
        <v>535691.52883091429</v>
      </c>
      <c r="E61" s="37">
        <f t="shared" si="15"/>
        <v>538834.82694776542</v>
      </c>
      <c r="F61" s="37">
        <f t="shared" si="15"/>
        <v>508235.63297347567</v>
      </c>
      <c r="G61" s="37">
        <f t="shared" si="15"/>
        <v>94543.694165827503</v>
      </c>
      <c r="H61" s="37">
        <f t="shared" si="15"/>
        <v>109207.71115139475</v>
      </c>
      <c r="I61" s="53">
        <f>SUM(C28:H28,C61:H61)</f>
        <v>3262439.8706775117</v>
      </c>
      <c r="J61" s="52" t="s">
        <v>154</v>
      </c>
      <c r="K61" s="11">
        <f t="shared" si="10"/>
        <v>47</v>
      </c>
    </row>
    <row r="62" spans="1:12" ht="19.5" thickBot="1" x14ac:dyDescent="0.35">
      <c r="A62" s="11">
        <f t="shared" si="9"/>
        <v>48</v>
      </c>
      <c r="B62" s="14" t="s">
        <v>129</v>
      </c>
      <c r="C62" s="54">
        <f t="shared" ref="C62:I62" si="16">SUM(C59:C61)</f>
        <v>806721.54132108437</v>
      </c>
      <c r="D62" s="54">
        <f t="shared" si="16"/>
        <v>803487.99546450237</v>
      </c>
      <c r="E62" s="54">
        <f t="shared" si="16"/>
        <v>808202.65337325796</v>
      </c>
      <c r="F62" s="54">
        <f t="shared" si="16"/>
        <v>762306.6783465707</v>
      </c>
      <c r="G62" s="54">
        <f t="shared" si="16"/>
        <v>138008.37045402301</v>
      </c>
      <c r="H62" s="54">
        <f t="shared" si="16"/>
        <v>159413.89206330798</v>
      </c>
      <c r="I62" s="54">
        <f t="shared" si="16"/>
        <v>4866559.0508185821</v>
      </c>
      <c r="J62" s="50" t="s">
        <v>156</v>
      </c>
      <c r="K62" s="11">
        <f t="shared" si="10"/>
        <v>48</v>
      </c>
    </row>
    <row r="63" spans="1:12" ht="19.5" thickTop="1" x14ac:dyDescent="0.3">
      <c r="A63" s="11">
        <f t="shared" si="9"/>
        <v>49</v>
      </c>
      <c r="B63" s="14"/>
      <c r="C63" s="14"/>
      <c r="D63" s="14"/>
      <c r="E63" s="14"/>
      <c r="F63" s="14"/>
      <c r="G63" s="14"/>
      <c r="H63" s="14"/>
      <c r="I63" s="14"/>
      <c r="J63" s="11"/>
      <c r="K63" s="11">
        <f t="shared" si="10"/>
        <v>49</v>
      </c>
    </row>
    <row r="64" spans="1:12" x14ac:dyDescent="0.3">
      <c r="A64" s="11">
        <f t="shared" si="9"/>
        <v>50</v>
      </c>
      <c r="B64" s="32" t="s">
        <v>142</v>
      </c>
      <c r="C64" s="14"/>
      <c r="D64" s="14"/>
      <c r="E64" s="14"/>
      <c r="F64" s="14"/>
      <c r="G64" s="14"/>
      <c r="H64" s="14"/>
      <c r="I64" s="14"/>
      <c r="J64" s="11"/>
      <c r="K64" s="11">
        <f t="shared" si="10"/>
        <v>50</v>
      </c>
      <c r="L64" s="391"/>
    </row>
    <row r="65" spans="1:13" ht="37.5" x14ac:dyDescent="0.3">
      <c r="A65" s="11">
        <f t="shared" si="9"/>
        <v>51</v>
      </c>
      <c r="B65" s="14" t="s">
        <v>123</v>
      </c>
      <c r="C65" s="53">
        <f>ROUND(SUM(C59,'C-Med &amp; Lrg C-I'!C51,'B-Med &amp; Lrg C-I'!C51,'A-Med &amp; Lrg C-I'!C59),0)</f>
        <v>34308879</v>
      </c>
      <c r="D65" s="53">
        <f>ROUND(SUM(D59,'C-Med &amp; Lrg C-I'!D51,'B-Med &amp; Lrg C-I'!D51,'A-Med &amp; Lrg C-I'!D59),0)</f>
        <v>35666318</v>
      </c>
      <c r="E65" s="53">
        <f>ROUND(SUM(E59,'C-Med &amp; Lrg C-I'!E51,'B-Med &amp; Lrg C-I'!E51,'A-Med &amp; Lrg C-I'!E59),0)</f>
        <v>37246105</v>
      </c>
      <c r="F65" s="53">
        <f>ROUND(SUM(F59,'C-Med &amp; Lrg C-I'!F51,'B-Med &amp; Lrg C-I'!F51,'A-Med &amp; Lrg C-I'!F59),0)</f>
        <v>34096861</v>
      </c>
      <c r="G65" s="53">
        <f>ROUND(SUM(G59,'C-Med &amp; Lrg C-I'!G51,'B-Med &amp; Lrg C-I'!G51,'A-Med &amp; Lrg C-I'!G59),0)</f>
        <v>27133321</v>
      </c>
      <c r="H65" s="53">
        <f>ROUND(SUM(H59,'C-Med &amp; Lrg C-I'!H51,'B-Med &amp; Lrg C-I'!H51,'A-Med &amp; Lrg C-I'!H59),0)</f>
        <v>28042521</v>
      </c>
      <c r="I65" s="53">
        <f>ROUND(SUM(I59,'C-Med &amp; Lrg C-I'!I51,'B-Med &amp; Lrg C-I'!I51,'A-Med &amp; Lrg C-I'!I59),0)</f>
        <v>355828970</v>
      </c>
      <c r="J65" s="99" t="s">
        <v>444</v>
      </c>
      <c r="K65" s="11">
        <f t="shared" si="10"/>
        <v>51</v>
      </c>
      <c r="M65" s="413"/>
    </row>
    <row r="66" spans="1:13" ht="37.5" x14ac:dyDescent="0.3">
      <c r="A66" s="11">
        <f t="shared" si="9"/>
        <v>52</v>
      </c>
      <c r="B66" s="14" t="s">
        <v>125</v>
      </c>
      <c r="C66" s="53">
        <f>ROUND(SUM(C60,'C-Med &amp; Lrg C-I'!C52,'B-Med &amp; Lrg C-I'!C52,'A-Med &amp; Lrg C-I'!C60),0)</f>
        <v>10308161</v>
      </c>
      <c r="D66" s="53">
        <f>ROUND(SUM(D60,'C-Med &amp; Lrg C-I'!D52,'B-Med &amp; Lrg C-I'!D52,'A-Med &amp; Lrg C-I'!D60),0)</f>
        <v>10642459</v>
      </c>
      <c r="E66" s="53">
        <f>ROUND(SUM(E60,'C-Med &amp; Lrg C-I'!E52,'B-Med &amp; Lrg C-I'!E52,'A-Med &amp; Lrg C-I'!E60),0)</f>
        <v>11049254</v>
      </c>
      <c r="F66" s="53">
        <f>ROUND(SUM(F60,'C-Med &amp; Lrg C-I'!F52,'B-Med &amp; Lrg C-I'!F52,'A-Med &amp; Lrg C-I'!F60),0)</f>
        <v>10161963</v>
      </c>
      <c r="G66" s="53">
        <f>ROUND(SUM(G60,'C-Med &amp; Lrg C-I'!G52,'B-Med &amp; Lrg C-I'!G52,'A-Med &amp; Lrg C-I'!G60),0)</f>
        <v>8042225</v>
      </c>
      <c r="H66" s="53">
        <f>ROUND(SUM(H60,'C-Med &amp; Lrg C-I'!H52,'B-Med &amp; Lrg C-I'!H52,'A-Med &amp; Lrg C-I'!H60),0)</f>
        <v>8475627</v>
      </c>
      <c r="I66" s="53">
        <f>ROUND(SUM(I60,'C-Med &amp; Lrg C-I'!I52,'B-Med &amp; Lrg C-I'!I52,'A-Med &amp; Lrg C-I'!I60),0)</f>
        <v>106226049</v>
      </c>
      <c r="J66" s="99" t="s">
        <v>445</v>
      </c>
      <c r="K66" s="11">
        <f t="shared" si="10"/>
        <v>52</v>
      </c>
      <c r="M66" s="413"/>
    </row>
    <row r="67" spans="1:13" ht="37.5" x14ac:dyDescent="0.3">
      <c r="A67" s="11">
        <f t="shared" si="9"/>
        <v>53</v>
      </c>
      <c r="B67" s="14" t="s">
        <v>127</v>
      </c>
      <c r="C67" s="53">
        <f>ROUND(SUM(C61,'C-Med &amp; Lrg C-I'!C53,'B-Med &amp; Lrg C-I'!C53,'A-Med &amp; Lrg C-I'!C61),0)</f>
        <v>3646413</v>
      </c>
      <c r="D67" s="53">
        <f>ROUND(SUM(D61,'C-Med &amp; Lrg C-I'!D53,'B-Med &amp; Lrg C-I'!D53,'A-Med &amp; Lrg C-I'!D61),0)</f>
        <v>3658799</v>
      </c>
      <c r="E67" s="53">
        <f>ROUND(SUM(E61,'C-Med &amp; Lrg C-I'!E53,'B-Med &amp; Lrg C-I'!E53,'A-Med &amp; Lrg C-I'!E61),0)</f>
        <v>3705022</v>
      </c>
      <c r="F67" s="53">
        <f>ROUND(SUM(F61,'C-Med &amp; Lrg C-I'!F53,'B-Med &amp; Lrg C-I'!F53,'A-Med &amp; Lrg C-I'!F61),0)</f>
        <v>3475944</v>
      </c>
      <c r="G67" s="53">
        <f>ROUND(SUM(G61,'C-Med &amp; Lrg C-I'!G53,'B-Med &amp; Lrg C-I'!G53,'A-Med &amp; Lrg C-I'!G61),0)</f>
        <v>2750130</v>
      </c>
      <c r="H67" s="53">
        <f>ROUND(SUM(H61,'C-Med &amp; Lrg C-I'!H53,'B-Med &amp; Lrg C-I'!H53,'A-Med &amp; Lrg C-I'!H61),0)</f>
        <v>3126379</v>
      </c>
      <c r="I67" s="53">
        <f>ROUND(SUM(I61,'C-Med &amp; Lrg C-I'!I53,'B-Med &amp; Lrg C-I'!I53,'A-Med &amp; Lrg C-I'!I61),0)</f>
        <v>37000351</v>
      </c>
      <c r="J67" s="99" t="s">
        <v>446</v>
      </c>
      <c r="K67" s="11">
        <f t="shared" si="10"/>
        <v>53</v>
      </c>
      <c r="M67" s="413"/>
    </row>
    <row r="68" spans="1:13" ht="19.5" thickBot="1" x14ac:dyDescent="0.35">
      <c r="A68" s="11">
        <f t="shared" si="9"/>
        <v>54</v>
      </c>
      <c r="B68" s="14" t="s">
        <v>221</v>
      </c>
      <c r="C68" s="54">
        <f t="shared" ref="C68:I68" si="17">SUM(C65:C67)</f>
        <v>48263453</v>
      </c>
      <c r="D68" s="54">
        <f t="shared" si="17"/>
        <v>49967576</v>
      </c>
      <c r="E68" s="54">
        <f t="shared" si="17"/>
        <v>52000381</v>
      </c>
      <c r="F68" s="54">
        <f t="shared" si="17"/>
        <v>47734768</v>
      </c>
      <c r="G68" s="54">
        <f t="shared" si="17"/>
        <v>37925676</v>
      </c>
      <c r="H68" s="54">
        <f t="shared" si="17"/>
        <v>39644527</v>
      </c>
      <c r="I68" s="54">
        <f t="shared" si="17"/>
        <v>499055370</v>
      </c>
      <c r="J68" s="55" t="s">
        <v>224</v>
      </c>
      <c r="K68" s="11">
        <f t="shared" si="10"/>
        <v>54</v>
      </c>
    </row>
    <row r="69" spans="1:13" ht="19.5" thickTop="1" x14ac:dyDescent="0.3">
      <c r="A69" s="11">
        <f t="shared" si="9"/>
        <v>55</v>
      </c>
      <c r="B69" s="14"/>
      <c r="C69" s="14"/>
      <c r="D69" s="14"/>
      <c r="E69" s="14"/>
      <c r="F69" s="14"/>
      <c r="G69" s="14"/>
      <c r="H69" s="14"/>
      <c r="I69" s="44"/>
      <c r="J69" s="11"/>
      <c r="K69" s="11">
        <f t="shared" si="10"/>
        <v>55</v>
      </c>
    </row>
    <row r="70" spans="1:13" ht="19.5" thickBot="1" x14ac:dyDescent="0.35">
      <c r="A70" s="11">
        <f t="shared" si="9"/>
        <v>56</v>
      </c>
      <c r="B70" s="38" t="s">
        <v>155</v>
      </c>
      <c r="C70" s="45">
        <f>C68+'A-Med &amp; Lrg C-I'!C42</f>
        <v>48263453</v>
      </c>
      <c r="D70" s="45">
        <f>D68+'A-Med &amp; Lrg C-I'!D42</f>
        <v>49967576</v>
      </c>
      <c r="E70" s="45">
        <f>E68+'A-Med &amp; Lrg C-I'!E42</f>
        <v>52000381</v>
      </c>
      <c r="F70" s="45">
        <f>F68+'A-Med &amp; Lrg C-I'!F42</f>
        <v>47734768</v>
      </c>
      <c r="G70" s="45">
        <f>G68+'A-Med &amp; Lrg C-I'!G42</f>
        <v>37925676</v>
      </c>
      <c r="H70" s="45">
        <f>H68+'A-Med &amp; Lrg C-I'!H42</f>
        <v>39644527</v>
      </c>
      <c r="I70" s="45">
        <f>I68+'A-Med &amp; Lrg C-I'!I42</f>
        <v>499055370</v>
      </c>
      <c r="J70" s="99" t="s">
        <v>225</v>
      </c>
      <c r="K70" s="11">
        <f t="shared" si="10"/>
        <v>56</v>
      </c>
    </row>
    <row r="71" spans="1:13" ht="19.5" thickTop="1" x14ac:dyDescent="0.3">
      <c r="A71" s="17"/>
      <c r="B71" s="24"/>
      <c r="C71" s="24"/>
      <c r="D71" s="24"/>
      <c r="E71" s="24"/>
      <c r="F71" s="24"/>
      <c r="G71" s="24"/>
      <c r="H71" s="24"/>
      <c r="I71" s="56"/>
      <c r="J71" s="17"/>
      <c r="K71" s="17"/>
    </row>
    <row r="72" spans="1:13" x14ac:dyDescent="0.3">
      <c r="B72" s="25" t="s">
        <v>46</v>
      </c>
    </row>
    <row r="73" spans="1:13" ht="22.5" x14ac:dyDescent="0.3">
      <c r="A73" s="77">
        <v>1</v>
      </c>
      <c r="B73" s="1" t="s">
        <v>247</v>
      </c>
    </row>
    <row r="74" spans="1:13" ht="22.5" x14ac:dyDescent="0.3">
      <c r="A74" s="77">
        <v>2</v>
      </c>
      <c r="B74" s="1" t="s">
        <v>227</v>
      </c>
    </row>
    <row r="75" spans="1:13" ht="22.5" x14ac:dyDescent="0.3">
      <c r="A75" s="77">
        <v>3</v>
      </c>
      <c r="B75" s="1" t="s">
        <v>157</v>
      </c>
    </row>
    <row r="76" spans="1:13" ht="22.5" x14ac:dyDescent="0.3">
      <c r="A76" s="77"/>
    </row>
    <row r="77" spans="1:13" ht="22.5" x14ac:dyDescent="0.3">
      <c r="A77" s="77"/>
    </row>
    <row r="78" spans="1:13" ht="22.5" x14ac:dyDescent="0.3">
      <c r="A78" s="77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2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91CD-24CA-4083-8263-001FD6997673}">
  <sheetPr>
    <pageSetUpPr fitToPage="1"/>
  </sheetPr>
  <dimension ref="A1:Q94"/>
  <sheetViews>
    <sheetView zoomScale="70" zoomScaleNormal="70" zoomScaleSheetLayoutView="70" workbookViewId="0">
      <selection activeCell="H42" sqref="H42"/>
    </sheetView>
  </sheetViews>
  <sheetFormatPr defaultColWidth="6" defaultRowHeight="18.75" x14ac:dyDescent="0.3"/>
  <cols>
    <col min="1" max="1" width="5.5703125" style="335" bestFit="1" customWidth="1"/>
    <col min="2" max="2" width="46.28515625" style="335" customWidth="1"/>
    <col min="3" max="3" width="19.140625" style="335" bestFit="1" customWidth="1"/>
    <col min="4" max="8" width="17.140625" style="335" bestFit="1" customWidth="1"/>
    <col min="9" max="9" width="20.5703125" style="335" bestFit="1" customWidth="1"/>
    <col min="10" max="10" width="54.28515625" style="335" bestFit="1" customWidth="1"/>
    <col min="11" max="11" width="5.5703125" style="335" bestFit="1" customWidth="1"/>
    <col min="12" max="15" width="6" style="335" customWidth="1"/>
    <col min="16" max="16384" width="6" style="335"/>
  </cols>
  <sheetData>
    <row r="1" spans="1:17" ht="18.75" customHeight="1" x14ac:dyDescent="0.3">
      <c r="A1" s="429" t="s">
        <v>0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340"/>
      <c r="M1" s="340"/>
      <c r="N1" s="340"/>
      <c r="O1" s="340"/>
      <c r="P1" s="340"/>
      <c r="Q1" s="340"/>
    </row>
    <row r="2" spans="1:17" ht="18.75" customHeight="1" x14ac:dyDescent="0.3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340"/>
      <c r="M2" s="340"/>
      <c r="N2" s="340"/>
      <c r="O2" s="340"/>
      <c r="P2" s="340"/>
      <c r="Q2" s="340"/>
    </row>
    <row r="3" spans="1:17" ht="18.75" customHeight="1" x14ac:dyDescent="0.3">
      <c r="A3" s="429" t="s">
        <v>2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340"/>
      <c r="M3" s="340"/>
      <c r="N3" s="340"/>
      <c r="O3" s="340"/>
      <c r="P3" s="340"/>
      <c r="Q3" s="340"/>
    </row>
    <row r="4" spans="1:17" ht="18.75" customHeight="1" x14ac:dyDescent="0.3">
      <c r="A4" s="429" t="s">
        <v>248</v>
      </c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340"/>
      <c r="M4" s="340"/>
      <c r="N4" s="340"/>
      <c r="O4" s="340"/>
      <c r="P4" s="340"/>
      <c r="Q4" s="340"/>
    </row>
    <row r="5" spans="1:17" ht="18.75" customHeight="1" x14ac:dyDescent="0.3">
      <c r="A5" s="430" t="s">
        <v>461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340"/>
      <c r="M5" s="340"/>
      <c r="N5" s="340"/>
      <c r="O5" s="340"/>
      <c r="P5" s="340"/>
      <c r="Q5" s="340"/>
    </row>
    <row r="6" spans="1:17" x14ac:dyDescent="0.3">
      <c r="A6" s="342"/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</row>
    <row r="7" spans="1:17" x14ac:dyDescent="0.3">
      <c r="A7" s="345" t="s">
        <v>8</v>
      </c>
      <c r="B7" s="336"/>
      <c r="C7" s="345" t="s">
        <v>4</v>
      </c>
      <c r="D7" s="345" t="s">
        <v>5</v>
      </c>
      <c r="E7" s="345" t="s">
        <v>48</v>
      </c>
      <c r="F7" s="345" t="s">
        <v>49</v>
      </c>
      <c r="G7" s="345" t="s">
        <v>50</v>
      </c>
      <c r="H7" s="345" t="s">
        <v>51</v>
      </c>
      <c r="I7" s="345" t="s">
        <v>52</v>
      </c>
      <c r="J7" s="346"/>
      <c r="K7" s="345" t="s">
        <v>8</v>
      </c>
    </row>
    <row r="8" spans="1:17" ht="22.5" x14ac:dyDescent="0.3">
      <c r="A8" s="334" t="s">
        <v>10</v>
      </c>
      <c r="B8" s="334" t="s">
        <v>114</v>
      </c>
      <c r="C8" s="347">
        <v>46023</v>
      </c>
      <c r="D8" s="347">
        <v>46054</v>
      </c>
      <c r="E8" s="347">
        <v>46082</v>
      </c>
      <c r="F8" s="347">
        <v>46113</v>
      </c>
      <c r="G8" s="347">
        <v>46143</v>
      </c>
      <c r="H8" s="348">
        <v>46174</v>
      </c>
      <c r="I8" s="349"/>
      <c r="J8" s="337" t="s">
        <v>440</v>
      </c>
      <c r="K8" s="334" t="s">
        <v>10</v>
      </c>
    </row>
    <row r="9" spans="1:17" x14ac:dyDescent="0.3">
      <c r="A9" s="331"/>
      <c r="B9" s="350"/>
      <c r="C9" s="351"/>
      <c r="D9" s="351"/>
      <c r="E9" s="351"/>
      <c r="F9" s="351"/>
      <c r="G9" s="351"/>
      <c r="H9" s="351"/>
      <c r="I9" s="336"/>
      <c r="J9" s="345"/>
      <c r="K9" s="331"/>
    </row>
    <row r="10" spans="1:17" x14ac:dyDescent="0.3">
      <c r="A10" s="331">
        <v>1</v>
      </c>
      <c r="B10" s="352" t="s">
        <v>116</v>
      </c>
      <c r="C10" s="350"/>
      <c r="D10" s="350"/>
      <c r="E10" s="350"/>
      <c r="F10" s="350"/>
      <c r="G10" s="350"/>
      <c r="H10" s="350"/>
      <c r="I10" s="350"/>
      <c r="J10" s="331"/>
      <c r="K10" s="331">
        <v>1</v>
      </c>
    </row>
    <row r="11" spans="1:17" x14ac:dyDescent="0.3">
      <c r="A11" s="331">
        <f t="shared" ref="A11:A37" si="0">A10+1</f>
        <v>2</v>
      </c>
      <c r="B11" s="350" t="s">
        <v>117</v>
      </c>
      <c r="C11" s="353">
        <f>'Workpaper 1'!C162*1000</f>
        <v>216720</v>
      </c>
      <c r="D11" s="353">
        <f>'Workpaper 1'!D162*1000</f>
        <v>453590</v>
      </c>
      <c r="E11" s="353">
        <f>'Workpaper 1'!E162*1000</f>
        <v>352390</v>
      </c>
      <c r="F11" s="353">
        <f>'Workpaper 1'!F162*1000</f>
        <v>1098010</v>
      </c>
      <c r="G11" s="353">
        <f>'Workpaper 1'!G162*1000</f>
        <v>195560</v>
      </c>
      <c r="H11" s="353">
        <f>'Workpaper 1'!H162*1000</f>
        <v>0</v>
      </c>
      <c r="I11" s="350"/>
      <c r="J11" s="354" t="s">
        <v>250</v>
      </c>
      <c r="K11" s="331">
        <f t="shared" ref="K11:K37" si="1">K10+1</f>
        <v>2</v>
      </c>
    </row>
    <row r="12" spans="1:17" x14ac:dyDescent="0.3">
      <c r="A12" s="331">
        <f t="shared" si="0"/>
        <v>3</v>
      </c>
      <c r="B12" s="350" t="s">
        <v>119</v>
      </c>
      <c r="C12" s="349">
        <v>0</v>
      </c>
      <c r="D12" s="349">
        <f>C12</f>
        <v>0</v>
      </c>
      <c r="E12" s="349">
        <f>D12</f>
        <v>0</v>
      </c>
      <c r="F12" s="349">
        <f>E12</f>
        <v>0</v>
      </c>
      <c r="G12" s="349">
        <f>F12</f>
        <v>0</v>
      </c>
      <c r="H12" s="349">
        <f>G12</f>
        <v>0</v>
      </c>
      <c r="I12" s="350"/>
      <c r="J12" s="354"/>
      <c r="K12" s="331">
        <f t="shared" si="1"/>
        <v>3</v>
      </c>
    </row>
    <row r="13" spans="1:17" ht="19.5" thickBot="1" x14ac:dyDescent="0.35">
      <c r="A13" s="331">
        <f t="shared" si="0"/>
        <v>4</v>
      </c>
      <c r="B13" s="350" t="s">
        <v>120</v>
      </c>
      <c r="C13" s="355">
        <f t="shared" ref="C13:H13" si="2">C11*C12</f>
        <v>0</v>
      </c>
      <c r="D13" s="355">
        <f t="shared" si="2"/>
        <v>0</v>
      </c>
      <c r="E13" s="355">
        <f t="shared" si="2"/>
        <v>0</v>
      </c>
      <c r="F13" s="355">
        <f t="shared" si="2"/>
        <v>0</v>
      </c>
      <c r="G13" s="355">
        <f t="shared" si="2"/>
        <v>0</v>
      </c>
      <c r="H13" s="355">
        <f t="shared" si="2"/>
        <v>0</v>
      </c>
      <c r="I13" s="350"/>
      <c r="J13" s="354" t="s">
        <v>121</v>
      </c>
      <c r="K13" s="331">
        <f t="shared" si="1"/>
        <v>4</v>
      </c>
    </row>
    <row r="14" spans="1:17" ht="19.5" thickTop="1" x14ac:dyDescent="0.3">
      <c r="A14" s="331">
        <f t="shared" si="0"/>
        <v>5</v>
      </c>
      <c r="B14" s="350"/>
      <c r="C14" s="350"/>
      <c r="D14" s="350"/>
      <c r="E14" s="350"/>
      <c r="F14" s="350"/>
      <c r="G14" s="350"/>
      <c r="H14" s="350"/>
      <c r="I14" s="350"/>
      <c r="J14" s="50"/>
      <c r="K14" s="331">
        <f t="shared" si="1"/>
        <v>5</v>
      </c>
    </row>
    <row r="15" spans="1:17" x14ac:dyDescent="0.3">
      <c r="A15" s="331">
        <f t="shared" si="0"/>
        <v>6</v>
      </c>
      <c r="B15" s="356" t="s">
        <v>251</v>
      </c>
      <c r="C15" s="350"/>
      <c r="D15" s="350"/>
      <c r="E15" s="350"/>
      <c r="F15" s="350"/>
      <c r="G15" s="350"/>
      <c r="H15" s="350"/>
      <c r="I15" s="350"/>
      <c r="J15" s="354"/>
      <c r="K15" s="331">
        <f t="shared" si="1"/>
        <v>6</v>
      </c>
    </row>
    <row r="16" spans="1:17" x14ac:dyDescent="0.3">
      <c r="A16" s="331">
        <f t="shared" si="0"/>
        <v>7</v>
      </c>
      <c r="B16" s="350" t="s">
        <v>125</v>
      </c>
      <c r="C16" s="353">
        <f>'Workpaper 1'!C164*1000</f>
        <v>11900</v>
      </c>
      <c r="D16" s="353">
        <f>'Workpaper 1'!D164*1000</f>
        <v>16000</v>
      </c>
      <c r="E16" s="353">
        <f>'Workpaper 1'!E164*1000</f>
        <v>15700</v>
      </c>
      <c r="F16" s="353">
        <f>'Workpaper 1'!F164*1000</f>
        <v>15800</v>
      </c>
      <c r="G16" s="353">
        <f>'Workpaper 1'!G164*1000</f>
        <v>8700</v>
      </c>
      <c r="H16" s="353">
        <f>'Workpaper 1'!H164*1000</f>
        <v>8800</v>
      </c>
      <c r="I16" s="350"/>
      <c r="J16" s="354" t="s">
        <v>252</v>
      </c>
      <c r="K16" s="331">
        <f t="shared" si="1"/>
        <v>7</v>
      </c>
    </row>
    <row r="17" spans="1:11" x14ac:dyDescent="0.3">
      <c r="A17" s="331">
        <f t="shared" si="0"/>
        <v>8</v>
      </c>
      <c r="B17" s="350"/>
      <c r="C17" s="357"/>
      <c r="D17" s="357"/>
      <c r="E17" s="357"/>
      <c r="F17" s="357"/>
      <c r="G17" s="357"/>
      <c r="H17" s="357"/>
      <c r="I17" s="350"/>
      <c r="J17" s="333"/>
      <c r="K17" s="331">
        <f t="shared" si="1"/>
        <v>8</v>
      </c>
    </row>
    <row r="18" spans="1:11" x14ac:dyDescent="0.3">
      <c r="A18" s="331">
        <f t="shared" si="0"/>
        <v>9</v>
      </c>
      <c r="B18" s="352" t="s">
        <v>167</v>
      </c>
      <c r="C18" s="357"/>
      <c r="D18" s="357"/>
      <c r="E18" s="357"/>
      <c r="F18" s="357"/>
      <c r="G18" s="357"/>
      <c r="H18" s="357"/>
      <c r="I18" s="350"/>
      <c r="J18" s="333"/>
      <c r="K18" s="331">
        <f t="shared" si="1"/>
        <v>9</v>
      </c>
    </row>
    <row r="19" spans="1:11" x14ac:dyDescent="0.3">
      <c r="A19" s="331">
        <f t="shared" si="0"/>
        <v>10</v>
      </c>
      <c r="B19" s="352" t="s">
        <v>136</v>
      </c>
      <c r="C19" s="350"/>
      <c r="D19" s="350"/>
      <c r="E19" s="350"/>
      <c r="F19" s="350"/>
      <c r="G19" s="350"/>
      <c r="H19" s="350"/>
      <c r="I19" s="350"/>
      <c r="J19" s="331"/>
      <c r="K19" s="331">
        <f t="shared" si="1"/>
        <v>10</v>
      </c>
    </row>
    <row r="20" spans="1:11" x14ac:dyDescent="0.3">
      <c r="A20" s="331">
        <f t="shared" si="0"/>
        <v>11</v>
      </c>
      <c r="B20" s="350" t="s">
        <v>138</v>
      </c>
      <c r="C20" s="358">
        <f>'[2]Transmission Rates Summary'!$E$42</f>
        <v>1.1299999999999999</v>
      </c>
      <c r="D20" s="358">
        <f t="shared" ref="D20:H20" si="3">C20</f>
        <v>1.1299999999999999</v>
      </c>
      <c r="E20" s="358">
        <f t="shared" si="3"/>
        <v>1.1299999999999999</v>
      </c>
      <c r="F20" s="358">
        <f t="shared" si="3"/>
        <v>1.1299999999999999</v>
      </c>
      <c r="G20" s="358">
        <f t="shared" si="3"/>
        <v>1.1299999999999999</v>
      </c>
      <c r="H20" s="358">
        <f t="shared" si="3"/>
        <v>1.1299999999999999</v>
      </c>
      <c r="I20" s="350"/>
      <c r="J20" s="354" t="s">
        <v>253</v>
      </c>
      <c r="K20" s="331">
        <f t="shared" si="1"/>
        <v>11</v>
      </c>
    </row>
    <row r="21" spans="1:11" x14ac:dyDescent="0.3">
      <c r="A21" s="331">
        <f t="shared" si="0"/>
        <v>12</v>
      </c>
      <c r="B21" s="352" t="s">
        <v>171</v>
      </c>
      <c r="C21" s="358"/>
      <c r="D21" s="359"/>
      <c r="E21" s="359"/>
      <c r="F21" s="359"/>
      <c r="G21" s="359"/>
      <c r="H21" s="359"/>
      <c r="I21" s="350"/>
      <c r="J21" s="331"/>
      <c r="K21" s="331">
        <f t="shared" si="1"/>
        <v>12</v>
      </c>
    </row>
    <row r="22" spans="1:11" x14ac:dyDescent="0.3">
      <c r="A22" s="331">
        <f t="shared" si="0"/>
        <v>13</v>
      </c>
      <c r="B22" s="352" t="s">
        <v>142</v>
      </c>
      <c r="C22" s="357"/>
      <c r="D22" s="357"/>
      <c r="E22" s="357"/>
      <c r="F22" s="357"/>
      <c r="G22" s="357"/>
      <c r="H22" s="357"/>
      <c r="I22" s="350"/>
      <c r="J22" s="333"/>
      <c r="K22" s="331">
        <f t="shared" si="1"/>
        <v>13</v>
      </c>
    </row>
    <row r="23" spans="1:11" x14ac:dyDescent="0.3">
      <c r="A23" s="331">
        <f t="shared" si="0"/>
        <v>14</v>
      </c>
      <c r="B23" s="350" t="s">
        <v>125</v>
      </c>
      <c r="C23" s="40">
        <f>C16*C20</f>
        <v>13446.999999999998</v>
      </c>
      <c r="D23" s="40">
        <f>D20*D16</f>
        <v>18080</v>
      </c>
      <c r="E23" s="40">
        <f>E20*E16</f>
        <v>17741</v>
      </c>
      <c r="F23" s="40">
        <f>F20*F16</f>
        <v>17854</v>
      </c>
      <c r="G23" s="40">
        <f>G20*G16</f>
        <v>9830.9999999999982</v>
      </c>
      <c r="H23" s="40">
        <f>H20*H16</f>
        <v>9943.9999999999982</v>
      </c>
      <c r="I23" s="350"/>
      <c r="J23" s="360" t="s">
        <v>254</v>
      </c>
      <c r="K23" s="331">
        <f t="shared" si="1"/>
        <v>14</v>
      </c>
    </row>
    <row r="24" spans="1:11" x14ac:dyDescent="0.3">
      <c r="A24" s="331">
        <f t="shared" si="0"/>
        <v>15</v>
      </c>
      <c r="B24" s="350"/>
      <c r="C24" s="357"/>
      <c r="D24" s="357"/>
      <c r="E24" s="357"/>
      <c r="F24" s="357"/>
      <c r="G24" s="357"/>
      <c r="H24" s="357"/>
      <c r="I24" s="350"/>
      <c r="J24" s="333"/>
      <c r="K24" s="331">
        <f t="shared" si="1"/>
        <v>15</v>
      </c>
    </row>
    <row r="25" spans="1:11" x14ac:dyDescent="0.3">
      <c r="A25" s="331">
        <f t="shared" si="0"/>
        <v>16</v>
      </c>
      <c r="B25" s="361" t="s">
        <v>208</v>
      </c>
      <c r="C25" s="357"/>
      <c r="D25" s="357"/>
      <c r="E25" s="357"/>
      <c r="F25" s="357"/>
      <c r="G25" s="357"/>
      <c r="H25" s="357"/>
      <c r="I25" s="350"/>
      <c r="J25" s="333"/>
      <c r="K25" s="331">
        <f t="shared" si="1"/>
        <v>16</v>
      </c>
    </row>
    <row r="26" spans="1:11" ht="22.5" x14ac:dyDescent="0.3">
      <c r="A26" s="331">
        <f t="shared" si="0"/>
        <v>17</v>
      </c>
      <c r="B26" s="361" t="s">
        <v>209</v>
      </c>
      <c r="C26" s="357"/>
      <c r="D26" s="357"/>
      <c r="E26" s="357"/>
      <c r="F26" s="357"/>
      <c r="G26" s="357"/>
      <c r="H26" s="357"/>
      <c r="I26" s="350"/>
      <c r="J26" s="333"/>
      <c r="K26" s="331">
        <f t="shared" si="1"/>
        <v>17</v>
      </c>
    </row>
    <row r="27" spans="1:11" x14ac:dyDescent="0.3">
      <c r="A27" s="331">
        <f t="shared" si="0"/>
        <v>18</v>
      </c>
      <c r="B27" s="362" t="s">
        <v>125</v>
      </c>
      <c r="C27" s="357">
        <f>'Workpaper 1'!C166*1000</f>
        <v>0</v>
      </c>
      <c r="D27" s="357">
        <f>'Workpaper 1'!D166*1000</f>
        <v>0</v>
      </c>
      <c r="E27" s="357">
        <f>'Workpaper 1'!E166*1000</f>
        <v>0</v>
      </c>
      <c r="F27" s="357">
        <f>'Workpaper 1'!F166*1000</f>
        <v>0</v>
      </c>
      <c r="G27" s="357">
        <f>'Workpaper 1'!G166*1000</f>
        <v>0</v>
      </c>
      <c r="H27" s="357">
        <f>'Workpaper 1'!H166*1000</f>
        <v>0</v>
      </c>
      <c r="I27" s="350"/>
      <c r="J27" s="354" t="s">
        <v>255</v>
      </c>
      <c r="K27" s="331">
        <f t="shared" si="1"/>
        <v>18</v>
      </c>
    </row>
    <row r="28" spans="1:11" x14ac:dyDescent="0.3">
      <c r="A28" s="331">
        <f t="shared" si="0"/>
        <v>19</v>
      </c>
      <c r="B28" s="350"/>
      <c r="C28" s="357"/>
      <c r="D28" s="357"/>
      <c r="E28" s="357"/>
      <c r="F28" s="357"/>
      <c r="G28" s="357"/>
      <c r="H28" s="357"/>
      <c r="I28" s="350"/>
      <c r="J28" s="333"/>
      <c r="K28" s="331">
        <f t="shared" si="1"/>
        <v>19</v>
      </c>
    </row>
    <row r="29" spans="1:11" x14ac:dyDescent="0.3">
      <c r="A29" s="331">
        <f>A28+1</f>
        <v>20</v>
      </c>
      <c r="B29" s="363" t="s">
        <v>214</v>
      </c>
      <c r="C29" s="357"/>
      <c r="D29" s="357"/>
      <c r="E29" s="357"/>
      <c r="F29" s="357"/>
      <c r="G29" s="357"/>
      <c r="H29" s="357"/>
      <c r="I29" s="350"/>
      <c r="J29" s="333"/>
      <c r="K29" s="331">
        <f>K28+1</f>
        <v>20</v>
      </c>
    </row>
    <row r="30" spans="1:11" x14ac:dyDescent="0.3">
      <c r="A30" s="331">
        <f t="shared" si="0"/>
        <v>21</v>
      </c>
      <c r="B30" s="363" t="s">
        <v>215</v>
      </c>
      <c r="C30" s="357"/>
      <c r="D30" s="357"/>
      <c r="E30" s="357"/>
      <c r="F30" s="357"/>
      <c r="G30" s="357"/>
      <c r="H30" s="357"/>
      <c r="I30" s="350"/>
      <c r="J30" s="333"/>
      <c r="K30" s="331">
        <f t="shared" si="1"/>
        <v>21</v>
      </c>
    </row>
    <row r="31" spans="1:11" x14ac:dyDescent="0.3">
      <c r="A31" s="331">
        <f t="shared" si="0"/>
        <v>22</v>
      </c>
      <c r="B31" s="362" t="s">
        <v>125</v>
      </c>
      <c r="C31" s="51">
        <f>'[2]Transmission Rates Summary'!$E$45</f>
        <v>2.34</v>
      </c>
      <c r="D31" s="51">
        <f>C31</f>
        <v>2.34</v>
      </c>
      <c r="E31" s="51">
        <f t="shared" ref="E31:G31" si="4">D31</f>
        <v>2.34</v>
      </c>
      <c r="F31" s="51">
        <f t="shared" si="4"/>
        <v>2.34</v>
      </c>
      <c r="G31" s="51">
        <f t="shared" si="4"/>
        <v>2.34</v>
      </c>
      <c r="H31" s="51">
        <f>'[2]Transmission Rates Summary'!$E$44</f>
        <v>2.34</v>
      </c>
      <c r="I31" s="350"/>
      <c r="J31" s="354" t="s">
        <v>256</v>
      </c>
      <c r="K31" s="331">
        <f t="shared" si="1"/>
        <v>22</v>
      </c>
    </row>
    <row r="32" spans="1:11" x14ac:dyDescent="0.3">
      <c r="A32" s="331">
        <f t="shared" si="0"/>
        <v>23</v>
      </c>
      <c r="B32" s="362"/>
      <c r="C32" s="357"/>
      <c r="D32" s="357"/>
      <c r="E32" s="357"/>
      <c r="F32" s="357"/>
      <c r="G32" s="357"/>
      <c r="H32" s="357"/>
      <c r="I32" s="350"/>
      <c r="J32" s="333"/>
      <c r="K32" s="331">
        <f t="shared" si="1"/>
        <v>23</v>
      </c>
    </row>
    <row r="33" spans="1:17" x14ac:dyDescent="0.3">
      <c r="A33" s="331">
        <f t="shared" si="0"/>
        <v>24</v>
      </c>
      <c r="B33" s="363" t="s">
        <v>219</v>
      </c>
      <c r="C33" s="357"/>
      <c r="D33" s="357"/>
      <c r="E33" s="357"/>
      <c r="F33" s="357"/>
      <c r="G33" s="357"/>
      <c r="H33" s="357"/>
      <c r="I33" s="350"/>
      <c r="J33" s="333"/>
      <c r="K33" s="331">
        <f t="shared" si="1"/>
        <v>24</v>
      </c>
    </row>
    <row r="34" spans="1:17" x14ac:dyDescent="0.3">
      <c r="A34" s="331">
        <f t="shared" si="0"/>
        <v>25</v>
      </c>
      <c r="B34" s="363" t="s">
        <v>220</v>
      </c>
      <c r="C34" s="357"/>
      <c r="D34" s="357"/>
      <c r="E34" s="357"/>
      <c r="F34" s="357"/>
      <c r="G34" s="357"/>
      <c r="H34" s="357"/>
      <c r="I34" s="350"/>
      <c r="J34" s="333"/>
      <c r="K34" s="331">
        <f t="shared" si="1"/>
        <v>25</v>
      </c>
    </row>
    <row r="35" spans="1:17" x14ac:dyDescent="0.3">
      <c r="A35" s="331">
        <f t="shared" si="0"/>
        <v>26</v>
      </c>
      <c r="B35" s="362" t="s">
        <v>125</v>
      </c>
      <c r="C35" s="40">
        <f t="shared" ref="C35:H35" si="5">C27*C31</f>
        <v>0</v>
      </c>
      <c r="D35" s="40">
        <f t="shared" si="5"/>
        <v>0</v>
      </c>
      <c r="E35" s="40">
        <f t="shared" si="5"/>
        <v>0</v>
      </c>
      <c r="F35" s="40">
        <f t="shared" si="5"/>
        <v>0</v>
      </c>
      <c r="G35" s="40">
        <f t="shared" si="5"/>
        <v>0</v>
      </c>
      <c r="H35" s="40">
        <f t="shared" si="5"/>
        <v>0</v>
      </c>
      <c r="I35" s="350"/>
      <c r="J35" s="360" t="s">
        <v>257</v>
      </c>
      <c r="K35" s="331">
        <f t="shared" si="1"/>
        <v>26</v>
      </c>
    </row>
    <row r="36" spans="1:17" x14ac:dyDescent="0.3">
      <c r="A36" s="331">
        <f t="shared" si="0"/>
        <v>27</v>
      </c>
      <c r="B36" s="362"/>
      <c r="C36" s="357"/>
      <c r="D36" s="357"/>
      <c r="E36" s="357"/>
      <c r="F36" s="357"/>
      <c r="G36" s="357"/>
      <c r="H36" s="357"/>
      <c r="I36" s="350"/>
      <c r="J36" s="360"/>
      <c r="K36" s="331">
        <f t="shared" si="1"/>
        <v>27</v>
      </c>
    </row>
    <row r="37" spans="1:17" x14ac:dyDescent="0.3">
      <c r="A37" s="331">
        <f t="shared" si="0"/>
        <v>28</v>
      </c>
      <c r="B37" s="362" t="s">
        <v>258</v>
      </c>
      <c r="C37" s="40">
        <f t="shared" ref="C37:H37" si="6">C13+C23+C35</f>
        <v>13446.999999999998</v>
      </c>
      <c r="D37" s="40">
        <f t="shared" si="6"/>
        <v>18080</v>
      </c>
      <c r="E37" s="40">
        <f t="shared" si="6"/>
        <v>17741</v>
      </c>
      <c r="F37" s="40">
        <f t="shared" si="6"/>
        <v>17854</v>
      </c>
      <c r="G37" s="40">
        <f t="shared" si="6"/>
        <v>9830.9999999999982</v>
      </c>
      <c r="H37" s="40">
        <f t="shared" si="6"/>
        <v>9943.9999999999982</v>
      </c>
      <c r="I37" s="350"/>
      <c r="J37" s="360" t="s">
        <v>259</v>
      </c>
      <c r="K37" s="331">
        <f t="shared" si="1"/>
        <v>28</v>
      </c>
    </row>
    <row r="38" spans="1:17" x14ac:dyDescent="0.3">
      <c r="A38" s="334"/>
      <c r="B38" s="349"/>
      <c r="C38" s="349"/>
      <c r="D38" s="349"/>
      <c r="E38" s="349"/>
      <c r="F38" s="349"/>
      <c r="G38" s="349"/>
      <c r="H38" s="349"/>
      <c r="I38" s="349"/>
      <c r="J38" s="334"/>
      <c r="K38" s="334"/>
    </row>
    <row r="39" spans="1:17" x14ac:dyDescent="0.3">
      <c r="A39" s="342"/>
      <c r="O39" s="341"/>
      <c r="P39" s="342"/>
      <c r="Q39" s="342"/>
    </row>
    <row r="40" spans="1:17" x14ac:dyDescent="0.3">
      <c r="A40" s="345" t="s">
        <v>8</v>
      </c>
      <c r="B40" s="336"/>
      <c r="C40" s="345" t="str">
        <f t="shared" ref="C40:I40" si="7">C7</f>
        <v>(A)</v>
      </c>
      <c r="D40" s="345" t="str">
        <f t="shared" si="7"/>
        <v>(B)</v>
      </c>
      <c r="E40" s="345" t="str">
        <f t="shared" si="7"/>
        <v>(C)</v>
      </c>
      <c r="F40" s="345" t="str">
        <f t="shared" si="7"/>
        <v>(D)</v>
      </c>
      <c r="G40" s="345" t="str">
        <f t="shared" si="7"/>
        <v>(E)</v>
      </c>
      <c r="H40" s="345" t="str">
        <f t="shared" si="7"/>
        <v>(F)</v>
      </c>
      <c r="I40" s="345" t="str">
        <f t="shared" si="7"/>
        <v>(G)</v>
      </c>
      <c r="J40" s="336"/>
      <c r="K40" s="345" t="s">
        <v>8</v>
      </c>
      <c r="O40" s="341"/>
      <c r="P40" s="342"/>
      <c r="Q40" s="342"/>
    </row>
    <row r="41" spans="1:17" ht="22.5" x14ac:dyDescent="0.3">
      <c r="A41" s="334" t="s">
        <v>10</v>
      </c>
      <c r="B41" s="334" t="s">
        <v>114</v>
      </c>
      <c r="C41" s="347">
        <v>46204</v>
      </c>
      <c r="D41" s="347">
        <v>46235</v>
      </c>
      <c r="E41" s="347">
        <v>46266</v>
      </c>
      <c r="F41" s="347">
        <v>46296</v>
      </c>
      <c r="G41" s="347">
        <v>46327</v>
      </c>
      <c r="H41" s="347">
        <v>46357</v>
      </c>
      <c r="I41" s="364" t="s">
        <v>61</v>
      </c>
      <c r="J41" s="337" t="s">
        <v>440</v>
      </c>
      <c r="K41" s="334" t="s">
        <v>10</v>
      </c>
      <c r="O41" s="341"/>
      <c r="P41" s="342"/>
      <c r="Q41" s="342"/>
    </row>
    <row r="42" spans="1:17" x14ac:dyDescent="0.3">
      <c r="A42" s="331"/>
      <c r="B42" s="350"/>
      <c r="C42" s="351"/>
      <c r="D42" s="351"/>
      <c r="E42" s="351"/>
      <c r="F42" s="351"/>
      <c r="G42" s="351"/>
      <c r="H42" s="351"/>
      <c r="I42" s="331"/>
      <c r="J42" s="331"/>
      <c r="K42" s="331"/>
      <c r="O42" s="341"/>
      <c r="P42" s="342"/>
      <c r="Q42" s="342"/>
    </row>
    <row r="43" spans="1:17" x14ac:dyDescent="0.3">
      <c r="A43" s="365">
        <f>A37+1</f>
        <v>29</v>
      </c>
      <c r="B43" s="352" t="s">
        <v>116</v>
      </c>
      <c r="C43" s="350"/>
      <c r="D43" s="350"/>
      <c r="E43" s="350"/>
      <c r="F43" s="350"/>
      <c r="G43" s="350"/>
      <c r="H43" s="350"/>
      <c r="I43" s="350"/>
      <c r="J43" s="338"/>
      <c r="K43" s="331">
        <f>K37+1</f>
        <v>29</v>
      </c>
      <c r="O43" s="341"/>
      <c r="P43" s="342"/>
      <c r="Q43" s="342"/>
    </row>
    <row r="44" spans="1:17" x14ac:dyDescent="0.3">
      <c r="A44" s="365">
        <f t="shared" ref="A44:A71" si="8">A43+1</f>
        <v>30</v>
      </c>
      <c r="B44" s="350" t="s">
        <v>117</v>
      </c>
      <c r="C44" s="353">
        <f>'Workpaper 1'!I162*1000</f>
        <v>0</v>
      </c>
      <c r="D44" s="353">
        <f>'Workpaper 1'!J162*1000</f>
        <v>0</v>
      </c>
      <c r="E44" s="353">
        <f>'Workpaper 1'!K162*1000</f>
        <v>102320</v>
      </c>
      <c r="F44" s="353">
        <f>'Workpaper 1'!L162*1000</f>
        <v>747300</v>
      </c>
      <c r="G44" s="353">
        <f>'Workpaper 1'!M162*1000</f>
        <v>703620</v>
      </c>
      <c r="H44" s="353">
        <f>'Workpaper 1'!N162*1000</f>
        <v>339300</v>
      </c>
      <c r="I44" s="357">
        <f>SUM(C11:H11,C44:H44)</f>
        <v>4208810</v>
      </c>
      <c r="J44" s="354" t="str">
        <f>J11</f>
        <v>(Page BG-21.3, Line 160) x 1000</v>
      </c>
      <c r="K44" s="331">
        <f t="shared" ref="K44:K71" si="9">K43+1</f>
        <v>30</v>
      </c>
      <c r="O44" s="341"/>
      <c r="P44" s="342"/>
      <c r="Q44" s="342"/>
    </row>
    <row r="45" spans="1:17" x14ac:dyDescent="0.3">
      <c r="A45" s="365">
        <f t="shared" si="8"/>
        <v>31</v>
      </c>
      <c r="B45" s="350" t="s">
        <v>119</v>
      </c>
      <c r="C45" s="349">
        <v>0</v>
      </c>
      <c r="D45" s="349">
        <f>C45</f>
        <v>0</v>
      </c>
      <c r="E45" s="349">
        <f>D45</f>
        <v>0</v>
      </c>
      <c r="F45" s="349">
        <f>E45</f>
        <v>0</v>
      </c>
      <c r="G45" s="349">
        <f>F45</f>
        <v>0</v>
      </c>
      <c r="H45" s="349">
        <f>G45</f>
        <v>0</v>
      </c>
      <c r="I45" s="357"/>
      <c r="J45" s="354"/>
      <c r="K45" s="331">
        <f t="shared" si="9"/>
        <v>31</v>
      </c>
      <c r="O45" s="341"/>
      <c r="P45" s="342"/>
      <c r="Q45" s="342"/>
    </row>
    <row r="46" spans="1:17" ht="19.5" thickBot="1" x14ac:dyDescent="0.35">
      <c r="A46" s="365">
        <f t="shared" si="8"/>
        <v>32</v>
      </c>
      <c r="B46" s="350" t="s">
        <v>120</v>
      </c>
      <c r="C46" s="355">
        <f t="shared" ref="C46:H46" si="10">C44*C45</f>
        <v>0</v>
      </c>
      <c r="D46" s="355">
        <f t="shared" si="10"/>
        <v>0</v>
      </c>
      <c r="E46" s="355">
        <f t="shared" si="10"/>
        <v>0</v>
      </c>
      <c r="F46" s="355">
        <f t="shared" si="10"/>
        <v>0</v>
      </c>
      <c r="G46" s="355">
        <f t="shared" si="10"/>
        <v>0</v>
      </c>
      <c r="H46" s="355">
        <f t="shared" si="10"/>
        <v>0</v>
      </c>
      <c r="I46" s="366">
        <f>SUM(C17:H17,C46:H46)</f>
        <v>0</v>
      </c>
      <c r="J46" s="354" t="s">
        <v>260</v>
      </c>
      <c r="K46" s="331">
        <f t="shared" si="9"/>
        <v>32</v>
      </c>
      <c r="O46" s="341"/>
      <c r="P46" s="342"/>
      <c r="Q46" s="342"/>
    </row>
    <row r="47" spans="1:17" ht="19.5" thickTop="1" x14ac:dyDescent="0.3">
      <c r="A47" s="365">
        <f t="shared" si="8"/>
        <v>33</v>
      </c>
      <c r="B47" s="350"/>
      <c r="C47" s="350"/>
      <c r="D47" s="350"/>
      <c r="E47" s="350"/>
      <c r="F47" s="350"/>
      <c r="G47" s="350"/>
      <c r="H47" s="350"/>
      <c r="I47" s="350"/>
      <c r="J47" s="50"/>
      <c r="K47" s="331">
        <f t="shared" si="9"/>
        <v>33</v>
      </c>
      <c r="O47" s="341"/>
      <c r="P47" s="342"/>
      <c r="Q47" s="342"/>
    </row>
    <row r="48" spans="1:17" x14ac:dyDescent="0.3">
      <c r="A48" s="365">
        <f t="shared" si="8"/>
        <v>34</v>
      </c>
      <c r="B48" s="356" t="s">
        <v>251</v>
      </c>
      <c r="C48" s="350"/>
      <c r="D48" s="350"/>
      <c r="E48" s="350"/>
      <c r="F48" s="350"/>
      <c r="G48" s="350"/>
      <c r="H48" s="350"/>
      <c r="I48" s="350"/>
      <c r="J48" s="354"/>
      <c r="K48" s="331">
        <f t="shared" si="9"/>
        <v>34</v>
      </c>
      <c r="O48" s="341"/>
      <c r="P48" s="342"/>
      <c r="Q48" s="342"/>
    </row>
    <row r="49" spans="1:17" x14ac:dyDescent="0.3">
      <c r="A49" s="365">
        <f t="shared" si="8"/>
        <v>35</v>
      </c>
      <c r="B49" s="350" t="s">
        <v>125</v>
      </c>
      <c r="C49" s="353">
        <f>'Workpaper 1'!I164*1000</f>
        <v>9900</v>
      </c>
      <c r="D49" s="353">
        <f>'Workpaper 1'!J164*1000</f>
        <v>8000</v>
      </c>
      <c r="E49" s="353">
        <f>'Workpaper 1'!K164*1000</f>
        <v>8000</v>
      </c>
      <c r="F49" s="353">
        <f>'Workpaper 1'!L164*1000</f>
        <v>16900</v>
      </c>
      <c r="G49" s="353">
        <f>'Workpaper 1'!M164*1000</f>
        <v>16600</v>
      </c>
      <c r="H49" s="353">
        <f>'Workpaper 1'!N164*1000</f>
        <v>9800</v>
      </c>
      <c r="I49" s="357">
        <f>SUM(C16:H16,C49:H49)</f>
        <v>146100</v>
      </c>
      <c r="J49" s="354" t="str">
        <f>J16</f>
        <v>(Page BG-21.3, Line 162) x 1000</v>
      </c>
      <c r="K49" s="331">
        <f t="shared" si="9"/>
        <v>35</v>
      </c>
      <c r="O49" s="341"/>
      <c r="P49" s="342"/>
      <c r="Q49" s="342"/>
    </row>
    <row r="50" spans="1:17" x14ac:dyDescent="0.3">
      <c r="A50" s="365">
        <f t="shared" si="8"/>
        <v>36</v>
      </c>
      <c r="B50" s="350"/>
      <c r="C50" s="357"/>
      <c r="D50" s="357"/>
      <c r="E50" s="357"/>
      <c r="F50" s="357"/>
      <c r="G50" s="357"/>
      <c r="H50" s="357"/>
      <c r="I50" s="350"/>
      <c r="J50" s="333"/>
      <c r="K50" s="331">
        <f t="shared" si="9"/>
        <v>36</v>
      </c>
      <c r="O50" s="341"/>
      <c r="P50" s="342"/>
      <c r="Q50" s="342"/>
    </row>
    <row r="51" spans="1:17" x14ac:dyDescent="0.3">
      <c r="A51" s="365">
        <f t="shared" si="8"/>
        <v>37</v>
      </c>
      <c r="B51" s="352" t="s">
        <v>167</v>
      </c>
      <c r="C51" s="357"/>
      <c r="D51" s="357"/>
      <c r="E51" s="357"/>
      <c r="F51" s="357"/>
      <c r="G51" s="357"/>
      <c r="H51" s="357"/>
      <c r="I51" s="350"/>
      <c r="J51" s="333"/>
      <c r="K51" s="331">
        <f t="shared" si="9"/>
        <v>37</v>
      </c>
      <c r="O51" s="341"/>
      <c r="P51" s="342"/>
      <c r="Q51" s="342"/>
    </row>
    <row r="52" spans="1:17" x14ac:dyDescent="0.3">
      <c r="A52" s="365">
        <f t="shared" si="8"/>
        <v>38</v>
      </c>
      <c r="B52" s="352" t="s">
        <v>136</v>
      </c>
      <c r="C52" s="350"/>
      <c r="D52" s="350"/>
      <c r="E52" s="350"/>
      <c r="F52" s="350"/>
      <c r="G52" s="350"/>
      <c r="H52" s="350"/>
      <c r="I52" s="350"/>
      <c r="J52" s="331"/>
      <c r="K52" s="331">
        <f t="shared" si="9"/>
        <v>38</v>
      </c>
      <c r="O52" s="341"/>
      <c r="P52" s="342"/>
      <c r="Q52" s="342"/>
    </row>
    <row r="53" spans="1:17" x14ac:dyDescent="0.3">
      <c r="A53" s="365">
        <f t="shared" si="8"/>
        <v>39</v>
      </c>
      <c r="B53" s="350" t="s">
        <v>138</v>
      </c>
      <c r="C53" s="358">
        <f>H20</f>
        <v>1.1299999999999999</v>
      </c>
      <c r="D53" s="358">
        <f t="shared" ref="D53:F53" si="11">C53</f>
        <v>1.1299999999999999</v>
      </c>
      <c r="E53" s="358">
        <f t="shared" si="11"/>
        <v>1.1299999999999999</v>
      </c>
      <c r="F53" s="358">
        <f t="shared" si="11"/>
        <v>1.1299999999999999</v>
      </c>
      <c r="G53" s="358">
        <f>C20</f>
        <v>1.1299999999999999</v>
      </c>
      <c r="H53" s="358">
        <f>D20</f>
        <v>1.1299999999999999</v>
      </c>
      <c r="I53" s="357"/>
      <c r="J53" s="354" t="str">
        <f>J20</f>
        <v>Statement BL, Page BL-1, Line 29, Col. C</v>
      </c>
      <c r="K53" s="331">
        <f t="shared" si="9"/>
        <v>39</v>
      </c>
      <c r="O53" s="341"/>
      <c r="P53" s="342"/>
      <c r="Q53" s="342"/>
    </row>
    <row r="54" spans="1:17" x14ac:dyDescent="0.3">
      <c r="A54" s="365">
        <f t="shared" si="8"/>
        <v>40</v>
      </c>
      <c r="B54" s="352" t="s">
        <v>171</v>
      </c>
      <c r="C54" s="358"/>
      <c r="D54" s="359"/>
      <c r="E54" s="359"/>
      <c r="F54" s="359"/>
      <c r="G54" s="359"/>
      <c r="H54" s="359"/>
      <c r="I54" s="350"/>
      <c r="J54" s="331"/>
      <c r="K54" s="331">
        <f t="shared" si="9"/>
        <v>40</v>
      </c>
      <c r="O54" s="341"/>
      <c r="P54" s="342"/>
      <c r="Q54" s="342"/>
    </row>
    <row r="55" spans="1:17" x14ac:dyDescent="0.3">
      <c r="A55" s="365">
        <f t="shared" si="8"/>
        <v>41</v>
      </c>
      <c r="B55" s="352" t="s">
        <v>142</v>
      </c>
      <c r="C55" s="357"/>
      <c r="D55" s="357"/>
      <c r="E55" s="357"/>
      <c r="F55" s="357"/>
      <c r="G55" s="357"/>
      <c r="H55" s="357"/>
      <c r="I55" s="350"/>
      <c r="J55" s="333"/>
      <c r="K55" s="331">
        <f t="shared" si="9"/>
        <v>41</v>
      </c>
      <c r="O55" s="341"/>
      <c r="P55" s="342"/>
      <c r="Q55" s="342"/>
    </row>
    <row r="56" spans="1:17" x14ac:dyDescent="0.3">
      <c r="A56" s="365">
        <f t="shared" si="8"/>
        <v>42</v>
      </c>
      <c r="B56" s="350" t="s">
        <v>125</v>
      </c>
      <c r="C56" s="40">
        <f>C49*C53</f>
        <v>11186.999999999998</v>
      </c>
      <c r="D56" s="40">
        <f>D53*D49</f>
        <v>9040</v>
      </c>
      <c r="E56" s="40">
        <f>E53*E49</f>
        <v>9040</v>
      </c>
      <c r="F56" s="40">
        <f>F53*F49</f>
        <v>19097</v>
      </c>
      <c r="G56" s="40">
        <f>G53*G49</f>
        <v>18758</v>
      </c>
      <c r="H56" s="40">
        <f>H53*H49</f>
        <v>11073.999999999998</v>
      </c>
      <c r="I56" s="357">
        <f>SUM(C23:H23,C56:H56)</f>
        <v>165093</v>
      </c>
      <c r="J56" s="360" t="s">
        <v>261</v>
      </c>
      <c r="K56" s="331">
        <f t="shared" si="9"/>
        <v>42</v>
      </c>
      <c r="O56" s="341"/>
      <c r="P56" s="342"/>
      <c r="Q56" s="342"/>
    </row>
    <row r="57" spans="1:17" x14ac:dyDescent="0.3">
      <c r="A57" s="365">
        <f t="shared" si="8"/>
        <v>43</v>
      </c>
      <c r="B57" s="350"/>
      <c r="C57" s="357"/>
      <c r="D57" s="357"/>
      <c r="E57" s="357"/>
      <c r="F57" s="357"/>
      <c r="G57" s="357"/>
      <c r="H57" s="357"/>
      <c r="I57" s="350"/>
      <c r="J57" s="333"/>
      <c r="K57" s="331">
        <f t="shared" si="9"/>
        <v>43</v>
      </c>
      <c r="O57" s="341"/>
      <c r="P57" s="342"/>
      <c r="Q57" s="342"/>
    </row>
    <row r="58" spans="1:17" x14ac:dyDescent="0.3">
      <c r="A58" s="365">
        <f t="shared" si="8"/>
        <v>44</v>
      </c>
      <c r="B58" s="361" t="s">
        <v>208</v>
      </c>
      <c r="C58" s="357"/>
      <c r="D58" s="357"/>
      <c r="E58" s="357"/>
      <c r="F58" s="357"/>
      <c r="G58" s="357"/>
      <c r="H58" s="357"/>
      <c r="I58" s="350"/>
      <c r="J58" s="333"/>
      <c r="K58" s="331">
        <f t="shared" si="9"/>
        <v>44</v>
      </c>
      <c r="O58" s="341"/>
      <c r="P58" s="342"/>
      <c r="Q58" s="342"/>
    </row>
    <row r="59" spans="1:17" ht="22.5" x14ac:dyDescent="0.3">
      <c r="A59" s="365">
        <f t="shared" si="8"/>
        <v>45</v>
      </c>
      <c r="B59" s="361" t="s">
        <v>209</v>
      </c>
      <c r="C59" s="357"/>
      <c r="D59" s="357"/>
      <c r="E59" s="357"/>
      <c r="F59" s="357"/>
      <c r="G59" s="357"/>
      <c r="H59" s="357"/>
      <c r="I59" s="350"/>
      <c r="J59" s="333"/>
      <c r="K59" s="331">
        <f t="shared" si="9"/>
        <v>45</v>
      </c>
      <c r="O59" s="341"/>
      <c r="P59" s="342"/>
      <c r="Q59" s="342"/>
    </row>
    <row r="60" spans="1:17" x14ac:dyDescent="0.3">
      <c r="A60" s="365">
        <f t="shared" si="8"/>
        <v>46</v>
      </c>
      <c r="B60" s="362" t="s">
        <v>125</v>
      </c>
      <c r="C60" s="357">
        <f>'Workpaper 1'!I166*1000</f>
        <v>0</v>
      </c>
      <c r="D60" s="357">
        <f>'Workpaper 1'!J166*1000</f>
        <v>0</v>
      </c>
      <c r="E60" s="357">
        <f>'Workpaper 1'!K166*1000</f>
        <v>0</v>
      </c>
      <c r="F60" s="357">
        <f>'Workpaper 1'!L166*1000</f>
        <v>0</v>
      </c>
      <c r="G60" s="357">
        <f>'Workpaper 1'!M166*1000</f>
        <v>7580</v>
      </c>
      <c r="H60" s="357">
        <f>'Workpaper 1'!N166*1000</f>
        <v>0</v>
      </c>
      <c r="I60" s="357">
        <f>SUM(C27:H27,C60:H60)</f>
        <v>7580</v>
      </c>
      <c r="J60" s="354" t="str">
        <f>J27</f>
        <v>(Page BG-21.3, Line 164) x 1000</v>
      </c>
      <c r="K60" s="331">
        <f t="shared" si="9"/>
        <v>46</v>
      </c>
      <c r="O60" s="341"/>
      <c r="P60" s="342"/>
      <c r="Q60" s="342"/>
    </row>
    <row r="61" spans="1:17" x14ac:dyDescent="0.3">
      <c r="A61" s="365">
        <f t="shared" si="8"/>
        <v>47</v>
      </c>
      <c r="B61" s="350"/>
      <c r="C61" s="357"/>
      <c r="D61" s="357"/>
      <c r="E61" s="357"/>
      <c r="F61" s="357"/>
      <c r="G61" s="357"/>
      <c r="H61" s="357"/>
      <c r="I61" s="350"/>
      <c r="J61" s="333"/>
      <c r="K61" s="331">
        <f t="shared" si="9"/>
        <v>47</v>
      </c>
      <c r="O61" s="341"/>
      <c r="P61" s="342"/>
      <c r="Q61" s="342"/>
    </row>
    <row r="62" spans="1:17" x14ac:dyDescent="0.3">
      <c r="A62" s="365">
        <f t="shared" si="8"/>
        <v>48</v>
      </c>
      <c r="B62" s="363" t="s">
        <v>214</v>
      </c>
      <c r="C62" s="357"/>
      <c r="D62" s="357"/>
      <c r="E62" s="357"/>
      <c r="F62" s="357"/>
      <c r="G62" s="357"/>
      <c r="H62" s="357"/>
      <c r="I62" s="350"/>
      <c r="J62" s="333"/>
      <c r="K62" s="331">
        <f t="shared" si="9"/>
        <v>48</v>
      </c>
      <c r="O62" s="341"/>
      <c r="P62" s="342"/>
      <c r="Q62" s="342"/>
    </row>
    <row r="63" spans="1:17" x14ac:dyDescent="0.3">
      <c r="A63" s="365">
        <f t="shared" si="8"/>
        <v>49</v>
      </c>
      <c r="B63" s="363" t="s">
        <v>215</v>
      </c>
      <c r="C63" s="357"/>
      <c r="D63" s="357"/>
      <c r="E63" s="357"/>
      <c r="F63" s="357"/>
      <c r="G63" s="357"/>
      <c r="H63" s="357"/>
      <c r="I63" s="350"/>
      <c r="J63" s="333"/>
      <c r="K63" s="331">
        <f t="shared" si="9"/>
        <v>49</v>
      </c>
      <c r="O63" s="341"/>
      <c r="P63" s="342"/>
      <c r="Q63" s="342"/>
    </row>
    <row r="64" spans="1:17" x14ac:dyDescent="0.3">
      <c r="A64" s="365">
        <f t="shared" si="8"/>
        <v>50</v>
      </c>
      <c r="B64" s="362" t="s">
        <v>125</v>
      </c>
      <c r="C64" s="39">
        <f>H31</f>
        <v>2.34</v>
      </c>
      <c r="D64" s="39">
        <f>C64</f>
        <v>2.34</v>
      </c>
      <c r="E64" s="39">
        <f t="shared" ref="E64:F64" si="12">D64</f>
        <v>2.34</v>
      </c>
      <c r="F64" s="39">
        <f t="shared" si="12"/>
        <v>2.34</v>
      </c>
      <c r="G64" s="39">
        <f>C31</f>
        <v>2.34</v>
      </c>
      <c r="H64" s="39">
        <f>G64</f>
        <v>2.34</v>
      </c>
      <c r="I64" s="357"/>
      <c r="J64" s="354" t="s">
        <v>256</v>
      </c>
      <c r="K64" s="331">
        <f t="shared" si="9"/>
        <v>50</v>
      </c>
      <c r="O64" s="341"/>
      <c r="P64" s="342"/>
      <c r="Q64" s="342"/>
    </row>
    <row r="65" spans="1:17" x14ac:dyDescent="0.3">
      <c r="A65" s="365">
        <f t="shared" si="8"/>
        <v>51</v>
      </c>
      <c r="B65" s="362"/>
      <c r="C65" s="357"/>
      <c r="D65" s="357"/>
      <c r="E65" s="357"/>
      <c r="F65" s="357"/>
      <c r="G65" s="357"/>
      <c r="H65" s="357"/>
      <c r="I65" s="350"/>
      <c r="J65" s="333"/>
      <c r="K65" s="331">
        <f t="shared" si="9"/>
        <v>51</v>
      </c>
      <c r="O65" s="341"/>
      <c r="P65" s="342"/>
      <c r="Q65" s="342"/>
    </row>
    <row r="66" spans="1:17" x14ac:dyDescent="0.3">
      <c r="A66" s="365">
        <f t="shared" si="8"/>
        <v>52</v>
      </c>
      <c r="B66" s="363" t="s">
        <v>219</v>
      </c>
      <c r="C66" s="357"/>
      <c r="D66" s="357"/>
      <c r="E66" s="357"/>
      <c r="F66" s="357"/>
      <c r="G66" s="357"/>
      <c r="H66" s="357"/>
      <c r="I66" s="350"/>
      <c r="J66" s="333"/>
      <c r="K66" s="331">
        <f t="shared" si="9"/>
        <v>52</v>
      </c>
      <c r="O66" s="341"/>
      <c r="P66" s="342"/>
      <c r="Q66" s="342"/>
    </row>
    <row r="67" spans="1:17" x14ac:dyDescent="0.3">
      <c r="A67" s="365">
        <f t="shared" si="8"/>
        <v>53</v>
      </c>
      <c r="B67" s="363" t="s">
        <v>220</v>
      </c>
      <c r="C67" s="357"/>
      <c r="D67" s="357"/>
      <c r="E67" s="357"/>
      <c r="F67" s="357"/>
      <c r="G67" s="357"/>
      <c r="H67" s="357"/>
      <c r="I67" s="350"/>
      <c r="J67" s="333"/>
      <c r="K67" s="331">
        <f t="shared" si="9"/>
        <v>53</v>
      </c>
      <c r="O67" s="341"/>
      <c r="P67" s="342"/>
      <c r="Q67" s="342"/>
    </row>
    <row r="68" spans="1:17" x14ac:dyDescent="0.3">
      <c r="A68" s="365">
        <f t="shared" si="8"/>
        <v>54</v>
      </c>
      <c r="B68" s="362" t="s">
        <v>125</v>
      </c>
      <c r="C68" s="40">
        <f>C60*C64</f>
        <v>0</v>
      </c>
      <c r="D68" s="40">
        <f t="shared" ref="D68:H68" si="13">D60*D64</f>
        <v>0</v>
      </c>
      <c r="E68" s="40">
        <f t="shared" si="13"/>
        <v>0</v>
      </c>
      <c r="F68" s="40">
        <f t="shared" si="13"/>
        <v>0</v>
      </c>
      <c r="G68" s="40">
        <f t="shared" si="13"/>
        <v>17737.2</v>
      </c>
      <c r="H68" s="40">
        <f t="shared" si="13"/>
        <v>0</v>
      </c>
      <c r="I68" s="357">
        <f>SUM(C35:H35,C68:H68)</f>
        <v>17737.2</v>
      </c>
      <c r="J68" s="360" t="s">
        <v>262</v>
      </c>
      <c r="K68" s="331">
        <f t="shared" si="9"/>
        <v>54</v>
      </c>
      <c r="O68" s="341"/>
      <c r="P68" s="342"/>
      <c r="Q68" s="342"/>
    </row>
    <row r="69" spans="1:17" x14ac:dyDescent="0.3">
      <c r="A69" s="365">
        <f t="shared" si="8"/>
        <v>55</v>
      </c>
      <c r="B69" s="362"/>
      <c r="C69" s="357"/>
      <c r="D69" s="357"/>
      <c r="E69" s="357"/>
      <c r="F69" s="357"/>
      <c r="G69" s="357"/>
      <c r="H69" s="357"/>
      <c r="I69" s="350"/>
      <c r="J69" s="360"/>
      <c r="K69" s="331">
        <f t="shared" si="9"/>
        <v>55</v>
      </c>
      <c r="O69" s="341"/>
      <c r="P69" s="342"/>
      <c r="Q69" s="342"/>
    </row>
    <row r="70" spans="1:17" x14ac:dyDescent="0.3">
      <c r="A70" s="365">
        <f t="shared" si="8"/>
        <v>56</v>
      </c>
      <c r="B70" s="362" t="s">
        <v>258</v>
      </c>
      <c r="C70" s="40">
        <f>C46+C56+C68</f>
        <v>11186.999999999998</v>
      </c>
      <c r="D70" s="40">
        <f t="shared" ref="D70:H70" si="14">D46+D56+D68</f>
        <v>9040</v>
      </c>
      <c r="E70" s="40">
        <f t="shared" si="14"/>
        <v>9040</v>
      </c>
      <c r="F70" s="40">
        <f t="shared" si="14"/>
        <v>19097</v>
      </c>
      <c r="G70" s="40">
        <f t="shared" si="14"/>
        <v>36495.199999999997</v>
      </c>
      <c r="H70" s="40">
        <f t="shared" si="14"/>
        <v>11073.999999999998</v>
      </c>
      <c r="I70" s="357">
        <f>SUM(C37:H37,C70:H70)</f>
        <v>182830.2</v>
      </c>
      <c r="J70" s="360" t="s">
        <v>263</v>
      </c>
      <c r="K70" s="331">
        <f t="shared" si="9"/>
        <v>56</v>
      </c>
      <c r="O70" s="341"/>
      <c r="P70" s="342"/>
      <c r="Q70" s="342"/>
    </row>
    <row r="71" spans="1:17" x14ac:dyDescent="0.3">
      <c r="A71" s="365">
        <f t="shared" si="8"/>
        <v>57</v>
      </c>
      <c r="B71" s="363"/>
      <c r="C71" s="375"/>
      <c r="D71" s="375"/>
      <c r="E71" s="375"/>
      <c r="F71" s="375"/>
      <c r="G71" s="375"/>
      <c r="H71" s="375"/>
      <c r="I71" s="377"/>
      <c r="J71" s="367"/>
      <c r="K71" s="331">
        <f t="shared" si="9"/>
        <v>57</v>
      </c>
      <c r="O71" s="341"/>
      <c r="P71" s="342"/>
      <c r="Q71" s="342"/>
    </row>
    <row r="72" spans="1:17" x14ac:dyDescent="0.3">
      <c r="A72" s="334"/>
      <c r="B72" s="349"/>
      <c r="C72" s="349"/>
      <c r="D72" s="349"/>
      <c r="E72" s="349"/>
      <c r="F72" s="349"/>
      <c r="G72" s="376"/>
      <c r="H72" s="349"/>
      <c r="I72" s="368"/>
      <c r="J72" s="334"/>
      <c r="K72" s="334"/>
      <c r="O72" s="341"/>
      <c r="P72" s="342"/>
      <c r="Q72" s="342"/>
    </row>
    <row r="73" spans="1:17" x14ac:dyDescent="0.3">
      <c r="B73" s="369" t="s">
        <v>46</v>
      </c>
    </row>
    <row r="74" spans="1:17" ht="22.5" x14ac:dyDescent="0.3">
      <c r="A74" s="370">
        <v>1</v>
      </c>
      <c r="B74" s="335" t="s">
        <v>459</v>
      </c>
    </row>
    <row r="75" spans="1:17" ht="22.5" x14ac:dyDescent="0.3">
      <c r="A75" s="370">
        <v>2</v>
      </c>
      <c r="B75" s="371" t="s">
        <v>460</v>
      </c>
    </row>
    <row r="76" spans="1:17" ht="22.5" x14ac:dyDescent="0.3">
      <c r="A76" s="370">
        <v>3</v>
      </c>
      <c r="B76" s="335" t="s">
        <v>157</v>
      </c>
    </row>
    <row r="77" spans="1:17" x14ac:dyDescent="0.3">
      <c r="A77" s="342"/>
    </row>
    <row r="78" spans="1:17" x14ac:dyDescent="0.3">
      <c r="A78" s="342"/>
    </row>
    <row r="79" spans="1:17" x14ac:dyDescent="0.3">
      <c r="A79" s="342"/>
    </row>
    <row r="80" spans="1:17" x14ac:dyDescent="0.3">
      <c r="A80" s="342"/>
    </row>
    <row r="81" spans="1:1" x14ac:dyDescent="0.3">
      <c r="A81" s="342"/>
    </row>
    <row r="82" spans="1:1" x14ac:dyDescent="0.3">
      <c r="A82" s="342"/>
    </row>
    <row r="83" spans="1:1" x14ac:dyDescent="0.3">
      <c r="A83" s="342"/>
    </row>
    <row r="84" spans="1:1" x14ac:dyDescent="0.3">
      <c r="A84" s="342"/>
    </row>
    <row r="85" spans="1:1" x14ac:dyDescent="0.3">
      <c r="A85" s="342"/>
    </row>
    <row r="86" spans="1:1" x14ac:dyDescent="0.3">
      <c r="A86" s="342"/>
    </row>
    <row r="87" spans="1:1" x14ac:dyDescent="0.3">
      <c r="A87" s="342"/>
    </row>
    <row r="88" spans="1:1" x14ac:dyDescent="0.3">
      <c r="A88" s="342"/>
    </row>
    <row r="89" spans="1:1" x14ac:dyDescent="0.3">
      <c r="A89" s="342"/>
    </row>
    <row r="90" spans="1:1" x14ac:dyDescent="0.3">
      <c r="A90" s="342"/>
    </row>
    <row r="91" spans="1:1" x14ac:dyDescent="0.3">
      <c r="A91" s="342"/>
    </row>
    <row r="92" spans="1:1" x14ac:dyDescent="0.3">
      <c r="A92" s="342"/>
    </row>
    <row r="93" spans="1:1" x14ac:dyDescent="0.3">
      <c r="A93" s="342"/>
    </row>
    <row r="94" spans="1:1" x14ac:dyDescent="0.3">
      <c r="A94" s="342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3" orientation="portrait" r:id="rId1"/>
  <headerFooter scaleWithDoc="0">
    <oddFooter xml:space="preserve">&amp;L&amp;"Times New Roman,Regular"&amp;9Statement BG-SD Unified Port District&amp;C&amp;"Times New Roman,Regular"&amp;9Page BG-&amp;P&amp;12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4"/>
  <sheetViews>
    <sheetView zoomScale="70" zoomScaleNormal="70" zoomScaleSheetLayoutView="70" workbookViewId="0">
      <selection activeCell="A6" sqref="A6"/>
    </sheetView>
  </sheetViews>
  <sheetFormatPr defaultColWidth="6" defaultRowHeight="18.75" x14ac:dyDescent="0.3"/>
  <cols>
    <col min="1" max="1" width="5.5703125" style="179" bestFit="1" customWidth="1"/>
    <col min="2" max="2" width="46.42578125" style="179" customWidth="1"/>
    <col min="3" max="3" width="19.140625" style="179" bestFit="1" customWidth="1"/>
    <col min="4" max="8" width="17.140625" style="179" bestFit="1" customWidth="1"/>
    <col min="9" max="9" width="20.5703125" style="179" bestFit="1" customWidth="1"/>
    <col min="10" max="10" width="54.28515625" style="179" bestFit="1" customWidth="1"/>
    <col min="11" max="11" width="5.5703125" style="179" bestFit="1" customWidth="1"/>
    <col min="12" max="15" width="6" style="179" customWidth="1"/>
    <col min="16" max="16384" width="6" style="179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213"/>
      <c r="M1" s="213"/>
      <c r="N1" s="213"/>
      <c r="O1" s="213"/>
      <c r="P1" s="213"/>
      <c r="Q1" s="213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213"/>
      <c r="M2" s="213"/>
      <c r="N2" s="213"/>
      <c r="O2" s="213"/>
      <c r="P2" s="213"/>
      <c r="Q2" s="213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213"/>
      <c r="M3" s="213"/>
      <c r="N3" s="213"/>
      <c r="O3" s="213"/>
      <c r="P3" s="213"/>
      <c r="Q3" s="213"/>
    </row>
    <row r="4" spans="1:17" ht="18.75" customHeight="1" x14ac:dyDescent="0.3">
      <c r="A4" s="426" t="s">
        <v>264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213"/>
      <c r="M4" s="213"/>
      <c r="N4" s="213"/>
      <c r="O4" s="213"/>
      <c r="P4" s="213"/>
      <c r="Q4" s="213"/>
    </row>
    <row r="5" spans="1:17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213"/>
      <c r="M5" s="213"/>
      <c r="N5" s="213"/>
      <c r="O5" s="213"/>
      <c r="P5" s="213"/>
      <c r="Q5" s="213"/>
    </row>
    <row r="6" spans="1:17" x14ac:dyDescent="0.3">
      <c r="A6" s="180"/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</row>
    <row r="7" spans="1:17" x14ac:dyDescent="0.3">
      <c r="A7" s="203" t="s">
        <v>8</v>
      </c>
      <c r="B7" s="204"/>
      <c r="C7" s="203" t="s">
        <v>4</v>
      </c>
      <c r="D7" s="203" t="s">
        <v>5</v>
      </c>
      <c r="E7" s="203" t="s">
        <v>48</v>
      </c>
      <c r="F7" s="203" t="s">
        <v>49</v>
      </c>
      <c r="G7" s="203" t="s">
        <v>50</v>
      </c>
      <c r="H7" s="203" t="s">
        <v>51</v>
      </c>
      <c r="I7" s="203" t="s">
        <v>52</v>
      </c>
      <c r="J7" s="211"/>
      <c r="K7" s="203" t="s">
        <v>8</v>
      </c>
    </row>
    <row r="8" spans="1:17" ht="22.5" x14ac:dyDescent="0.3">
      <c r="A8" s="184" t="s">
        <v>10</v>
      </c>
      <c r="B8" s="184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29">
        <f>'Summary of Revs @ Changed Rates'!H8</f>
        <v>46174</v>
      </c>
      <c r="I8" s="186"/>
      <c r="J8" s="201" t="s">
        <v>249</v>
      </c>
      <c r="K8" s="184" t="s">
        <v>10</v>
      </c>
    </row>
    <row r="9" spans="1:17" x14ac:dyDescent="0.3">
      <c r="A9" s="187"/>
      <c r="B9" s="190"/>
      <c r="C9" s="200"/>
      <c r="D9" s="200"/>
      <c r="E9" s="200"/>
      <c r="F9" s="200"/>
      <c r="G9" s="200"/>
      <c r="H9" s="200"/>
      <c r="I9" s="204"/>
      <c r="J9" s="203"/>
      <c r="K9" s="187"/>
    </row>
    <row r="10" spans="1:17" x14ac:dyDescent="0.3">
      <c r="A10" s="187">
        <v>1</v>
      </c>
      <c r="B10" s="193" t="s">
        <v>116</v>
      </c>
      <c r="C10" s="190"/>
      <c r="D10" s="190"/>
      <c r="E10" s="190"/>
      <c r="F10" s="190"/>
      <c r="G10" s="190"/>
      <c r="H10" s="190"/>
      <c r="I10" s="190"/>
      <c r="J10" s="187"/>
      <c r="K10" s="187">
        <v>1</v>
      </c>
    </row>
    <row r="11" spans="1:17" x14ac:dyDescent="0.3">
      <c r="A11" s="187">
        <f t="shared" ref="A11:A33" si="0">A10+1</f>
        <v>2</v>
      </c>
      <c r="B11" s="190" t="s">
        <v>117</v>
      </c>
      <c r="C11" s="210">
        <f>'Workpaper 1'!C171*1000</f>
        <v>16096194.488099385</v>
      </c>
      <c r="D11" s="210">
        <f>'Workpaper 1'!D171*1000</f>
        <v>16324789.675258994</v>
      </c>
      <c r="E11" s="210">
        <f>'Workpaper 1'!E171*1000</f>
        <v>15210058.425003275</v>
      </c>
      <c r="F11" s="210">
        <f>'Workpaper 1'!F171*1000</f>
        <v>15790788.262185775</v>
      </c>
      <c r="G11" s="210">
        <f>'Workpaper 1'!G171*1000</f>
        <v>18980076.654593214</v>
      </c>
      <c r="H11" s="210">
        <f>'Workpaper 1'!H171*1000</f>
        <v>19791045.53676001</v>
      </c>
      <c r="I11" s="190"/>
      <c r="J11" s="331" t="s">
        <v>265</v>
      </c>
      <c r="K11" s="187">
        <f t="shared" ref="K11:K33" si="1">K10+1</f>
        <v>2</v>
      </c>
    </row>
    <row r="12" spans="1:17" x14ac:dyDescent="0.3">
      <c r="A12" s="187">
        <f t="shared" si="0"/>
        <v>3</v>
      </c>
      <c r="B12" s="190" t="s">
        <v>119</v>
      </c>
      <c r="C12" s="186">
        <v>0</v>
      </c>
      <c r="D12" s="186">
        <f>C12</f>
        <v>0</v>
      </c>
      <c r="E12" s="186">
        <f>D12</f>
        <v>0</v>
      </c>
      <c r="F12" s="186">
        <f>E12</f>
        <v>0</v>
      </c>
      <c r="G12" s="186">
        <f>F12</f>
        <v>0</v>
      </c>
      <c r="H12" s="186">
        <f>G12</f>
        <v>0</v>
      </c>
      <c r="I12" s="190"/>
      <c r="J12" s="331"/>
      <c r="K12" s="187">
        <f t="shared" si="1"/>
        <v>3</v>
      </c>
    </row>
    <row r="13" spans="1:17" ht="19.5" thickBot="1" x14ac:dyDescent="0.35">
      <c r="A13" s="187">
        <f t="shared" si="0"/>
        <v>4</v>
      </c>
      <c r="B13" s="190" t="s">
        <v>120</v>
      </c>
      <c r="C13" s="205">
        <f t="shared" ref="C13:H13" si="2">C11*C12</f>
        <v>0</v>
      </c>
      <c r="D13" s="205">
        <f t="shared" si="2"/>
        <v>0</v>
      </c>
      <c r="E13" s="205">
        <f t="shared" si="2"/>
        <v>0</v>
      </c>
      <c r="F13" s="205">
        <f t="shared" si="2"/>
        <v>0</v>
      </c>
      <c r="G13" s="205">
        <f t="shared" si="2"/>
        <v>0</v>
      </c>
      <c r="H13" s="205">
        <f t="shared" si="2"/>
        <v>0</v>
      </c>
      <c r="I13" s="190"/>
      <c r="J13" s="331" t="s">
        <v>121</v>
      </c>
      <c r="K13" s="187">
        <f t="shared" si="1"/>
        <v>4</v>
      </c>
    </row>
    <row r="14" spans="1:17" ht="19.5" thickTop="1" x14ac:dyDescent="0.3">
      <c r="A14" s="187">
        <f t="shared" si="0"/>
        <v>5</v>
      </c>
      <c r="B14" s="190"/>
      <c r="C14" s="190"/>
      <c r="D14" s="190"/>
      <c r="E14" s="190"/>
      <c r="F14" s="190"/>
      <c r="G14" s="190"/>
      <c r="H14" s="190"/>
      <c r="I14" s="190"/>
      <c r="J14" s="331"/>
      <c r="K14" s="187">
        <f t="shared" si="1"/>
        <v>5</v>
      </c>
    </row>
    <row r="15" spans="1:17" x14ac:dyDescent="0.3">
      <c r="A15" s="187">
        <f t="shared" si="0"/>
        <v>6</v>
      </c>
      <c r="B15" s="199" t="s">
        <v>266</v>
      </c>
      <c r="C15" s="190"/>
      <c r="D15" s="190"/>
      <c r="E15" s="190"/>
      <c r="F15" s="190"/>
      <c r="G15" s="190"/>
      <c r="H15" s="190"/>
      <c r="I15" s="190"/>
      <c r="J15" s="331"/>
      <c r="K15" s="187">
        <f t="shared" si="1"/>
        <v>6</v>
      </c>
    </row>
    <row r="16" spans="1:17" x14ac:dyDescent="0.3">
      <c r="A16" s="187">
        <f t="shared" si="0"/>
        <v>7</v>
      </c>
      <c r="B16" s="190" t="s">
        <v>123</v>
      </c>
      <c r="C16" s="210">
        <f>'Workpaper 1'!C189*1000</f>
        <v>38350.964271428114</v>
      </c>
      <c r="D16" s="210">
        <f>'Workpaper 1'!D189*1000</f>
        <v>38895.617596899559</v>
      </c>
      <c r="E16" s="210">
        <f>'Workpaper 1'!E189*1000</f>
        <v>36239.647057875001</v>
      </c>
      <c r="F16" s="210">
        <f>'Workpaper 1'!F189*1000</f>
        <v>37623.300147653754</v>
      </c>
      <c r="G16" s="210">
        <f>'Workpaper 1'!G189*1000</f>
        <v>45222.132609508553</v>
      </c>
      <c r="H16" s="210">
        <f>'Workpaper 1'!H189*1000</f>
        <v>50250.206027464425</v>
      </c>
      <c r="I16" s="190"/>
      <c r="J16" s="331" t="s">
        <v>267</v>
      </c>
      <c r="K16" s="187">
        <f t="shared" si="1"/>
        <v>7</v>
      </c>
    </row>
    <row r="17" spans="1:11" x14ac:dyDescent="0.3">
      <c r="A17" s="187">
        <f t="shared" si="0"/>
        <v>8</v>
      </c>
      <c r="B17" s="190" t="s">
        <v>125</v>
      </c>
      <c r="C17" s="210">
        <f>'Workpaper 1'!C190*1000</f>
        <v>16014.844725604618</v>
      </c>
      <c r="D17" s="210">
        <f>'Workpaper 1'!D190*1000</f>
        <v>16242.284598432221</v>
      </c>
      <c r="E17" s="210">
        <f>'Workpaper 1'!E190*1000</f>
        <v>15133.187171905509</v>
      </c>
      <c r="F17" s="210">
        <f>'Workpaper 1'!F190*1000</f>
        <v>15710.982015082853</v>
      </c>
      <c r="G17" s="210">
        <f>'Workpaper 1'!G190*1000</f>
        <v>18884.151824092114</v>
      </c>
      <c r="H17" s="210">
        <f>'Workpaper 1'!H190*1000</f>
        <v>17291.422088524727</v>
      </c>
      <c r="I17" s="190"/>
      <c r="J17" s="331" t="s">
        <v>268</v>
      </c>
      <c r="K17" s="187">
        <f t="shared" si="1"/>
        <v>8</v>
      </c>
    </row>
    <row r="18" spans="1:11" x14ac:dyDescent="0.3">
      <c r="A18" s="187">
        <f t="shared" si="0"/>
        <v>9</v>
      </c>
      <c r="B18" s="190" t="s">
        <v>127</v>
      </c>
      <c r="C18" s="210">
        <f>'Workpaper 1'!C191*1000</f>
        <v>0</v>
      </c>
      <c r="D18" s="210">
        <f>'Workpaper 1'!D191*1000</f>
        <v>0</v>
      </c>
      <c r="E18" s="210">
        <f>'Workpaper 1'!E191*1000</f>
        <v>0</v>
      </c>
      <c r="F18" s="210">
        <f>'Workpaper 1'!F191*1000</f>
        <v>0</v>
      </c>
      <c r="G18" s="210">
        <f>'Workpaper 1'!G191*1000</f>
        <v>0</v>
      </c>
      <c r="H18" s="210">
        <f>'Workpaper 1'!H191*1000</f>
        <v>0</v>
      </c>
      <c r="I18" s="190"/>
      <c r="J18" s="331" t="s">
        <v>269</v>
      </c>
      <c r="K18" s="187">
        <f t="shared" si="1"/>
        <v>9</v>
      </c>
    </row>
    <row r="19" spans="1:11" ht="19.5" thickBot="1" x14ac:dyDescent="0.35">
      <c r="A19" s="187">
        <f t="shared" si="0"/>
        <v>10</v>
      </c>
      <c r="B19" s="190" t="s">
        <v>129</v>
      </c>
      <c r="C19" s="209">
        <f t="shared" ref="C19:H19" si="3">SUM(C16:C18)</f>
        <v>54365.808997032735</v>
      </c>
      <c r="D19" s="209">
        <f t="shared" si="3"/>
        <v>55137.902195331779</v>
      </c>
      <c r="E19" s="209">
        <f t="shared" si="3"/>
        <v>51372.834229780507</v>
      </c>
      <c r="F19" s="209">
        <f t="shared" si="3"/>
        <v>53334.282162736607</v>
      </c>
      <c r="G19" s="209">
        <f t="shared" si="3"/>
        <v>64106.284433600667</v>
      </c>
      <c r="H19" s="209">
        <f t="shared" si="3"/>
        <v>67541.628115989151</v>
      </c>
      <c r="I19" s="190"/>
      <c r="J19" s="332" t="s">
        <v>130</v>
      </c>
      <c r="K19" s="187">
        <f t="shared" si="1"/>
        <v>10</v>
      </c>
    </row>
    <row r="20" spans="1:11" ht="20.25" thickTop="1" thickBot="1" x14ac:dyDescent="0.35">
      <c r="A20" s="187">
        <f t="shared" si="0"/>
        <v>11</v>
      </c>
      <c r="B20" s="190" t="s">
        <v>131</v>
      </c>
      <c r="C20" s="195">
        <f>'A-Billing Determinants'!D30</f>
        <v>54365.808997032727</v>
      </c>
      <c r="D20" s="195">
        <f>'A-Billing Determinants'!F30</f>
        <v>55137.902195331786</v>
      </c>
      <c r="E20" s="195">
        <f>'A-Billing Determinants'!H30</f>
        <v>51372.834229780514</v>
      </c>
      <c r="F20" s="195">
        <f>'A-Billing Determinants'!J30</f>
        <v>53334.282162736599</v>
      </c>
      <c r="G20" s="195">
        <f>'A-Billing Determinants'!L30</f>
        <v>64106.284433600675</v>
      </c>
      <c r="H20" s="195">
        <f>'A-Billing Determinants'!N30</f>
        <v>67541.628115989137</v>
      </c>
      <c r="I20" s="190"/>
      <c r="J20" s="331" t="s">
        <v>270</v>
      </c>
      <c r="K20" s="187">
        <f t="shared" si="1"/>
        <v>11</v>
      </c>
    </row>
    <row r="21" spans="1:11" ht="20.25" thickTop="1" thickBot="1" x14ac:dyDescent="0.35">
      <c r="A21" s="187">
        <f t="shared" si="0"/>
        <v>12</v>
      </c>
      <c r="B21" s="190" t="s">
        <v>133</v>
      </c>
      <c r="C21" s="195">
        <f t="shared" ref="C21:H21" si="4">C19-C20</f>
        <v>0</v>
      </c>
      <c r="D21" s="195">
        <f t="shared" si="4"/>
        <v>0</v>
      </c>
      <c r="E21" s="195">
        <f t="shared" si="4"/>
        <v>0</v>
      </c>
      <c r="F21" s="195">
        <f t="shared" si="4"/>
        <v>0</v>
      </c>
      <c r="G21" s="195">
        <f t="shared" si="4"/>
        <v>0</v>
      </c>
      <c r="H21" s="195">
        <f t="shared" si="4"/>
        <v>0</v>
      </c>
      <c r="I21" s="190"/>
      <c r="J21" s="333" t="s">
        <v>134</v>
      </c>
      <c r="K21" s="187">
        <f t="shared" si="1"/>
        <v>12</v>
      </c>
    </row>
    <row r="22" spans="1:11" ht="19.5" thickTop="1" x14ac:dyDescent="0.3">
      <c r="A22" s="187">
        <f t="shared" si="0"/>
        <v>13</v>
      </c>
      <c r="B22" s="190"/>
      <c r="C22" s="192"/>
      <c r="D22" s="192"/>
      <c r="E22" s="192"/>
      <c r="F22" s="192"/>
      <c r="G22" s="192"/>
      <c r="H22" s="192"/>
      <c r="I22" s="190"/>
      <c r="J22" s="333"/>
      <c r="K22" s="187">
        <f t="shared" si="1"/>
        <v>13</v>
      </c>
    </row>
    <row r="23" spans="1:11" x14ac:dyDescent="0.3">
      <c r="A23" s="187">
        <f t="shared" si="0"/>
        <v>14</v>
      </c>
      <c r="B23" s="193" t="s">
        <v>135</v>
      </c>
      <c r="C23" s="192"/>
      <c r="D23" s="192"/>
      <c r="E23" s="192"/>
      <c r="F23" s="192"/>
      <c r="G23" s="192"/>
      <c r="H23" s="192"/>
      <c r="I23" s="190"/>
      <c r="J23" s="333"/>
      <c r="K23" s="187">
        <f t="shared" si="1"/>
        <v>14</v>
      </c>
    </row>
    <row r="24" spans="1:11" x14ac:dyDescent="0.3">
      <c r="A24" s="187">
        <f t="shared" si="0"/>
        <v>15</v>
      </c>
      <c r="B24" s="193" t="s">
        <v>136</v>
      </c>
      <c r="C24" s="190"/>
      <c r="D24" s="190"/>
      <c r="E24" s="190"/>
      <c r="F24" s="190"/>
      <c r="G24" s="190"/>
      <c r="H24" s="190"/>
      <c r="I24" s="190"/>
      <c r="J24" s="331"/>
      <c r="K24" s="187">
        <f t="shared" si="1"/>
        <v>15</v>
      </c>
    </row>
    <row r="25" spans="1:11" x14ac:dyDescent="0.3">
      <c r="A25" s="187">
        <f t="shared" si="0"/>
        <v>16</v>
      </c>
      <c r="B25" s="190" t="s">
        <v>123</v>
      </c>
      <c r="C25" s="194">
        <f>'[2]Transmission Rates Summary'!$F$50</f>
        <v>10</v>
      </c>
      <c r="D25" s="194">
        <f t="shared" ref="D25:H27" si="5">C25</f>
        <v>10</v>
      </c>
      <c r="E25" s="194">
        <f t="shared" si="5"/>
        <v>10</v>
      </c>
      <c r="F25" s="194">
        <f t="shared" si="5"/>
        <v>10</v>
      </c>
      <c r="G25" s="194">
        <f t="shared" si="5"/>
        <v>10</v>
      </c>
      <c r="H25" s="194">
        <f t="shared" si="5"/>
        <v>10</v>
      </c>
      <c r="I25" s="190"/>
      <c r="J25" s="331" t="s">
        <v>271</v>
      </c>
      <c r="K25" s="187">
        <f t="shared" si="1"/>
        <v>16</v>
      </c>
    </row>
    <row r="26" spans="1:11" x14ac:dyDescent="0.3">
      <c r="A26" s="187">
        <f t="shared" si="0"/>
        <v>17</v>
      </c>
      <c r="B26" s="190" t="s">
        <v>138</v>
      </c>
      <c r="C26" s="194">
        <f>'[2]Transmission Rates Summary'!$E$50</f>
        <v>9.66</v>
      </c>
      <c r="D26" s="194">
        <f t="shared" si="5"/>
        <v>9.66</v>
      </c>
      <c r="E26" s="194">
        <f t="shared" si="5"/>
        <v>9.66</v>
      </c>
      <c r="F26" s="194">
        <f t="shared" si="5"/>
        <v>9.66</v>
      </c>
      <c r="G26" s="194">
        <f t="shared" si="5"/>
        <v>9.66</v>
      </c>
      <c r="H26" s="194">
        <f t="shared" si="5"/>
        <v>9.66</v>
      </c>
      <c r="I26" s="190"/>
      <c r="J26" s="331" t="s">
        <v>272</v>
      </c>
      <c r="K26" s="187">
        <f t="shared" si="1"/>
        <v>17</v>
      </c>
    </row>
    <row r="27" spans="1:11" x14ac:dyDescent="0.3">
      <c r="A27" s="187">
        <f t="shared" si="0"/>
        <v>18</v>
      </c>
      <c r="B27" s="190" t="s">
        <v>127</v>
      </c>
      <c r="C27" s="208">
        <f>'[2]Transmission Rates Summary'!$D$50</f>
        <v>9.61</v>
      </c>
      <c r="D27" s="208">
        <f t="shared" si="5"/>
        <v>9.61</v>
      </c>
      <c r="E27" s="208">
        <f t="shared" si="5"/>
        <v>9.61</v>
      </c>
      <c r="F27" s="208">
        <f t="shared" si="5"/>
        <v>9.61</v>
      </c>
      <c r="G27" s="208">
        <f t="shared" si="5"/>
        <v>9.61</v>
      </c>
      <c r="H27" s="208">
        <f t="shared" si="5"/>
        <v>9.61</v>
      </c>
      <c r="I27" s="190"/>
      <c r="J27" s="331" t="s">
        <v>273</v>
      </c>
      <c r="K27" s="187">
        <f t="shared" si="1"/>
        <v>18</v>
      </c>
    </row>
    <row r="28" spans="1:11" x14ac:dyDescent="0.3">
      <c r="A28" s="187">
        <f t="shared" si="0"/>
        <v>19</v>
      </c>
      <c r="B28" s="193" t="s">
        <v>141</v>
      </c>
      <c r="C28" s="194"/>
      <c r="D28" s="207"/>
      <c r="E28" s="207"/>
      <c r="F28" s="207"/>
      <c r="G28" s="207"/>
      <c r="H28" s="207"/>
      <c r="I28" s="190"/>
      <c r="J28" s="331"/>
      <c r="K28" s="187">
        <f t="shared" si="1"/>
        <v>19</v>
      </c>
    </row>
    <row r="29" spans="1:11" x14ac:dyDescent="0.3">
      <c r="A29" s="187">
        <f t="shared" si="0"/>
        <v>20</v>
      </c>
      <c r="B29" s="193" t="s">
        <v>142</v>
      </c>
      <c r="C29" s="192"/>
      <c r="D29" s="192"/>
      <c r="E29" s="192"/>
      <c r="F29" s="192"/>
      <c r="G29" s="192"/>
      <c r="H29" s="192"/>
      <c r="I29" s="190"/>
      <c r="J29" s="333"/>
      <c r="K29" s="187">
        <f t="shared" si="1"/>
        <v>20</v>
      </c>
    </row>
    <row r="30" spans="1:11" x14ac:dyDescent="0.3">
      <c r="A30" s="187">
        <f t="shared" si="0"/>
        <v>21</v>
      </c>
      <c r="B30" s="190" t="s">
        <v>123</v>
      </c>
      <c r="C30" s="206">
        <f>C25*C16</f>
        <v>383509.64271428116</v>
      </c>
      <c r="D30" s="206">
        <f t="shared" ref="C30:H32" si="6">D25*D16</f>
        <v>388956.17596899561</v>
      </c>
      <c r="E30" s="206">
        <f t="shared" si="6"/>
        <v>362396.47057875001</v>
      </c>
      <c r="F30" s="206">
        <f t="shared" si="6"/>
        <v>376233.00147653755</v>
      </c>
      <c r="G30" s="206">
        <f t="shared" si="6"/>
        <v>452221.32609508553</v>
      </c>
      <c r="H30" s="206">
        <f t="shared" si="6"/>
        <v>502502.06027464423</v>
      </c>
      <c r="I30" s="190"/>
      <c r="J30" s="333" t="s">
        <v>143</v>
      </c>
      <c r="K30" s="187">
        <f t="shared" si="1"/>
        <v>21</v>
      </c>
    </row>
    <row r="31" spans="1:11" x14ac:dyDescent="0.3">
      <c r="A31" s="187">
        <f t="shared" si="0"/>
        <v>22</v>
      </c>
      <c r="B31" s="190" t="s">
        <v>125</v>
      </c>
      <c r="C31" s="192">
        <f t="shared" si="6"/>
        <v>154703.40004934062</v>
      </c>
      <c r="D31" s="192">
        <f t="shared" si="6"/>
        <v>156900.46922085527</v>
      </c>
      <c r="E31" s="192">
        <f t="shared" si="6"/>
        <v>146186.58808060721</v>
      </c>
      <c r="F31" s="192">
        <f t="shared" si="6"/>
        <v>151768.08626570035</v>
      </c>
      <c r="G31" s="192">
        <f t="shared" si="6"/>
        <v>182420.90662072983</v>
      </c>
      <c r="H31" s="192">
        <f t="shared" si="6"/>
        <v>167035.13737514886</v>
      </c>
      <c r="I31" s="190"/>
      <c r="J31" s="333" t="s">
        <v>144</v>
      </c>
      <c r="K31" s="187">
        <f t="shared" si="1"/>
        <v>22</v>
      </c>
    </row>
    <row r="32" spans="1:11" x14ac:dyDescent="0.3">
      <c r="A32" s="187">
        <f t="shared" si="0"/>
        <v>23</v>
      </c>
      <c r="B32" s="190" t="s">
        <v>127</v>
      </c>
      <c r="C32" s="192">
        <f t="shared" si="6"/>
        <v>0</v>
      </c>
      <c r="D32" s="192">
        <f t="shared" si="6"/>
        <v>0</v>
      </c>
      <c r="E32" s="192">
        <f t="shared" si="6"/>
        <v>0</v>
      </c>
      <c r="F32" s="192">
        <f t="shared" si="6"/>
        <v>0</v>
      </c>
      <c r="G32" s="192">
        <f t="shared" si="6"/>
        <v>0</v>
      </c>
      <c r="H32" s="192">
        <f t="shared" si="6"/>
        <v>0</v>
      </c>
      <c r="I32" s="190"/>
      <c r="J32" s="333" t="s">
        <v>145</v>
      </c>
      <c r="K32" s="187">
        <f t="shared" si="1"/>
        <v>23</v>
      </c>
    </row>
    <row r="33" spans="1:17" ht="19.5" thickBot="1" x14ac:dyDescent="0.35">
      <c r="A33" s="187">
        <f t="shared" si="0"/>
        <v>24</v>
      </c>
      <c r="B33" s="190" t="s">
        <v>146</v>
      </c>
      <c r="C33" s="205">
        <f t="shared" ref="C33:H33" si="7">SUM(C30:C32)</f>
        <v>538213.04276362178</v>
      </c>
      <c r="D33" s="205">
        <f t="shared" si="7"/>
        <v>545856.64518985082</v>
      </c>
      <c r="E33" s="205">
        <f t="shared" si="7"/>
        <v>508583.05865935725</v>
      </c>
      <c r="F33" s="205">
        <f t="shared" si="7"/>
        <v>528001.08774223784</v>
      </c>
      <c r="G33" s="205">
        <f t="shared" si="7"/>
        <v>634642.23271581531</v>
      </c>
      <c r="H33" s="205">
        <f t="shared" si="7"/>
        <v>669537.19764979312</v>
      </c>
      <c r="I33" s="190"/>
      <c r="J33" s="332" t="s">
        <v>147</v>
      </c>
      <c r="K33" s="187">
        <f t="shared" si="1"/>
        <v>24</v>
      </c>
    </row>
    <row r="34" spans="1:17" ht="19.5" thickTop="1" x14ac:dyDescent="0.3">
      <c r="A34" s="184"/>
      <c r="B34" s="186"/>
      <c r="C34" s="186"/>
      <c r="D34" s="186"/>
      <c r="E34" s="186"/>
      <c r="F34" s="186"/>
      <c r="G34" s="186"/>
      <c r="H34" s="186"/>
      <c r="I34" s="186"/>
      <c r="J34" s="334"/>
      <c r="K34" s="184"/>
    </row>
    <row r="35" spans="1:17" x14ac:dyDescent="0.3">
      <c r="A35" s="180"/>
      <c r="J35" s="335"/>
      <c r="O35" s="183"/>
      <c r="P35" s="180"/>
      <c r="Q35" s="180"/>
    </row>
    <row r="36" spans="1:17" x14ac:dyDescent="0.3">
      <c r="A36" s="203" t="s">
        <v>8</v>
      </c>
      <c r="B36" s="204"/>
      <c r="C36" s="203" t="str">
        <f t="shared" ref="C36:I36" si="8">C7</f>
        <v>(A)</v>
      </c>
      <c r="D36" s="203" t="str">
        <f t="shared" si="8"/>
        <v>(B)</v>
      </c>
      <c r="E36" s="203" t="str">
        <f t="shared" si="8"/>
        <v>(C)</v>
      </c>
      <c r="F36" s="203" t="str">
        <f t="shared" si="8"/>
        <v>(D)</v>
      </c>
      <c r="G36" s="203" t="str">
        <f t="shared" si="8"/>
        <v>(E)</v>
      </c>
      <c r="H36" s="203" t="str">
        <f t="shared" si="8"/>
        <v>(F)</v>
      </c>
      <c r="I36" s="203" t="str">
        <f t="shared" si="8"/>
        <v>(G)</v>
      </c>
      <c r="J36" s="336"/>
      <c r="K36" s="203" t="s">
        <v>8</v>
      </c>
      <c r="O36" s="183"/>
      <c r="P36" s="180"/>
      <c r="Q36" s="180"/>
    </row>
    <row r="37" spans="1:17" ht="22.5" x14ac:dyDescent="0.3">
      <c r="A37" s="184" t="s">
        <v>10</v>
      </c>
      <c r="B37" s="184" t="s">
        <v>114</v>
      </c>
      <c r="C37" s="29">
        <f>'Summary of Revs @ Changed Rates'!C30</f>
        <v>46204</v>
      </c>
      <c r="D37" s="29">
        <f>'Summary of Revs @ Changed Rates'!D30</f>
        <v>46235</v>
      </c>
      <c r="E37" s="29">
        <f>'Summary of Revs @ Changed Rates'!E30</f>
        <v>46266</v>
      </c>
      <c r="F37" s="29">
        <f>'Summary of Revs @ Changed Rates'!F30</f>
        <v>46296</v>
      </c>
      <c r="G37" s="29">
        <f>'Summary of Revs @ Changed Rates'!G30</f>
        <v>46327</v>
      </c>
      <c r="H37" s="29">
        <f>'Summary of Revs @ Changed Rates'!H30</f>
        <v>46357</v>
      </c>
      <c r="I37" s="202" t="s">
        <v>61</v>
      </c>
      <c r="J37" s="201" t="s">
        <v>249</v>
      </c>
      <c r="K37" s="184" t="s">
        <v>10</v>
      </c>
      <c r="O37" s="183"/>
      <c r="P37" s="180"/>
      <c r="Q37" s="180"/>
    </row>
    <row r="38" spans="1:17" x14ac:dyDescent="0.3">
      <c r="A38" s="187"/>
      <c r="B38" s="190"/>
      <c r="C38" s="200"/>
      <c r="D38" s="200"/>
      <c r="E38" s="200"/>
      <c r="F38" s="200"/>
      <c r="G38" s="200"/>
      <c r="H38" s="200"/>
      <c r="I38" s="187"/>
      <c r="J38" s="331"/>
      <c r="K38" s="187"/>
      <c r="O38" s="183"/>
      <c r="P38" s="180"/>
      <c r="Q38" s="180"/>
    </row>
    <row r="39" spans="1:17" x14ac:dyDescent="0.3">
      <c r="A39" s="187">
        <f>A33+1</f>
        <v>25</v>
      </c>
      <c r="B39" s="193" t="s">
        <v>116</v>
      </c>
      <c r="C39" s="190"/>
      <c r="D39" s="190"/>
      <c r="E39" s="190"/>
      <c r="F39" s="190"/>
      <c r="G39" s="190"/>
      <c r="H39" s="190"/>
      <c r="I39" s="190"/>
      <c r="J39" s="331"/>
      <c r="K39" s="187">
        <f>K33+1</f>
        <v>25</v>
      </c>
      <c r="O39" s="183"/>
      <c r="P39" s="180"/>
      <c r="Q39" s="180"/>
    </row>
    <row r="40" spans="1:17" x14ac:dyDescent="0.3">
      <c r="A40" s="187">
        <f t="shared" ref="A40:A62" si="9">A39+1</f>
        <v>26</v>
      </c>
      <c r="B40" s="190" t="s">
        <v>117</v>
      </c>
      <c r="C40" s="210">
        <f>'Workpaper 1'!I171*1000</f>
        <v>21824505.864378165</v>
      </c>
      <c r="D40" s="210">
        <f>'Workpaper 1'!J171*1000</f>
        <v>21947825.423344754</v>
      </c>
      <c r="E40" s="210">
        <f>'Workpaper 1'!K171*1000</f>
        <v>21857831.109899174</v>
      </c>
      <c r="F40" s="210">
        <f>'Workpaper 1'!L171*1000</f>
        <v>21118824.263870798</v>
      </c>
      <c r="G40" s="210">
        <f>'Workpaper 1'!M171*1000</f>
        <v>19755426.797113776</v>
      </c>
      <c r="H40" s="210">
        <f>'Workpaper 1'!N171*1000</f>
        <v>18182715.474677801</v>
      </c>
      <c r="I40" s="192">
        <f>SUM(C11:H11,C40:H40)</f>
        <v>226880081.9751851</v>
      </c>
      <c r="J40" s="331" t="str">
        <f>J11</f>
        <v>(Page BG-21.4, Line 169) x 1000</v>
      </c>
      <c r="K40" s="187">
        <f t="shared" ref="K40:K62" si="10">K39+1</f>
        <v>26</v>
      </c>
      <c r="O40" s="183"/>
      <c r="P40" s="180"/>
      <c r="Q40" s="180"/>
    </row>
    <row r="41" spans="1:17" x14ac:dyDescent="0.3">
      <c r="A41" s="187">
        <f t="shared" si="9"/>
        <v>27</v>
      </c>
      <c r="B41" s="190" t="s">
        <v>119</v>
      </c>
      <c r="C41" s="186">
        <f>H12</f>
        <v>0</v>
      </c>
      <c r="D41" s="186">
        <f>C41</f>
        <v>0</v>
      </c>
      <c r="E41" s="186">
        <f>D41</f>
        <v>0</v>
      </c>
      <c r="F41" s="186">
        <f>E41</f>
        <v>0</v>
      </c>
      <c r="G41" s="186">
        <f>F41</f>
        <v>0</v>
      </c>
      <c r="H41" s="186">
        <f>G41</f>
        <v>0</v>
      </c>
      <c r="I41" s="192">
        <f>SUM(C12:H12,C41:H41)</f>
        <v>0</v>
      </c>
      <c r="J41" s="331"/>
      <c r="K41" s="187">
        <f t="shared" si="10"/>
        <v>27</v>
      </c>
      <c r="O41" s="183"/>
      <c r="P41" s="180"/>
      <c r="Q41" s="180"/>
    </row>
    <row r="42" spans="1:17" ht="19.5" thickBot="1" x14ac:dyDescent="0.35">
      <c r="A42" s="187">
        <f t="shared" si="9"/>
        <v>28</v>
      </c>
      <c r="B42" s="190"/>
      <c r="C42" s="189">
        <f t="shared" ref="C42:H42" si="11">C40*C41</f>
        <v>0</v>
      </c>
      <c r="D42" s="189">
        <f t="shared" si="11"/>
        <v>0</v>
      </c>
      <c r="E42" s="189">
        <f t="shared" si="11"/>
        <v>0</v>
      </c>
      <c r="F42" s="189">
        <f t="shared" si="11"/>
        <v>0</v>
      </c>
      <c r="G42" s="189">
        <f t="shared" si="11"/>
        <v>0</v>
      </c>
      <c r="H42" s="189">
        <f t="shared" si="11"/>
        <v>0</v>
      </c>
      <c r="I42" s="189">
        <f>SUM(C13:H13,C42:H42)</f>
        <v>0</v>
      </c>
      <c r="J42" s="331" t="s">
        <v>148</v>
      </c>
      <c r="K42" s="187">
        <f t="shared" si="10"/>
        <v>28</v>
      </c>
      <c r="O42" s="183"/>
      <c r="P42" s="180"/>
      <c r="Q42" s="180"/>
    </row>
    <row r="43" spans="1:17" ht="19.5" thickTop="1" x14ac:dyDescent="0.3">
      <c r="A43" s="187">
        <f t="shared" si="9"/>
        <v>29</v>
      </c>
      <c r="B43" s="190"/>
      <c r="C43" s="190"/>
      <c r="D43" s="190"/>
      <c r="E43" s="190"/>
      <c r="F43" s="190"/>
      <c r="G43" s="190"/>
      <c r="H43" s="190"/>
      <c r="I43" s="190"/>
      <c r="J43" s="331"/>
      <c r="K43" s="187">
        <f t="shared" si="10"/>
        <v>29</v>
      </c>
      <c r="O43" s="183"/>
      <c r="P43" s="180"/>
      <c r="Q43" s="180"/>
    </row>
    <row r="44" spans="1:17" x14ac:dyDescent="0.3">
      <c r="A44" s="187">
        <f t="shared" si="9"/>
        <v>30</v>
      </c>
      <c r="B44" s="199" t="s">
        <v>266</v>
      </c>
      <c r="C44" s="190"/>
      <c r="D44" s="190"/>
      <c r="E44" s="190"/>
      <c r="F44" s="190"/>
      <c r="G44" s="190"/>
      <c r="H44" s="190"/>
      <c r="I44" s="190"/>
      <c r="J44" s="331"/>
      <c r="K44" s="187">
        <f t="shared" si="10"/>
        <v>30</v>
      </c>
      <c r="O44" s="183"/>
      <c r="P44" s="180"/>
      <c r="Q44" s="180"/>
    </row>
    <row r="45" spans="1:17" x14ac:dyDescent="0.3">
      <c r="A45" s="187">
        <f t="shared" si="9"/>
        <v>31</v>
      </c>
      <c r="B45" s="190" t="s">
        <v>123</v>
      </c>
      <c r="C45" s="198">
        <f>'Workpaper 1'!I189*1000</f>
        <v>55413.237976519078</v>
      </c>
      <c r="D45" s="198">
        <f>'Workpaper 1'!J189*1000</f>
        <v>55726.350956516879</v>
      </c>
      <c r="E45" s="198">
        <f>'Workpaper 1'!K189*1000</f>
        <v>55497.852023323037</v>
      </c>
      <c r="F45" s="198">
        <f>'Workpaper 1'!L189*1000</f>
        <v>53621.485956676508</v>
      </c>
      <c r="G45" s="198">
        <f>'Workpaper 1'!M189*1000</f>
        <v>47069.490109794577</v>
      </c>
      <c r="H45" s="198">
        <f>'Workpaper 1'!N189*1000</f>
        <v>43322.331377300005</v>
      </c>
      <c r="I45" s="192">
        <f>SUM(C16:H16,C45:H45)</f>
        <v>557232.61611095956</v>
      </c>
      <c r="J45" s="331" t="str">
        <f>J16</f>
        <v>(Page BG-21.4, Line 187) x 1000</v>
      </c>
      <c r="K45" s="187">
        <f t="shared" si="10"/>
        <v>31</v>
      </c>
      <c r="O45" s="183"/>
      <c r="P45" s="180"/>
      <c r="Q45" s="180"/>
    </row>
    <row r="46" spans="1:17" x14ac:dyDescent="0.3">
      <c r="A46" s="187">
        <f t="shared" si="9"/>
        <v>32</v>
      </c>
      <c r="B46" s="190" t="s">
        <v>125</v>
      </c>
      <c r="C46" s="198">
        <f>'Workpaper 1'!I190*1000</f>
        <v>19068.054897529499</v>
      </c>
      <c r="D46" s="198">
        <f>'Workpaper 1'!J190*1000</f>
        <v>19175.799106490129</v>
      </c>
      <c r="E46" s="198">
        <f>'Workpaper 1'!K190*1000</f>
        <v>19097.171140298844</v>
      </c>
      <c r="F46" s="198">
        <f>'Workpaper 1'!L190*1000</f>
        <v>18451.501396512384</v>
      </c>
      <c r="G46" s="198">
        <f>'Workpaper 1'!M190*1000</f>
        <v>19655.583366474559</v>
      </c>
      <c r="H46" s="198">
        <f>'Workpaper 1'!N190*1000</f>
        <v>18090.820487544752</v>
      </c>
      <c r="I46" s="192">
        <f>SUM(C17:H17,C46:H46)</f>
        <v>212815.80281849217</v>
      </c>
      <c r="J46" s="331" t="str">
        <f>J17</f>
        <v>(Page BG-21.4, Line 188) x 1000</v>
      </c>
      <c r="K46" s="187">
        <f t="shared" si="10"/>
        <v>32</v>
      </c>
      <c r="O46" s="183"/>
      <c r="P46" s="180"/>
      <c r="Q46" s="180"/>
    </row>
    <row r="47" spans="1:17" x14ac:dyDescent="0.3">
      <c r="A47" s="187">
        <f t="shared" si="9"/>
        <v>33</v>
      </c>
      <c r="B47" s="190" t="s">
        <v>127</v>
      </c>
      <c r="C47" s="198">
        <f>'Workpaper 1'!I191*1000</f>
        <v>0</v>
      </c>
      <c r="D47" s="198">
        <f>'Workpaper 1'!J191*1000</f>
        <v>0</v>
      </c>
      <c r="E47" s="198">
        <f>'Workpaper 1'!K191*1000</f>
        <v>0</v>
      </c>
      <c r="F47" s="198">
        <f>'Workpaper 1'!L191*1000</f>
        <v>0</v>
      </c>
      <c r="G47" s="198">
        <f>'Workpaper 1'!M191*1000</f>
        <v>0</v>
      </c>
      <c r="H47" s="198">
        <f>'Workpaper 1'!N191*1000</f>
        <v>0</v>
      </c>
      <c r="I47" s="192">
        <f>SUM(C18:H18,C47:H47)</f>
        <v>0</v>
      </c>
      <c r="J47" s="331" t="str">
        <f>J18</f>
        <v>(Page BG-21.4, Line 189) x 1000</v>
      </c>
      <c r="K47" s="187">
        <f t="shared" si="10"/>
        <v>33</v>
      </c>
      <c r="O47" s="183"/>
      <c r="P47" s="180"/>
      <c r="Q47" s="180"/>
    </row>
    <row r="48" spans="1:17" ht="19.5" thickBot="1" x14ac:dyDescent="0.35">
      <c r="A48" s="187">
        <f t="shared" si="9"/>
        <v>34</v>
      </c>
      <c r="B48" s="190" t="s">
        <v>129</v>
      </c>
      <c r="C48" s="197">
        <f t="shared" ref="C48:I48" si="12">SUM(C45:C47)</f>
        <v>74481.29287404858</v>
      </c>
      <c r="D48" s="197">
        <f t="shared" si="12"/>
        <v>74902.150063007008</v>
      </c>
      <c r="E48" s="197">
        <f t="shared" si="12"/>
        <v>74595.023163621881</v>
      </c>
      <c r="F48" s="197">
        <f t="shared" si="12"/>
        <v>72072.987353188888</v>
      </c>
      <c r="G48" s="197">
        <f t="shared" si="12"/>
        <v>66725.073476269143</v>
      </c>
      <c r="H48" s="197">
        <f t="shared" si="12"/>
        <v>61413.151864844753</v>
      </c>
      <c r="I48" s="196">
        <f t="shared" si="12"/>
        <v>770048.41892945173</v>
      </c>
      <c r="J48" s="332" t="s">
        <v>149</v>
      </c>
      <c r="K48" s="187">
        <f t="shared" si="10"/>
        <v>34</v>
      </c>
      <c r="O48" s="183"/>
      <c r="P48" s="180"/>
      <c r="Q48" s="180"/>
    </row>
    <row r="49" spans="1:17" ht="20.25" thickTop="1" thickBot="1" x14ac:dyDescent="0.35">
      <c r="A49" s="187">
        <f t="shared" si="9"/>
        <v>35</v>
      </c>
      <c r="B49" s="190" t="s">
        <v>131</v>
      </c>
      <c r="C49" s="195">
        <f>'B-Billing Determinants'!D30</f>
        <v>74481.29287404858</v>
      </c>
      <c r="D49" s="195">
        <f>'B-Billing Determinants'!F30</f>
        <v>74902.150063007008</v>
      </c>
      <c r="E49" s="195">
        <f>'B-Billing Determinants'!H30</f>
        <v>74595.023163621881</v>
      </c>
      <c r="F49" s="195">
        <f>'B-Billing Determinants'!J30</f>
        <v>72072.987353188888</v>
      </c>
      <c r="G49" s="195">
        <f>'B-Billing Determinants'!L30</f>
        <v>66725.073476269128</v>
      </c>
      <c r="H49" s="195">
        <f>'B-Billing Determinants'!N30</f>
        <v>61413.151864844753</v>
      </c>
      <c r="I49" s="192">
        <f>SUM(C20:H20,C49:H49)</f>
        <v>770048.41892945173</v>
      </c>
      <c r="J49" s="331" t="s">
        <v>274</v>
      </c>
      <c r="K49" s="187">
        <f t="shared" si="10"/>
        <v>35</v>
      </c>
      <c r="O49" s="183"/>
      <c r="P49" s="180"/>
      <c r="Q49" s="180"/>
    </row>
    <row r="50" spans="1:17" ht="20.25" thickTop="1" thickBot="1" x14ac:dyDescent="0.35">
      <c r="A50" s="187">
        <f t="shared" si="9"/>
        <v>36</v>
      </c>
      <c r="B50" s="190" t="s">
        <v>133</v>
      </c>
      <c r="C50" s="195">
        <f t="shared" ref="C50:I50" si="13">C48-C49</f>
        <v>0</v>
      </c>
      <c r="D50" s="195">
        <f t="shared" si="13"/>
        <v>0</v>
      </c>
      <c r="E50" s="195">
        <f t="shared" si="13"/>
        <v>0</v>
      </c>
      <c r="F50" s="195">
        <f t="shared" si="13"/>
        <v>0</v>
      </c>
      <c r="G50" s="195">
        <f t="shared" si="13"/>
        <v>0</v>
      </c>
      <c r="H50" s="195">
        <f t="shared" si="13"/>
        <v>0</v>
      </c>
      <c r="I50" s="195">
        <f t="shared" si="13"/>
        <v>0</v>
      </c>
      <c r="J50" s="333" t="s">
        <v>151</v>
      </c>
      <c r="K50" s="187">
        <f t="shared" si="10"/>
        <v>36</v>
      </c>
      <c r="O50" s="183"/>
      <c r="P50" s="180"/>
      <c r="Q50" s="180"/>
    </row>
    <row r="51" spans="1:17" ht="19.5" thickTop="1" x14ac:dyDescent="0.3">
      <c r="A51" s="187">
        <f t="shared" si="9"/>
        <v>37</v>
      </c>
      <c r="B51" s="187"/>
      <c r="C51" s="192"/>
      <c r="D51" s="192"/>
      <c r="E51" s="192"/>
      <c r="F51" s="192"/>
      <c r="G51" s="192"/>
      <c r="H51" s="192"/>
      <c r="I51" s="192"/>
      <c r="J51" s="333"/>
      <c r="K51" s="187">
        <f t="shared" si="10"/>
        <v>37</v>
      </c>
      <c r="O51" s="183"/>
      <c r="P51" s="180"/>
      <c r="Q51" s="180"/>
    </row>
    <row r="52" spans="1:17" x14ac:dyDescent="0.3">
      <c r="A52" s="187">
        <f t="shared" si="9"/>
        <v>38</v>
      </c>
      <c r="B52" s="193" t="s">
        <v>135</v>
      </c>
      <c r="C52" s="192"/>
      <c r="D52" s="192"/>
      <c r="E52" s="192"/>
      <c r="F52" s="192"/>
      <c r="G52" s="192"/>
      <c r="H52" s="192"/>
      <c r="I52" s="192"/>
      <c r="J52" s="333"/>
      <c r="K52" s="187">
        <f t="shared" si="10"/>
        <v>38</v>
      </c>
      <c r="O52" s="183"/>
      <c r="P52" s="180"/>
      <c r="Q52" s="180"/>
    </row>
    <row r="53" spans="1:17" x14ac:dyDescent="0.3">
      <c r="A53" s="187">
        <f t="shared" si="9"/>
        <v>39</v>
      </c>
      <c r="B53" s="193" t="s">
        <v>136</v>
      </c>
      <c r="C53" s="190"/>
      <c r="D53" s="190"/>
      <c r="E53" s="190"/>
      <c r="F53" s="190"/>
      <c r="G53" s="190"/>
      <c r="H53" s="190"/>
      <c r="I53" s="190"/>
      <c r="J53" s="331"/>
      <c r="K53" s="187">
        <f t="shared" si="10"/>
        <v>39</v>
      </c>
      <c r="O53" s="183"/>
      <c r="P53" s="180"/>
      <c r="Q53" s="180"/>
    </row>
    <row r="54" spans="1:17" x14ac:dyDescent="0.3">
      <c r="A54" s="187">
        <f t="shared" si="9"/>
        <v>40</v>
      </c>
      <c r="B54" s="190" t="s">
        <v>123</v>
      </c>
      <c r="C54" s="194">
        <f>H25</f>
        <v>10</v>
      </c>
      <c r="D54" s="194">
        <f t="shared" ref="D54:H56" si="14">C54</f>
        <v>10</v>
      </c>
      <c r="E54" s="194">
        <f t="shared" si="14"/>
        <v>10</v>
      </c>
      <c r="F54" s="194">
        <f t="shared" si="14"/>
        <v>10</v>
      </c>
      <c r="G54" s="194">
        <f t="shared" si="14"/>
        <v>10</v>
      </c>
      <c r="H54" s="194">
        <f t="shared" si="14"/>
        <v>10</v>
      </c>
      <c r="I54" s="190"/>
      <c r="J54" s="331" t="str">
        <f>J25</f>
        <v>Statement BL, Page BL-1, Line 37, Col. D</v>
      </c>
      <c r="K54" s="187">
        <f t="shared" si="10"/>
        <v>40</v>
      </c>
      <c r="O54" s="183"/>
      <c r="P54" s="180"/>
      <c r="Q54" s="180"/>
    </row>
    <row r="55" spans="1:17" x14ac:dyDescent="0.3">
      <c r="A55" s="187">
        <f t="shared" si="9"/>
        <v>41</v>
      </c>
      <c r="B55" s="190" t="s">
        <v>138</v>
      </c>
      <c r="C55" s="194">
        <f>H26</f>
        <v>9.66</v>
      </c>
      <c r="D55" s="194">
        <f t="shared" si="14"/>
        <v>9.66</v>
      </c>
      <c r="E55" s="194">
        <f t="shared" si="14"/>
        <v>9.66</v>
      </c>
      <c r="F55" s="194">
        <f t="shared" si="14"/>
        <v>9.66</v>
      </c>
      <c r="G55" s="194">
        <f t="shared" si="14"/>
        <v>9.66</v>
      </c>
      <c r="H55" s="194">
        <f t="shared" si="14"/>
        <v>9.66</v>
      </c>
      <c r="I55" s="190"/>
      <c r="J55" s="331" t="str">
        <f>J26</f>
        <v>Statement BL, Page BL-1, Line 37, Col. C</v>
      </c>
      <c r="K55" s="187">
        <f t="shared" si="10"/>
        <v>41</v>
      </c>
      <c r="O55" s="183"/>
      <c r="P55" s="180"/>
      <c r="Q55" s="180"/>
    </row>
    <row r="56" spans="1:17" x14ac:dyDescent="0.3">
      <c r="A56" s="187">
        <f t="shared" si="9"/>
        <v>42</v>
      </c>
      <c r="B56" s="190" t="s">
        <v>127</v>
      </c>
      <c r="C56" s="194">
        <f>H27</f>
        <v>9.61</v>
      </c>
      <c r="D56" s="194">
        <f t="shared" si="14"/>
        <v>9.61</v>
      </c>
      <c r="E56" s="194">
        <f t="shared" si="14"/>
        <v>9.61</v>
      </c>
      <c r="F56" s="194">
        <f t="shared" si="14"/>
        <v>9.61</v>
      </c>
      <c r="G56" s="194">
        <f t="shared" si="14"/>
        <v>9.61</v>
      </c>
      <c r="H56" s="194">
        <f t="shared" si="14"/>
        <v>9.61</v>
      </c>
      <c r="I56" s="190"/>
      <c r="J56" s="331" t="str">
        <f>J27</f>
        <v>Statement BL, Page BL-1, Line 37, Col. B</v>
      </c>
      <c r="K56" s="187">
        <f t="shared" si="10"/>
        <v>42</v>
      </c>
      <c r="O56" s="183"/>
      <c r="P56" s="180"/>
      <c r="Q56" s="180"/>
    </row>
    <row r="57" spans="1:17" x14ac:dyDescent="0.3">
      <c r="A57" s="187">
        <f t="shared" si="9"/>
        <v>43</v>
      </c>
      <c r="B57" s="193" t="s">
        <v>141</v>
      </c>
      <c r="C57" s="194"/>
      <c r="D57" s="194"/>
      <c r="E57" s="194"/>
      <c r="F57" s="194"/>
      <c r="G57" s="194"/>
      <c r="H57" s="194"/>
      <c r="I57" s="190"/>
      <c r="J57" s="338"/>
      <c r="K57" s="187">
        <f t="shared" si="10"/>
        <v>43</v>
      </c>
      <c r="O57" s="183"/>
      <c r="P57" s="180"/>
      <c r="Q57" s="180"/>
    </row>
    <row r="58" spans="1:17" x14ac:dyDescent="0.3">
      <c r="A58" s="187">
        <f t="shared" si="9"/>
        <v>44</v>
      </c>
      <c r="B58" s="193" t="s">
        <v>142</v>
      </c>
      <c r="C58" s="192"/>
      <c r="D58" s="192"/>
      <c r="E58" s="192"/>
      <c r="F58" s="192"/>
      <c r="G58" s="192"/>
      <c r="H58" s="192"/>
      <c r="I58" s="192"/>
      <c r="J58" s="339"/>
      <c r="K58" s="187">
        <f t="shared" si="10"/>
        <v>44</v>
      </c>
      <c r="O58" s="183"/>
      <c r="P58" s="180"/>
      <c r="Q58" s="180"/>
    </row>
    <row r="59" spans="1:17" x14ac:dyDescent="0.3">
      <c r="A59" s="187">
        <f t="shared" si="9"/>
        <v>45</v>
      </c>
      <c r="B59" s="190" t="s">
        <v>123</v>
      </c>
      <c r="C59" s="191">
        <f t="shared" ref="C59:H61" si="15">C54*C45</f>
        <v>554132.37976519077</v>
      </c>
      <c r="D59" s="191">
        <f t="shared" si="15"/>
        <v>557263.50956516876</v>
      </c>
      <c r="E59" s="191">
        <f t="shared" si="15"/>
        <v>554978.52023323043</v>
      </c>
      <c r="F59" s="191">
        <f t="shared" si="15"/>
        <v>536214.85956676514</v>
      </c>
      <c r="G59" s="191">
        <f t="shared" si="15"/>
        <v>470694.90109794575</v>
      </c>
      <c r="H59" s="191">
        <f t="shared" si="15"/>
        <v>433223.31377300003</v>
      </c>
      <c r="I59" s="191">
        <f>SUM(C30:H30,C59:H59)</f>
        <v>5572326.1611095946</v>
      </c>
      <c r="J59" s="339" t="s">
        <v>152</v>
      </c>
      <c r="K59" s="187">
        <f t="shared" si="10"/>
        <v>45</v>
      </c>
      <c r="O59" s="183"/>
      <c r="P59" s="180"/>
      <c r="Q59" s="180"/>
    </row>
    <row r="60" spans="1:17" x14ac:dyDescent="0.3">
      <c r="A60" s="187">
        <f t="shared" si="9"/>
        <v>46</v>
      </c>
      <c r="B60" s="190" t="s">
        <v>125</v>
      </c>
      <c r="C60" s="192">
        <f t="shared" si="15"/>
        <v>184197.41031013496</v>
      </c>
      <c r="D60" s="192">
        <f t="shared" si="15"/>
        <v>185238.21936869464</v>
      </c>
      <c r="E60" s="192">
        <f t="shared" si="15"/>
        <v>184478.67321528684</v>
      </c>
      <c r="F60" s="192">
        <f t="shared" si="15"/>
        <v>178241.50349030964</v>
      </c>
      <c r="G60" s="192">
        <f t="shared" si="15"/>
        <v>189872.93532014423</v>
      </c>
      <c r="H60" s="192">
        <f t="shared" si="15"/>
        <v>174757.32590968232</v>
      </c>
      <c r="I60" s="191">
        <f>SUM(C31:H31,C60:H60)</f>
        <v>2055800.6552266348</v>
      </c>
      <c r="J60" s="339" t="s">
        <v>153</v>
      </c>
      <c r="K60" s="187">
        <f t="shared" si="10"/>
        <v>46</v>
      </c>
      <c r="O60" s="183"/>
      <c r="P60" s="180"/>
      <c r="Q60" s="180"/>
    </row>
    <row r="61" spans="1:17" x14ac:dyDescent="0.3">
      <c r="A61" s="187">
        <f t="shared" si="9"/>
        <v>47</v>
      </c>
      <c r="B61" s="190" t="s">
        <v>127</v>
      </c>
      <c r="C61" s="192">
        <f t="shared" si="15"/>
        <v>0</v>
      </c>
      <c r="D61" s="192">
        <f t="shared" si="15"/>
        <v>0</v>
      </c>
      <c r="E61" s="192">
        <f t="shared" si="15"/>
        <v>0</v>
      </c>
      <c r="F61" s="192">
        <f t="shared" si="15"/>
        <v>0</v>
      </c>
      <c r="G61" s="192">
        <f t="shared" si="15"/>
        <v>0</v>
      </c>
      <c r="H61" s="192">
        <f t="shared" si="15"/>
        <v>0</v>
      </c>
      <c r="I61" s="191">
        <f>SUM(C32:H32,C61:H61)</f>
        <v>0</v>
      </c>
      <c r="J61" s="339" t="s">
        <v>154</v>
      </c>
      <c r="K61" s="187">
        <f t="shared" si="10"/>
        <v>47</v>
      </c>
      <c r="O61" s="183"/>
      <c r="P61" s="180"/>
      <c r="Q61" s="180"/>
    </row>
    <row r="62" spans="1:17" ht="19.5" thickBot="1" x14ac:dyDescent="0.35">
      <c r="A62" s="187">
        <f t="shared" si="9"/>
        <v>48</v>
      </c>
      <c r="B62" s="38" t="s">
        <v>155</v>
      </c>
      <c r="C62" s="189">
        <f t="shared" ref="C62:I62" si="16">SUM(C59:C61)</f>
        <v>738329.79007532576</v>
      </c>
      <c r="D62" s="189">
        <f t="shared" si="16"/>
        <v>742501.72893386334</v>
      </c>
      <c r="E62" s="189">
        <f t="shared" si="16"/>
        <v>739457.19344851724</v>
      </c>
      <c r="F62" s="189">
        <f t="shared" si="16"/>
        <v>714456.36305707484</v>
      </c>
      <c r="G62" s="189">
        <f t="shared" si="16"/>
        <v>660567.83641808992</v>
      </c>
      <c r="H62" s="189">
        <f t="shared" si="16"/>
        <v>607980.63968268235</v>
      </c>
      <c r="I62" s="189">
        <f t="shared" si="16"/>
        <v>7628126.8163362294</v>
      </c>
      <c r="J62" s="332" t="s">
        <v>156</v>
      </c>
      <c r="K62" s="187">
        <f t="shared" si="10"/>
        <v>48</v>
      </c>
      <c r="O62" s="183"/>
      <c r="P62" s="180"/>
      <c r="Q62" s="180"/>
    </row>
    <row r="63" spans="1:17" ht="19.5" thickTop="1" x14ac:dyDescent="0.3">
      <c r="A63" s="184"/>
      <c r="B63" s="186"/>
      <c r="C63" s="186"/>
      <c r="D63" s="186"/>
      <c r="E63" s="186"/>
      <c r="F63" s="186"/>
      <c r="G63" s="186"/>
      <c r="H63" s="186"/>
      <c r="I63" s="185"/>
      <c r="J63" s="184"/>
      <c r="K63" s="184"/>
      <c r="O63" s="183"/>
      <c r="P63" s="180"/>
      <c r="Q63" s="180"/>
    </row>
    <row r="64" spans="1:17" x14ac:dyDescent="0.3">
      <c r="B64" s="182" t="s">
        <v>46</v>
      </c>
    </row>
    <row r="65" spans="1:2" ht="22.5" x14ac:dyDescent="0.3">
      <c r="A65" s="181">
        <v>1</v>
      </c>
      <c r="B65" s="179" t="s">
        <v>275</v>
      </c>
    </row>
    <row r="66" spans="1:2" ht="22.5" x14ac:dyDescent="0.3">
      <c r="A66" s="181">
        <v>2</v>
      </c>
      <c r="B66" s="179" t="s">
        <v>157</v>
      </c>
    </row>
    <row r="67" spans="1:2" x14ac:dyDescent="0.3">
      <c r="A67" s="180"/>
    </row>
    <row r="68" spans="1:2" x14ac:dyDescent="0.3">
      <c r="A68" s="180"/>
    </row>
    <row r="69" spans="1:2" x14ac:dyDescent="0.3">
      <c r="A69" s="180"/>
    </row>
    <row r="70" spans="1:2" x14ac:dyDescent="0.3">
      <c r="A70" s="180"/>
    </row>
    <row r="71" spans="1:2" x14ac:dyDescent="0.3">
      <c r="A71" s="180"/>
    </row>
    <row r="72" spans="1:2" x14ac:dyDescent="0.3">
      <c r="A72" s="180"/>
    </row>
    <row r="73" spans="1:2" x14ac:dyDescent="0.3">
      <c r="A73" s="180"/>
    </row>
    <row r="74" spans="1:2" x14ac:dyDescent="0.3">
      <c r="A74" s="180"/>
    </row>
    <row r="75" spans="1:2" x14ac:dyDescent="0.3">
      <c r="A75" s="180"/>
    </row>
    <row r="76" spans="1:2" x14ac:dyDescent="0.3">
      <c r="A76" s="180"/>
    </row>
    <row r="77" spans="1:2" x14ac:dyDescent="0.3">
      <c r="A77" s="180"/>
    </row>
    <row r="78" spans="1:2" x14ac:dyDescent="0.3">
      <c r="A78" s="180"/>
    </row>
    <row r="79" spans="1:2" x14ac:dyDescent="0.3">
      <c r="A79" s="180"/>
    </row>
    <row r="80" spans="1:2" x14ac:dyDescent="0.3">
      <c r="A80" s="180"/>
    </row>
    <row r="81" spans="1:1" x14ac:dyDescent="0.3">
      <c r="A81" s="180"/>
    </row>
    <row r="82" spans="1:1" x14ac:dyDescent="0.3">
      <c r="A82" s="180"/>
    </row>
    <row r="83" spans="1:1" x14ac:dyDescent="0.3">
      <c r="A83" s="180"/>
    </row>
    <row r="84" spans="1:1" x14ac:dyDescent="0.3">
      <c r="A84" s="180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5" bottom="0.5" header="0.25" footer="0.25"/>
  <pageSetup scale="43" orientation="portrait" r:id="rId1"/>
  <headerFooter scaleWithDoc="0">
    <oddFooter xml:space="preserve">&amp;L&amp;"Times New Roman,Regular"&amp;9Statement BG-Agricultural Customers&amp;C&amp;"Times New Roman,Regular"&amp;9Page BG-&amp;P&amp;12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K61"/>
  <sheetViews>
    <sheetView zoomScale="70" zoomScaleNormal="70" zoomScaleSheetLayoutView="70" workbookViewId="0">
      <selection activeCell="A6" sqref="A6"/>
    </sheetView>
  </sheetViews>
  <sheetFormatPr defaultColWidth="9.140625" defaultRowHeight="18.75" x14ac:dyDescent="0.3"/>
  <cols>
    <col min="1" max="1" width="5.5703125" style="1" bestFit="1" customWidth="1"/>
    <col min="2" max="2" width="32.5703125" style="1" bestFit="1" customWidth="1"/>
    <col min="3" max="8" width="15.5703125" style="1" bestFit="1" customWidth="1"/>
    <col min="9" max="9" width="16.5703125" style="1" bestFit="1" customWidth="1"/>
    <col min="10" max="10" width="53.42578125" style="1" bestFit="1" customWidth="1"/>
    <col min="11" max="11" width="5.5703125" style="1" bestFit="1" customWidth="1"/>
    <col min="12" max="22" width="12.5703125" style="1" customWidth="1"/>
    <col min="23" max="16384" width="9.140625" style="1"/>
  </cols>
  <sheetData>
    <row r="1" spans="1:11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ht="18.75" customHeight="1" x14ac:dyDescent="0.3">
      <c r="A4" s="426" t="s">
        <v>111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</row>
    <row r="5" spans="1:11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</row>
    <row r="6" spans="1:11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1" ht="22.5" x14ac:dyDescent="0.3">
      <c r="A8" s="17" t="s">
        <v>10</v>
      </c>
      <c r="B8" s="17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91">
        <f>'Summary of Revs @ Changed Rates'!H8</f>
        <v>46174</v>
      </c>
      <c r="I8" s="29"/>
      <c r="J8" s="17" t="s">
        <v>115</v>
      </c>
      <c r="K8" s="17" t="s">
        <v>10</v>
      </c>
    </row>
    <row r="9" spans="1:11" x14ac:dyDescent="0.3">
      <c r="A9" s="11"/>
      <c r="B9" s="11"/>
      <c r="C9" s="31"/>
      <c r="D9" s="31"/>
      <c r="E9" s="31"/>
      <c r="F9" s="31"/>
      <c r="G9" s="31"/>
      <c r="H9" s="31"/>
      <c r="I9" s="31"/>
      <c r="J9" s="11"/>
      <c r="K9" s="11"/>
    </row>
    <row r="10" spans="1:11" x14ac:dyDescent="0.3">
      <c r="A10" s="11">
        <v>1</v>
      </c>
      <c r="B10" s="32" t="s">
        <v>276</v>
      </c>
      <c r="C10" s="31"/>
      <c r="D10" s="31"/>
      <c r="E10" s="31"/>
      <c r="F10" s="31"/>
      <c r="G10" s="31"/>
      <c r="H10" s="31"/>
      <c r="I10" s="31"/>
      <c r="J10" s="11"/>
      <c r="K10" s="11">
        <v>1</v>
      </c>
    </row>
    <row r="11" spans="1:11" x14ac:dyDescent="0.3">
      <c r="A11" s="11">
        <f>A10+1</f>
        <v>2</v>
      </c>
      <c r="B11" s="32" t="s">
        <v>277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1" x14ac:dyDescent="0.3">
      <c r="A12" s="11">
        <f t="shared" ref="A12:A31" si="0">A11+1</f>
        <v>3</v>
      </c>
      <c r="B12" s="14" t="s">
        <v>123</v>
      </c>
      <c r="C12" s="18">
        <f>'Workpaper 1'!C199*1000</f>
        <v>6148</v>
      </c>
      <c r="D12" s="18">
        <f>'Workpaper 1'!D199*1000</f>
        <v>6148</v>
      </c>
      <c r="E12" s="18">
        <f>'Workpaper 1'!E199*1000</f>
        <v>6148</v>
      </c>
      <c r="F12" s="18">
        <f>'Workpaper 1'!F199*1000</f>
        <v>6148</v>
      </c>
      <c r="G12" s="18">
        <f>'Workpaper 1'!G199*1000</f>
        <v>6148</v>
      </c>
      <c r="H12" s="18">
        <f>'Workpaper 1'!H199*1000</f>
        <v>6148</v>
      </c>
      <c r="I12" s="18"/>
      <c r="J12" s="11" t="s">
        <v>278</v>
      </c>
      <c r="K12" s="11">
        <f t="shared" ref="K12:K31" si="1">K11+1</f>
        <v>3</v>
      </c>
    </row>
    <row r="13" spans="1:11" x14ac:dyDescent="0.3">
      <c r="A13" s="11">
        <f t="shared" si="0"/>
        <v>4</v>
      </c>
      <c r="B13" s="14" t="s">
        <v>125</v>
      </c>
      <c r="C13" s="18">
        <f>'Workpaper 1'!C200*1000</f>
        <v>84682</v>
      </c>
      <c r="D13" s="18">
        <f>'Workpaper 1'!D200*1000</f>
        <v>84682</v>
      </c>
      <c r="E13" s="18">
        <f>'Workpaper 1'!E200*1000</f>
        <v>84682</v>
      </c>
      <c r="F13" s="18">
        <f>'Workpaper 1'!F200*1000</f>
        <v>84682</v>
      </c>
      <c r="G13" s="18">
        <f>'Workpaper 1'!G200*1000</f>
        <v>84682</v>
      </c>
      <c r="H13" s="18">
        <f>'Workpaper 1'!H200*1000</f>
        <v>84682</v>
      </c>
      <c r="I13" s="18"/>
      <c r="J13" s="11" t="s">
        <v>279</v>
      </c>
      <c r="K13" s="11">
        <f t="shared" si="1"/>
        <v>4</v>
      </c>
    </row>
    <row r="14" spans="1:11" x14ac:dyDescent="0.3">
      <c r="A14" s="11">
        <f t="shared" si="0"/>
        <v>5</v>
      </c>
      <c r="B14" s="14" t="s">
        <v>127</v>
      </c>
      <c r="C14" s="18">
        <f>'Workpaper 1'!C201*1000</f>
        <v>54676</v>
      </c>
      <c r="D14" s="18">
        <f>'Workpaper 1'!D201*1000</f>
        <v>54676</v>
      </c>
      <c r="E14" s="18">
        <f>'Workpaper 1'!E201*1000</f>
        <v>54676</v>
      </c>
      <c r="F14" s="18">
        <f>'Workpaper 1'!F201*1000</f>
        <v>54676</v>
      </c>
      <c r="G14" s="18">
        <f>'Workpaper 1'!G201*1000</f>
        <v>54676</v>
      </c>
      <c r="H14" s="18">
        <f>'Workpaper 1'!H201*1000</f>
        <v>54676</v>
      </c>
      <c r="I14" s="18"/>
      <c r="J14" s="11" t="s">
        <v>280</v>
      </c>
      <c r="K14" s="11">
        <f t="shared" si="1"/>
        <v>5</v>
      </c>
    </row>
    <row r="15" spans="1:11" ht="19.5" thickBot="1" x14ac:dyDescent="0.35">
      <c r="A15" s="11">
        <f t="shared" si="0"/>
        <v>6</v>
      </c>
      <c r="B15" s="14" t="s">
        <v>129</v>
      </c>
      <c r="C15" s="33">
        <f t="shared" ref="C15:H15" si="2">SUM(C12:C14)</f>
        <v>145506</v>
      </c>
      <c r="D15" s="33">
        <f t="shared" si="2"/>
        <v>145506</v>
      </c>
      <c r="E15" s="33">
        <f t="shared" si="2"/>
        <v>145506</v>
      </c>
      <c r="F15" s="33">
        <f t="shared" si="2"/>
        <v>145506</v>
      </c>
      <c r="G15" s="33">
        <f t="shared" si="2"/>
        <v>145506</v>
      </c>
      <c r="H15" s="33">
        <f t="shared" si="2"/>
        <v>145506</v>
      </c>
      <c r="I15" s="18"/>
      <c r="J15" s="34" t="s">
        <v>164</v>
      </c>
      <c r="K15" s="11">
        <f t="shared" si="1"/>
        <v>6</v>
      </c>
    </row>
    <row r="16" spans="1:11" ht="20.25" thickTop="1" thickBot="1" x14ac:dyDescent="0.35">
      <c r="A16" s="11">
        <f t="shared" si="0"/>
        <v>7</v>
      </c>
      <c r="B16" s="14" t="s">
        <v>131</v>
      </c>
      <c r="C16" s="35">
        <f>'A-Billing Determinants'!D36</f>
        <v>145506</v>
      </c>
      <c r="D16" s="35">
        <f>'A-Billing Determinants'!F36</f>
        <v>145506</v>
      </c>
      <c r="E16" s="35">
        <f>'A-Billing Determinants'!H36</f>
        <v>145506</v>
      </c>
      <c r="F16" s="35">
        <f>'A-Billing Determinants'!J36</f>
        <v>145506</v>
      </c>
      <c r="G16" s="35">
        <f>'A-Billing Determinants'!L36</f>
        <v>145506</v>
      </c>
      <c r="H16" s="35">
        <f>'A-Billing Determinants'!N36</f>
        <v>145506</v>
      </c>
      <c r="I16" s="37"/>
      <c r="J16" s="11" t="s">
        <v>281</v>
      </c>
      <c r="K16" s="11">
        <f t="shared" si="1"/>
        <v>7</v>
      </c>
    </row>
    <row r="17" spans="1:11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37"/>
      <c r="J17" s="36" t="s">
        <v>166</v>
      </c>
      <c r="K17" s="11">
        <f t="shared" si="1"/>
        <v>8</v>
      </c>
    </row>
    <row r="18" spans="1:11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37"/>
      <c r="J18" s="36"/>
      <c r="K18" s="11">
        <f t="shared" si="1"/>
        <v>9</v>
      </c>
    </row>
    <row r="19" spans="1:11" x14ac:dyDescent="0.3">
      <c r="A19" s="11">
        <f t="shared" si="0"/>
        <v>10</v>
      </c>
      <c r="B19" s="38" t="s">
        <v>282</v>
      </c>
      <c r="C19" s="14"/>
      <c r="D19" s="14"/>
      <c r="E19" s="14"/>
      <c r="F19" s="14"/>
      <c r="G19" s="14"/>
      <c r="H19" s="14"/>
      <c r="I19" s="14"/>
      <c r="J19" s="11"/>
      <c r="K19" s="11">
        <f t="shared" si="1"/>
        <v>10</v>
      </c>
    </row>
    <row r="20" spans="1:11" x14ac:dyDescent="0.3">
      <c r="A20" s="11">
        <f t="shared" si="0"/>
        <v>11</v>
      </c>
      <c r="B20" s="14" t="s">
        <v>123</v>
      </c>
      <c r="C20" s="51">
        <f>'[2]Transmission Rates Summary'!$F$54</f>
        <v>7.42</v>
      </c>
      <c r="D20" s="51">
        <f t="shared" ref="D20:H22" si="4">C20</f>
        <v>7.42</v>
      </c>
      <c r="E20" s="51">
        <f t="shared" si="4"/>
        <v>7.42</v>
      </c>
      <c r="F20" s="51">
        <f t="shared" si="4"/>
        <v>7.42</v>
      </c>
      <c r="G20" s="51">
        <f t="shared" si="4"/>
        <v>7.42</v>
      </c>
      <c r="H20" s="51">
        <f t="shared" si="4"/>
        <v>7.42</v>
      </c>
      <c r="I20" s="51"/>
      <c r="J20" s="11" t="s">
        <v>283</v>
      </c>
      <c r="K20" s="11">
        <f t="shared" si="1"/>
        <v>11</v>
      </c>
    </row>
    <row r="21" spans="1:11" x14ac:dyDescent="0.3">
      <c r="A21" s="11">
        <f t="shared" si="0"/>
        <v>12</v>
      </c>
      <c r="B21" s="14" t="s">
        <v>138</v>
      </c>
      <c r="C21" s="51">
        <f>'[2]Transmission Rates Summary'!$E$54</f>
        <v>7.19</v>
      </c>
      <c r="D21" s="51">
        <f t="shared" si="4"/>
        <v>7.19</v>
      </c>
      <c r="E21" s="51">
        <f t="shared" si="4"/>
        <v>7.19</v>
      </c>
      <c r="F21" s="51">
        <f t="shared" si="4"/>
        <v>7.19</v>
      </c>
      <c r="G21" s="51">
        <f t="shared" si="4"/>
        <v>7.19</v>
      </c>
      <c r="H21" s="51">
        <f t="shared" si="4"/>
        <v>7.19</v>
      </c>
      <c r="I21" s="51"/>
      <c r="J21" s="11" t="s">
        <v>284</v>
      </c>
      <c r="K21" s="11">
        <f t="shared" si="1"/>
        <v>12</v>
      </c>
    </row>
    <row r="22" spans="1:11" x14ac:dyDescent="0.3">
      <c r="A22" s="11">
        <f t="shared" si="0"/>
        <v>13</v>
      </c>
      <c r="B22" s="14" t="s">
        <v>127</v>
      </c>
      <c r="C22" s="51">
        <f>'[2]Transmission Rates Summary'!$D$54</f>
        <v>7.15</v>
      </c>
      <c r="D22" s="51">
        <f t="shared" si="4"/>
        <v>7.15</v>
      </c>
      <c r="E22" s="51">
        <f t="shared" si="4"/>
        <v>7.15</v>
      </c>
      <c r="F22" s="51">
        <f t="shared" si="4"/>
        <v>7.15</v>
      </c>
      <c r="G22" s="51">
        <f t="shared" si="4"/>
        <v>7.15</v>
      </c>
      <c r="H22" s="51">
        <f t="shared" si="4"/>
        <v>7.15</v>
      </c>
      <c r="I22" s="51"/>
      <c r="J22" s="11" t="s">
        <v>285</v>
      </c>
      <c r="K22" s="11">
        <f t="shared" si="1"/>
        <v>13</v>
      </c>
    </row>
    <row r="23" spans="1:11" x14ac:dyDescent="0.3">
      <c r="A23" s="11">
        <f t="shared" si="0"/>
        <v>14</v>
      </c>
      <c r="B23" s="14"/>
      <c r="C23" s="14"/>
      <c r="D23" s="14"/>
      <c r="E23" s="14"/>
      <c r="F23" s="14"/>
      <c r="G23" s="14"/>
      <c r="H23" s="14"/>
      <c r="I23" s="14"/>
      <c r="J23" s="11"/>
      <c r="K23" s="11">
        <f t="shared" si="1"/>
        <v>14</v>
      </c>
    </row>
    <row r="24" spans="1:11" x14ac:dyDescent="0.3">
      <c r="A24" s="11">
        <f t="shared" si="0"/>
        <v>15</v>
      </c>
      <c r="B24" s="32" t="s">
        <v>142</v>
      </c>
      <c r="C24" s="14"/>
      <c r="D24" s="14"/>
      <c r="E24" s="14"/>
      <c r="F24" s="14"/>
      <c r="G24" s="14"/>
      <c r="H24" s="14"/>
      <c r="I24" s="14"/>
      <c r="J24" s="11"/>
      <c r="K24" s="11">
        <f t="shared" si="1"/>
        <v>15</v>
      </c>
    </row>
    <row r="25" spans="1:11" x14ac:dyDescent="0.3">
      <c r="A25" s="11">
        <f t="shared" si="0"/>
        <v>16</v>
      </c>
      <c r="B25" s="14" t="s">
        <v>123</v>
      </c>
      <c r="C25" s="53">
        <f t="shared" ref="C25:H27" si="5">ROUND(C12*C20,0)</f>
        <v>45618</v>
      </c>
      <c r="D25" s="53">
        <f t="shared" si="5"/>
        <v>45618</v>
      </c>
      <c r="E25" s="53">
        <f t="shared" si="5"/>
        <v>45618</v>
      </c>
      <c r="F25" s="53">
        <f t="shared" si="5"/>
        <v>45618</v>
      </c>
      <c r="G25" s="53">
        <f t="shared" si="5"/>
        <v>45618</v>
      </c>
      <c r="H25" s="53">
        <f t="shared" si="5"/>
        <v>45618</v>
      </c>
      <c r="I25" s="53"/>
      <c r="J25" s="41" t="s">
        <v>286</v>
      </c>
      <c r="K25" s="11">
        <f t="shared" si="1"/>
        <v>16</v>
      </c>
    </row>
    <row r="26" spans="1:11" x14ac:dyDescent="0.3">
      <c r="A26" s="11">
        <f t="shared" si="0"/>
        <v>17</v>
      </c>
      <c r="B26" s="14" t="s">
        <v>125</v>
      </c>
      <c r="C26" s="47">
        <f t="shared" si="5"/>
        <v>608864</v>
      </c>
      <c r="D26" s="47">
        <f t="shared" si="5"/>
        <v>608864</v>
      </c>
      <c r="E26" s="47">
        <f t="shared" si="5"/>
        <v>608864</v>
      </c>
      <c r="F26" s="47">
        <f t="shared" si="5"/>
        <v>608864</v>
      </c>
      <c r="G26" s="47">
        <f t="shared" si="5"/>
        <v>608864</v>
      </c>
      <c r="H26" s="47">
        <f t="shared" si="5"/>
        <v>608864</v>
      </c>
      <c r="I26" s="47"/>
      <c r="J26" s="41" t="s">
        <v>287</v>
      </c>
      <c r="K26" s="11">
        <f t="shared" si="1"/>
        <v>17</v>
      </c>
    </row>
    <row r="27" spans="1:11" x14ac:dyDescent="0.3">
      <c r="A27" s="11">
        <f t="shared" si="0"/>
        <v>18</v>
      </c>
      <c r="B27" s="14" t="s">
        <v>127</v>
      </c>
      <c r="C27" s="47">
        <f t="shared" si="5"/>
        <v>390933</v>
      </c>
      <c r="D27" s="47">
        <f t="shared" si="5"/>
        <v>390933</v>
      </c>
      <c r="E27" s="47">
        <f t="shared" si="5"/>
        <v>390933</v>
      </c>
      <c r="F27" s="47">
        <f t="shared" si="5"/>
        <v>390933</v>
      </c>
      <c r="G27" s="47">
        <f t="shared" si="5"/>
        <v>390933</v>
      </c>
      <c r="H27" s="47">
        <f t="shared" si="5"/>
        <v>390933</v>
      </c>
      <c r="I27" s="47"/>
      <c r="J27" s="41" t="s">
        <v>288</v>
      </c>
      <c r="K27" s="11">
        <f t="shared" si="1"/>
        <v>18</v>
      </c>
    </row>
    <row r="28" spans="1:11" ht="19.5" thickBot="1" x14ac:dyDescent="0.35">
      <c r="A28" s="11">
        <f t="shared" si="0"/>
        <v>19</v>
      </c>
      <c r="B28" s="14" t="s">
        <v>221</v>
      </c>
      <c r="C28" s="54">
        <f t="shared" ref="C28:H28" si="6">SUM(C25:C27)</f>
        <v>1045415</v>
      </c>
      <c r="D28" s="54">
        <f t="shared" si="6"/>
        <v>1045415</v>
      </c>
      <c r="E28" s="54">
        <f t="shared" si="6"/>
        <v>1045415</v>
      </c>
      <c r="F28" s="54">
        <f t="shared" si="6"/>
        <v>1045415</v>
      </c>
      <c r="G28" s="54">
        <f t="shared" si="6"/>
        <v>1045415</v>
      </c>
      <c r="H28" s="54">
        <f t="shared" si="6"/>
        <v>1045415</v>
      </c>
      <c r="I28" s="53"/>
      <c r="J28" s="55" t="s">
        <v>289</v>
      </c>
      <c r="K28" s="11">
        <f t="shared" si="1"/>
        <v>19</v>
      </c>
    </row>
    <row r="29" spans="1:11" ht="19.5" thickTop="1" x14ac:dyDescent="0.3">
      <c r="A29" s="11">
        <f t="shared" si="0"/>
        <v>20</v>
      </c>
      <c r="B29" s="14"/>
      <c r="C29" s="53"/>
      <c r="D29" s="53"/>
      <c r="E29" s="53"/>
      <c r="F29" s="53"/>
      <c r="G29" s="53"/>
      <c r="H29" s="53"/>
      <c r="I29" s="53"/>
      <c r="J29" s="55"/>
      <c r="K29" s="11">
        <f t="shared" si="1"/>
        <v>20</v>
      </c>
    </row>
    <row r="30" spans="1:11" x14ac:dyDescent="0.3">
      <c r="A30" s="11">
        <f t="shared" si="0"/>
        <v>21</v>
      </c>
      <c r="B30" s="38" t="s">
        <v>258</v>
      </c>
      <c r="C30" s="14"/>
      <c r="D30" s="14"/>
      <c r="E30" s="14"/>
      <c r="F30" s="14"/>
      <c r="G30" s="14"/>
      <c r="H30" s="14"/>
      <c r="I30" s="14"/>
      <c r="J30" s="11"/>
      <c r="K30" s="11">
        <f t="shared" si="1"/>
        <v>21</v>
      </c>
    </row>
    <row r="31" spans="1:11" ht="19.5" thickBot="1" x14ac:dyDescent="0.35">
      <c r="A31" s="11">
        <f t="shared" si="0"/>
        <v>22</v>
      </c>
      <c r="B31" s="38" t="s">
        <v>290</v>
      </c>
      <c r="C31" s="45">
        <f t="shared" ref="C31:H31" si="7">C28</f>
        <v>1045415</v>
      </c>
      <c r="D31" s="45">
        <f t="shared" si="7"/>
        <v>1045415</v>
      </c>
      <c r="E31" s="45">
        <f t="shared" si="7"/>
        <v>1045415</v>
      </c>
      <c r="F31" s="45">
        <f t="shared" si="7"/>
        <v>1045415</v>
      </c>
      <c r="G31" s="45">
        <f t="shared" si="7"/>
        <v>1045415</v>
      </c>
      <c r="H31" s="45">
        <f t="shared" si="7"/>
        <v>1045415</v>
      </c>
      <c r="I31" s="44"/>
      <c r="J31" s="41" t="s">
        <v>291</v>
      </c>
      <c r="K31" s="11">
        <f t="shared" si="1"/>
        <v>22</v>
      </c>
    </row>
    <row r="32" spans="1:11" ht="19.5" thickTop="1" x14ac:dyDescent="0.3">
      <c r="A32" s="17"/>
      <c r="B32" s="24"/>
      <c r="C32" s="24"/>
      <c r="D32" s="24"/>
      <c r="E32" s="24"/>
      <c r="F32" s="24"/>
      <c r="G32" s="24"/>
      <c r="H32" s="24"/>
      <c r="I32" s="24"/>
      <c r="J32" s="17"/>
      <c r="K32" s="17"/>
    </row>
    <row r="33" spans="1:11" x14ac:dyDescent="0.3">
      <c r="A33" s="7"/>
    </row>
    <row r="34" spans="1:11" x14ac:dyDescent="0.3">
      <c r="A34" s="8" t="s">
        <v>8</v>
      </c>
      <c r="B34" s="28"/>
      <c r="C34" s="8" t="str">
        <f>C7</f>
        <v>(A)</v>
      </c>
      <c r="D34" s="8" t="str">
        <f t="shared" ref="D34:I34" si="8">D7</f>
        <v>(B)</v>
      </c>
      <c r="E34" s="8" t="str">
        <f t="shared" si="8"/>
        <v>(C)</v>
      </c>
      <c r="F34" s="8" t="str">
        <f t="shared" si="8"/>
        <v>(D)</v>
      </c>
      <c r="G34" s="8" t="str">
        <f t="shared" si="8"/>
        <v>(E)</v>
      </c>
      <c r="H34" s="8" t="str">
        <f t="shared" si="8"/>
        <v>(F)</v>
      </c>
      <c r="I34" s="8" t="str">
        <f t="shared" si="8"/>
        <v>(G)</v>
      </c>
      <c r="J34" s="28"/>
      <c r="K34" s="8" t="s">
        <v>8</v>
      </c>
    </row>
    <row r="35" spans="1:11" ht="22.5" x14ac:dyDescent="0.3">
      <c r="A35" s="17" t="s">
        <v>10</v>
      </c>
      <c r="B35" s="17" t="s">
        <v>114</v>
      </c>
      <c r="C35" s="29">
        <f>'Summary of Revs @ Changed Rates'!C30</f>
        <v>46204</v>
      </c>
      <c r="D35" s="29">
        <f>'Summary of Revs @ Changed Rates'!D30</f>
        <v>46235</v>
      </c>
      <c r="E35" s="29">
        <f>'Summary of Revs @ Changed Rates'!E30</f>
        <v>46266</v>
      </c>
      <c r="F35" s="29">
        <f>'Summary of Revs @ Changed Rates'!F30</f>
        <v>46296</v>
      </c>
      <c r="G35" s="29">
        <f>'Summary of Revs @ Changed Rates'!G30</f>
        <v>46327</v>
      </c>
      <c r="H35" s="29">
        <f>'Summary of Revs @ Changed Rates'!H30</f>
        <v>46357</v>
      </c>
      <c r="I35" s="30" t="s">
        <v>61</v>
      </c>
      <c r="J35" s="17" t="s">
        <v>115</v>
      </c>
      <c r="K35" s="17" t="s">
        <v>10</v>
      </c>
    </row>
    <row r="36" spans="1:11" x14ac:dyDescent="0.3">
      <c r="A36" s="11"/>
      <c r="B36" s="11"/>
      <c r="C36" s="31"/>
      <c r="D36" s="31"/>
      <c r="E36" s="31"/>
      <c r="F36" s="31"/>
      <c r="G36" s="31"/>
      <c r="H36" s="31"/>
      <c r="I36" s="90"/>
      <c r="J36" s="11"/>
      <c r="K36" s="11"/>
    </row>
    <row r="37" spans="1:11" x14ac:dyDescent="0.3">
      <c r="A37" s="11">
        <f>A31+1</f>
        <v>23</v>
      </c>
      <c r="B37" s="32" t="s">
        <v>276</v>
      </c>
      <c r="C37" s="31"/>
      <c r="D37" s="31"/>
      <c r="E37" s="31"/>
      <c r="F37" s="31"/>
      <c r="G37" s="31"/>
      <c r="H37" s="31"/>
      <c r="I37" s="11"/>
      <c r="J37" s="11"/>
      <c r="K37" s="11">
        <f>K31+1</f>
        <v>23</v>
      </c>
    </row>
    <row r="38" spans="1:11" x14ac:dyDescent="0.3">
      <c r="A38" s="11">
        <f>A37+1</f>
        <v>24</v>
      </c>
      <c r="B38" s="32" t="s">
        <v>277</v>
      </c>
      <c r="C38" s="14"/>
      <c r="D38" s="14"/>
      <c r="E38" s="14"/>
      <c r="F38" s="14"/>
      <c r="G38" s="14"/>
      <c r="H38" s="14"/>
      <c r="I38" s="14"/>
      <c r="J38" s="11"/>
      <c r="K38" s="11">
        <f>K37+1</f>
        <v>24</v>
      </c>
    </row>
    <row r="39" spans="1:11" x14ac:dyDescent="0.3">
      <c r="A39" s="11">
        <f t="shared" ref="A39:A58" si="9">A38+1</f>
        <v>25</v>
      </c>
      <c r="B39" s="14" t="s">
        <v>123</v>
      </c>
      <c r="C39" s="47">
        <f>'Workpaper 1'!I199*1000</f>
        <v>6148</v>
      </c>
      <c r="D39" s="47">
        <f>'Workpaper 1'!J199*1000</f>
        <v>6148</v>
      </c>
      <c r="E39" s="47">
        <f>'Workpaper 1'!K199*1000</f>
        <v>6148</v>
      </c>
      <c r="F39" s="47">
        <f>'Workpaper 1'!L199*1000</f>
        <v>6148</v>
      </c>
      <c r="G39" s="47">
        <f>'Workpaper 1'!M199*1000</f>
        <v>6148</v>
      </c>
      <c r="H39" s="47">
        <f>'Workpaper 1'!N199*1000</f>
        <v>6148</v>
      </c>
      <c r="I39" s="47">
        <f>SUM(C12:H12,C39:H39)</f>
        <v>73776</v>
      </c>
      <c r="J39" s="11" t="str">
        <f>J12</f>
        <v>(Page BG-21.4, Line 197) x 1000</v>
      </c>
      <c r="K39" s="11">
        <f t="shared" ref="K39:K58" si="10">K38+1</f>
        <v>25</v>
      </c>
    </row>
    <row r="40" spans="1:11" x14ac:dyDescent="0.3">
      <c r="A40" s="11">
        <f t="shared" si="9"/>
        <v>26</v>
      </c>
      <c r="B40" s="14" t="s">
        <v>125</v>
      </c>
      <c r="C40" s="47">
        <f>'Workpaper 1'!I200*1000</f>
        <v>84682</v>
      </c>
      <c r="D40" s="47">
        <f>'Workpaper 1'!J200*1000</f>
        <v>84682</v>
      </c>
      <c r="E40" s="47">
        <f>'Workpaper 1'!K200*1000</f>
        <v>84682</v>
      </c>
      <c r="F40" s="47">
        <f>'Workpaper 1'!L200*1000</f>
        <v>84682</v>
      </c>
      <c r="G40" s="47">
        <f>'Workpaper 1'!M200*1000</f>
        <v>84682</v>
      </c>
      <c r="H40" s="47">
        <f>'Workpaper 1'!N200*1000</f>
        <v>84682</v>
      </c>
      <c r="I40" s="47">
        <f>SUM(C13:H13,C40:H40)</f>
        <v>1016184</v>
      </c>
      <c r="J40" s="11" t="str">
        <f>J13</f>
        <v>(Page BG-21.4, Line 198) x 1000</v>
      </c>
      <c r="K40" s="11">
        <f t="shared" si="10"/>
        <v>26</v>
      </c>
    </row>
    <row r="41" spans="1:11" x14ac:dyDescent="0.3">
      <c r="A41" s="11">
        <f t="shared" si="9"/>
        <v>27</v>
      </c>
      <c r="B41" s="14" t="s">
        <v>127</v>
      </c>
      <c r="C41" s="47">
        <f>'Workpaper 1'!I201*1000</f>
        <v>54676</v>
      </c>
      <c r="D41" s="47">
        <f>'Workpaper 1'!J201*1000</f>
        <v>54676</v>
      </c>
      <c r="E41" s="47">
        <f>'Workpaper 1'!K201*1000</f>
        <v>54676</v>
      </c>
      <c r="F41" s="47">
        <f>'Workpaper 1'!L201*1000</f>
        <v>54676</v>
      </c>
      <c r="G41" s="47">
        <f>'Workpaper 1'!M201*1000</f>
        <v>54676</v>
      </c>
      <c r="H41" s="47">
        <f>'Workpaper 1'!N201*1000</f>
        <v>54676</v>
      </c>
      <c r="I41" s="47">
        <f>SUM(C14:H14,C41:H41)</f>
        <v>656112</v>
      </c>
      <c r="J41" s="11" t="str">
        <f>J14</f>
        <v>(Page BG-21.4, Line 199) x 1000</v>
      </c>
      <c r="K41" s="11">
        <f t="shared" si="10"/>
        <v>27</v>
      </c>
    </row>
    <row r="42" spans="1:11" ht="19.5" thickBot="1" x14ac:dyDescent="0.35">
      <c r="A42" s="11">
        <f t="shared" si="9"/>
        <v>28</v>
      </c>
      <c r="B42" s="14"/>
      <c r="C42" s="48">
        <f t="shared" ref="C42:I42" si="11">SUM(C39:C41)</f>
        <v>145506</v>
      </c>
      <c r="D42" s="48">
        <f t="shared" si="11"/>
        <v>145506</v>
      </c>
      <c r="E42" s="48">
        <f t="shared" si="11"/>
        <v>145506</v>
      </c>
      <c r="F42" s="48">
        <f t="shared" si="11"/>
        <v>145506</v>
      </c>
      <c r="G42" s="48">
        <f t="shared" si="11"/>
        <v>145506</v>
      </c>
      <c r="H42" s="48">
        <f t="shared" si="11"/>
        <v>145506</v>
      </c>
      <c r="I42" s="48">
        <f t="shared" si="11"/>
        <v>1746072</v>
      </c>
      <c r="J42" s="50" t="s">
        <v>292</v>
      </c>
      <c r="K42" s="11">
        <f t="shared" si="10"/>
        <v>28</v>
      </c>
    </row>
    <row r="43" spans="1:11" ht="20.25" thickTop="1" thickBot="1" x14ac:dyDescent="0.35">
      <c r="A43" s="11">
        <f t="shared" si="9"/>
        <v>29</v>
      </c>
      <c r="B43" s="14" t="s">
        <v>131</v>
      </c>
      <c r="C43" s="35">
        <f>'B-Billing Determinants'!D36</f>
        <v>145506</v>
      </c>
      <c r="D43" s="35">
        <f>'B-Billing Determinants'!F36</f>
        <v>145506</v>
      </c>
      <c r="E43" s="35">
        <f>'B-Billing Determinants'!H36</f>
        <v>145506</v>
      </c>
      <c r="F43" s="35">
        <f>'B-Billing Determinants'!J36</f>
        <v>145506</v>
      </c>
      <c r="G43" s="35">
        <f>'B-Billing Determinants'!L36</f>
        <v>145506</v>
      </c>
      <c r="H43" s="35">
        <f>'B-Billing Determinants'!N36</f>
        <v>145506</v>
      </c>
      <c r="I43" s="35">
        <f>SUM(C16:H16,C43:H43)</f>
        <v>1746072</v>
      </c>
      <c r="J43" s="11" t="s">
        <v>293</v>
      </c>
      <c r="K43" s="11">
        <f t="shared" si="10"/>
        <v>29</v>
      </c>
    </row>
    <row r="44" spans="1:11" ht="20.25" thickTop="1" thickBot="1" x14ac:dyDescent="0.35">
      <c r="A44" s="11">
        <f t="shared" si="9"/>
        <v>30</v>
      </c>
      <c r="B44" s="14" t="s">
        <v>133</v>
      </c>
      <c r="C44" s="35">
        <f t="shared" ref="C44:I44" si="12">C42-C43</f>
        <v>0</v>
      </c>
      <c r="D44" s="35">
        <f t="shared" si="12"/>
        <v>0</v>
      </c>
      <c r="E44" s="35">
        <f t="shared" si="12"/>
        <v>0</v>
      </c>
      <c r="F44" s="35">
        <f t="shared" si="12"/>
        <v>0</v>
      </c>
      <c r="G44" s="35">
        <f t="shared" si="12"/>
        <v>0</v>
      </c>
      <c r="H44" s="35">
        <f t="shared" si="12"/>
        <v>0</v>
      </c>
      <c r="I44" s="35">
        <f t="shared" si="12"/>
        <v>0</v>
      </c>
      <c r="J44" s="36" t="s">
        <v>294</v>
      </c>
      <c r="K44" s="11">
        <f t="shared" si="10"/>
        <v>30</v>
      </c>
    </row>
    <row r="45" spans="1:11" ht="19.5" thickTop="1" x14ac:dyDescent="0.3">
      <c r="A45" s="11">
        <f t="shared" si="9"/>
        <v>31</v>
      </c>
      <c r="B45" s="11"/>
      <c r="C45" s="37"/>
      <c r="D45" s="37"/>
      <c r="E45" s="37"/>
      <c r="F45" s="37"/>
      <c r="G45" s="37"/>
      <c r="H45" s="37"/>
      <c r="I45" s="37"/>
      <c r="J45" s="36"/>
      <c r="K45" s="11">
        <f t="shared" si="10"/>
        <v>31</v>
      </c>
    </row>
    <row r="46" spans="1:11" x14ac:dyDescent="0.3">
      <c r="A46" s="11">
        <f t="shared" si="9"/>
        <v>32</v>
      </c>
      <c r="B46" s="38" t="s">
        <v>282</v>
      </c>
      <c r="C46" s="14"/>
      <c r="D46" s="14"/>
      <c r="E46" s="14"/>
      <c r="F46" s="14"/>
      <c r="G46" s="14"/>
      <c r="H46" s="14"/>
      <c r="I46" s="14"/>
      <c r="J46" s="11"/>
      <c r="K46" s="11">
        <f t="shared" si="10"/>
        <v>32</v>
      </c>
    </row>
    <row r="47" spans="1:11" x14ac:dyDescent="0.3">
      <c r="A47" s="11">
        <f t="shared" si="9"/>
        <v>33</v>
      </c>
      <c r="B47" s="14" t="s">
        <v>123</v>
      </c>
      <c r="C47" s="51">
        <f>H20</f>
        <v>7.42</v>
      </c>
      <c r="D47" s="51">
        <f t="shared" ref="D47:H49" si="13">C47</f>
        <v>7.42</v>
      </c>
      <c r="E47" s="51">
        <f t="shared" si="13"/>
        <v>7.42</v>
      </c>
      <c r="F47" s="51">
        <f t="shared" si="13"/>
        <v>7.42</v>
      </c>
      <c r="G47" s="51">
        <f t="shared" si="13"/>
        <v>7.42</v>
      </c>
      <c r="H47" s="51">
        <f t="shared" si="13"/>
        <v>7.42</v>
      </c>
      <c r="I47" s="14"/>
      <c r="J47" s="11" t="str">
        <f>J20</f>
        <v>Statement BL, Page BL-1, Line 41, Col. D</v>
      </c>
      <c r="K47" s="11">
        <f t="shared" si="10"/>
        <v>33</v>
      </c>
    </row>
    <row r="48" spans="1:11" x14ac:dyDescent="0.3">
      <c r="A48" s="11">
        <f t="shared" si="9"/>
        <v>34</v>
      </c>
      <c r="B48" s="14" t="s">
        <v>138</v>
      </c>
      <c r="C48" s="51">
        <f>H21</f>
        <v>7.19</v>
      </c>
      <c r="D48" s="51">
        <f t="shared" si="13"/>
        <v>7.19</v>
      </c>
      <c r="E48" s="51">
        <f t="shared" si="13"/>
        <v>7.19</v>
      </c>
      <c r="F48" s="51">
        <f t="shared" si="13"/>
        <v>7.19</v>
      </c>
      <c r="G48" s="51">
        <f t="shared" si="13"/>
        <v>7.19</v>
      </c>
      <c r="H48" s="51">
        <f t="shared" si="13"/>
        <v>7.19</v>
      </c>
      <c r="I48" s="14"/>
      <c r="J48" s="11" t="str">
        <f>J21</f>
        <v>Statement BL, Page BL-1, Line 41, Col. C</v>
      </c>
      <c r="K48" s="11">
        <f t="shared" si="10"/>
        <v>34</v>
      </c>
    </row>
    <row r="49" spans="1:11" x14ac:dyDescent="0.3">
      <c r="A49" s="11">
        <f t="shared" si="9"/>
        <v>35</v>
      </c>
      <c r="B49" s="14" t="s">
        <v>127</v>
      </c>
      <c r="C49" s="51">
        <f>H22</f>
        <v>7.15</v>
      </c>
      <c r="D49" s="51">
        <f t="shared" si="13"/>
        <v>7.15</v>
      </c>
      <c r="E49" s="51">
        <f t="shared" si="13"/>
        <v>7.15</v>
      </c>
      <c r="F49" s="51">
        <f t="shared" si="13"/>
        <v>7.15</v>
      </c>
      <c r="G49" s="51">
        <f t="shared" si="13"/>
        <v>7.15</v>
      </c>
      <c r="H49" s="51">
        <f t="shared" si="13"/>
        <v>7.15</v>
      </c>
      <c r="I49" s="14"/>
      <c r="J49" s="11" t="str">
        <f>J22</f>
        <v>Statement BL, Page BL-1, Line 41, Col. B</v>
      </c>
      <c r="K49" s="11">
        <f t="shared" si="10"/>
        <v>35</v>
      </c>
    </row>
    <row r="50" spans="1:11" x14ac:dyDescent="0.3">
      <c r="A50" s="11">
        <f t="shared" si="9"/>
        <v>36</v>
      </c>
      <c r="B50" s="14"/>
      <c r="C50" s="14"/>
      <c r="D50" s="14"/>
      <c r="E50" s="14"/>
      <c r="F50" s="14"/>
      <c r="G50" s="14"/>
      <c r="H50" s="14"/>
      <c r="I50" s="14"/>
      <c r="J50" s="11"/>
      <c r="K50" s="11">
        <f t="shared" si="10"/>
        <v>36</v>
      </c>
    </row>
    <row r="51" spans="1:11" x14ac:dyDescent="0.3">
      <c r="A51" s="11">
        <f t="shared" si="9"/>
        <v>37</v>
      </c>
      <c r="B51" s="32" t="s">
        <v>142</v>
      </c>
      <c r="C51" s="14"/>
      <c r="D51" s="14"/>
      <c r="E51" s="14"/>
      <c r="F51" s="14"/>
      <c r="G51" s="14"/>
      <c r="H51" s="14"/>
      <c r="I51" s="14"/>
      <c r="J51" s="11"/>
      <c r="K51" s="11">
        <f t="shared" si="10"/>
        <v>37</v>
      </c>
    </row>
    <row r="52" spans="1:11" x14ac:dyDescent="0.3">
      <c r="A52" s="11">
        <f t="shared" si="9"/>
        <v>38</v>
      </c>
      <c r="B52" s="14" t="s">
        <v>123</v>
      </c>
      <c r="C52" s="40">
        <f t="shared" ref="C52:H52" si="14">ROUND(C39*C47,0)</f>
        <v>45618</v>
      </c>
      <c r="D52" s="40">
        <f t="shared" si="14"/>
        <v>45618</v>
      </c>
      <c r="E52" s="40">
        <f t="shared" si="14"/>
        <v>45618</v>
      </c>
      <c r="F52" s="40">
        <f t="shared" si="14"/>
        <v>45618</v>
      </c>
      <c r="G52" s="40">
        <f t="shared" si="14"/>
        <v>45618</v>
      </c>
      <c r="H52" s="40">
        <f t="shared" si="14"/>
        <v>45618</v>
      </c>
      <c r="I52" s="40">
        <f>SUM(C25:H25,C52:H52)</f>
        <v>547416</v>
      </c>
      <c r="J52" s="41" t="s">
        <v>295</v>
      </c>
      <c r="K52" s="11">
        <f t="shared" si="10"/>
        <v>38</v>
      </c>
    </row>
    <row r="53" spans="1:11" x14ac:dyDescent="0.3">
      <c r="A53" s="11">
        <f t="shared" si="9"/>
        <v>39</v>
      </c>
      <c r="B53" s="14" t="s">
        <v>125</v>
      </c>
      <c r="C53" s="18">
        <f t="shared" ref="C53:H53" si="15">ROUND(C40*C48,0)</f>
        <v>608864</v>
      </c>
      <c r="D53" s="18">
        <f t="shared" si="15"/>
        <v>608864</v>
      </c>
      <c r="E53" s="18">
        <f t="shared" si="15"/>
        <v>608864</v>
      </c>
      <c r="F53" s="18">
        <f t="shared" si="15"/>
        <v>608864</v>
      </c>
      <c r="G53" s="18">
        <f t="shared" si="15"/>
        <v>608864</v>
      </c>
      <c r="H53" s="18">
        <f t="shared" si="15"/>
        <v>608864</v>
      </c>
      <c r="I53" s="40">
        <f>SUM(C26:H26,C53:H53)</f>
        <v>7306368</v>
      </c>
      <c r="J53" s="41" t="s">
        <v>296</v>
      </c>
      <c r="K53" s="11">
        <f t="shared" si="10"/>
        <v>39</v>
      </c>
    </row>
    <row r="54" spans="1:11" x14ac:dyDescent="0.3">
      <c r="A54" s="11">
        <f t="shared" si="9"/>
        <v>40</v>
      </c>
      <c r="B54" s="14" t="s">
        <v>127</v>
      </c>
      <c r="C54" s="18">
        <f t="shared" ref="C54:H54" si="16">ROUND(C41*C49,0)</f>
        <v>390933</v>
      </c>
      <c r="D54" s="18">
        <f t="shared" si="16"/>
        <v>390933</v>
      </c>
      <c r="E54" s="18">
        <f t="shared" si="16"/>
        <v>390933</v>
      </c>
      <c r="F54" s="18">
        <f t="shared" si="16"/>
        <v>390933</v>
      </c>
      <c r="G54" s="18">
        <f t="shared" si="16"/>
        <v>390933</v>
      </c>
      <c r="H54" s="18">
        <f t="shared" si="16"/>
        <v>390933</v>
      </c>
      <c r="I54" s="40">
        <f>SUM(C27:H27,C54:H54)</f>
        <v>4691196</v>
      </c>
      <c r="J54" s="41" t="s">
        <v>297</v>
      </c>
      <c r="K54" s="11">
        <f t="shared" si="10"/>
        <v>40</v>
      </c>
    </row>
    <row r="55" spans="1:11" ht="19.5" thickBot="1" x14ac:dyDescent="0.35">
      <c r="A55" s="11">
        <f t="shared" si="9"/>
        <v>41</v>
      </c>
      <c r="B55" s="14" t="s">
        <v>221</v>
      </c>
      <c r="C55" s="42">
        <f t="shared" ref="C55:I55" si="17">SUM(C52:C54)</f>
        <v>1045415</v>
      </c>
      <c r="D55" s="42">
        <f t="shared" si="17"/>
        <v>1045415</v>
      </c>
      <c r="E55" s="42">
        <f t="shared" si="17"/>
        <v>1045415</v>
      </c>
      <c r="F55" s="42">
        <f t="shared" si="17"/>
        <v>1045415</v>
      </c>
      <c r="G55" s="42">
        <f t="shared" si="17"/>
        <v>1045415</v>
      </c>
      <c r="H55" s="42">
        <f t="shared" si="17"/>
        <v>1045415</v>
      </c>
      <c r="I55" s="42">
        <f t="shared" si="17"/>
        <v>12544980</v>
      </c>
      <c r="J55" s="43" t="s">
        <v>298</v>
      </c>
      <c r="K55" s="11">
        <f t="shared" si="10"/>
        <v>41</v>
      </c>
    </row>
    <row r="56" spans="1:11" ht="19.5" thickTop="1" x14ac:dyDescent="0.3">
      <c r="A56" s="11">
        <f t="shared" si="9"/>
        <v>42</v>
      </c>
      <c r="B56" s="14"/>
      <c r="C56" s="40"/>
      <c r="D56" s="40"/>
      <c r="E56" s="40"/>
      <c r="F56" s="40"/>
      <c r="G56" s="40"/>
      <c r="H56" s="40"/>
      <c r="I56" s="40"/>
      <c r="J56" s="43"/>
      <c r="K56" s="11">
        <f t="shared" si="10"/>
        <v>42</v>
      </c>
    </row>
    <row r="57" spans="1:11" x14ac:dyDescent="0.3">
      <c r="A57" s="11">
        <f t="shared" si="9"/>
        <v>43</v>
      </c>
      <c r="B57" s="38" t="s">
        <v>258</v>
      </c>
      <c r="C57" s="14"/>
      <c r="D57" s="14"/>
      <c r="E57" s="14"/>
      <c r="F57" s="14"/>
      <c r="G57" s="14"/>
      <c r="H57" s="14"/>
      <c r="I57" s="44"/>
      <c r="J57" s="11"/>
      <c r="K57" s="11">
        <f t="shared" si="10"/>
        <v>43</v>
      </c>
    </row>
    <row r="58" spans="1:11" ht="19.5" thickBot="1" x14ac:dyDescent="0.35">
      <c r="A58" s="11">
        <f t="shared" si="9"/>
        <v>44</v>
      </c>
      <c r="B58" s="38" t="s">
        <v>290</v>
      </c>
      <c r="C58" s="45">
        <f t="shared" ref="C58:H58" si="18">C55</f>
        <v>1045415</v>
      </c>
      <c r="D58" s="45">
        <f t="shared" si="18"/>
        <v>1045415</v>
      </c>
      <c r="E58" s="45">
        <f t="shared" si="18"/>
        <v>1045415</v>
      </c>
      <c r="F58" s="45">
        <f t="shared" si="18"/>
        <v>1045415</v>
      </c>
      <c r="G58" s="45">
        <f t="shared" si="18"/>
        <v>1045415</v>
      </c>
      <c r="H58" s="45">
        <f t="shared" si="18"/>
        <v>1045415</v>
      </c>
      <c r="I58" s="45">
        <f>SUM(C31:H31,C58:H58)</f>
        <v>12544980</v>
      </c>
      <c r="J58" s="41" t="s">
        <v>299</v>
      </c>
      <c r="K58" s="11">
        <f t="shared" si="10"/>
        <v>44</v>
      </c>
    </row>
    <row r="59" spans="1:11" ht="19.5" thickTop="1" x14ac:dyDescent="0.3">
      <c r="A59" s="17"/>
      <c r="B59" s="24"/>
      <c r="C59" s="24"/>
      <c r="D59" s="24"/>
      <c r="E59" s="24"/>
      <c r="F59" s="24"/>
      <c r="G59" s="24"/>
      <c r="H59" s="24"/>
      <c r="I59" s="24"/>
      <c r="J59" s="17"/>
      <c r="K59" s="17"/>
    </row>
    <row r="60" spans="1:11" x14ac:dyDescent="0.3">
      <c r="B60" s="25" t="s">
        <v>46</v>
      </c>
    </row>
    <row r="61" spans="1:11" ht="22.5" x14ac:dyDescent="0.3">
      <c r="A61" s="77">
        <v>1</v>
      </c>
      <c r="B61" s="1" t="s">
        <v>157</v>
      </c>
    </row>
  </sheetData>
  <mergeCells count="5">
    <mergeCell ref="A5:K5"/>
    <mergeCell ref="A1:K1"/>
    <mergeCell ref="A2:K2"/>
    <mergeCell ref="A3:K3"/>
    <mergeCell ref="A4:K4"/>
  </mergeCells>
  <phoneticPr fontId="0" type="noConversion"/>
  <printOptions horizontalCentered="1"/>
  <pageMargins left="0.25" right="0.25" top="0.5" bottom="0.5" header="0.25" footer="0.25"/>
  <pageSetup scale="50" orientation="portrait" r:id="rId1"/>
  <headerFooter scaleWithDoc="0">
    <oddFooter xml:space="preserve">&amp;L&amp;"Times New Roman,Regular"&amp;9Statement BG-Standby Customers&amp;C&amp;"Times New Roman,Regular"&amp;9Page BG-&amp;P&amp;12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I33"/>
  <sheetViews>
    <sheetView zoomScale="75" zoomScaleNormal="75" zoomScaleSheetLayoutView="70" workbookViewId="0">
      <selection activeCell="B6" sqref="B6"/>
    </sheetView>
  </sheetViews>
  <sheetFormatPr defaultColWidth="8.5703125" defaultRowHeight="18.75" x14ac:dyDescent="0.3"/>
  <cols>
    <col min="1" max="1" width="5.5703125" style="179" customWidth="1"/>
    <col min="2" max="2" width="60.5703125" style="296" customWidth="1"/>
    <col min="3" max="4" width="18.5703125" style="179" customWidth="1"/>
    <col min="5" max="5" width="20" style="179" bestFit="1" customWidth="1"/>
    <col min="6" max="6" width="69.5703125" style="179" bestFit="1" customWidth="1"/>
    <col min="7" max="7" width="5.5703125" style="179" customWidth="1"/>
    <col min="8" max="9" width="15.5703125" style="179" customWidth="1"/>
    <col min="10" max="16384" width="8.5703125" style="179"/>
  </cols>
  <sheetData>
    <row r="2" spans="1:9" x14ac:dyDescent="0.3">
      <c r="B2" s="321" t="s">
        <v>300</v>
      </c>
      <c r="C2" s="212"/>
      <c r="D2" s="212"/>
      <c r="E2" s="212"/>
      <c r="F2" s="212"/>
    </row>
    <row r="3" spans="1:9" x14ac:dyDescent="0.3">
      <c r="B3" s="321" t="s">
        <v>301</v>
      </c>
      <c r="C3" s="212"/>
      <c r="D3" s="212"/>
      <c r="E3" s="212"/>
      <c r="F3" s="212"/>
    </row>
    <row r="4" spans="1:9" x14ac:dyDescent="0.3">
      <c r="B4" s="321" t="s">
        <v>302</v>
      </c>
      <c r="C4" s="212"/>
      <c r="D4" s="212"/>
      <c r="E4" s="212"/>
      <c r="F4" s="212"/>
    </row>
    <row r="5" spans="1:9" x14ac:dyDescent="0.3">
      <c r="B5" s="321" t="s">
        <v>462</v>
      </c>
      <c r="C5" s="212"/>
      <c r="D5" s="212"/>
      <c r="E5" s="212"/>
      <c r="F5" s="212"/>
    </row>
    <row r="6" spans="1:9" x14ac:dyDescent="0.3">
      <c r="B6" s="321" t="s">
        <v>303</v>
      </c>
      <c r="C6" s="212"/>
      <c r="D6" s="212"/>
      <c r="E6" s="212"/>
      <c r="F6" s="212"/>
    </row>
    <row r="7" spans="1:9" x14ac:dyDescent="0.3">
      <c r="B7" s="297"/>
      <c r="C7" s="297"/>
      <c r="D7" s="297"/>
      <c r="E7" s="297"/>
      <c r="F7" s="297"/>
    </row>
    <row r="8" spans="1:9" x14ac:dyDescent="0.3">
      <c r="A8" s="204"/>
      <c r="B8" s="298"/>
      <c r="C8" s="299" t="s">
        <v>304</v>
      </c>
      <c r="D8" s="300" t="s">
        <v>305</v>
      </c>
      <c r="E8" s="300" t="s">
        <v>306</v>
      </c>
      <c r="F8" s="203"/>
      <c r="G8" s="204"/>
    </row>
    <row r="9" spans="1:9" x14ac:dyDescent="0.3">
      <c r="A9" s="190"/>
      <c r="B9" s="301"/>
      <c r="C9" s="187"/>
      <c r="D9" s="302"/>
      <c r="E9" s="302"/>
      <c r="F9" s="187"/>
      <c r="G9" s="190"/>
    </row>
    <row r="10" spans="1:9" x14ac:dyDescent="0.3">
      <c r="A10" s="187"/>
      <c r="B10" s="301"/>
      <c r="C10" s="303" t="s">
        <v>307</v>
      </c>
      <c r="D10" s="303" t="s">
        <v>308</v>
      </c>
      <c r="E10" s="303" t="s">
        <v>309</v>
      </c>
      <c r="F10" s="304"/>
      <c r="G10" s="187"/>
    </row>
    <row r="11" spans="1:9" x14ac:dyDescent="0.3">
      <c r="A11" s="187" t="s">
        <v>8</v>
      </c>
      <c r="B11" s="187"/>
      <c r="C11" s="304" t="s">
        <v>310</v>
      </c>
      <c r="D11" s="305" t="s">
        <v>310</v>
      </c>
      <c r="E11" s="305" t="s">
        <v>310</v>
      </c>
      <c r="F11" s="304"/>
      <c r="G11" s="187" t="s">
        <v>8</v>
      </c>
    </row>
    <row r="12" spans="1:9" x14ac:dyDescent="0.3">
      <c r="A12" s="184" t="s">
        <v>10</v>
      </c>
      <c r="B12" s="184" t="s">
        <v>311</v>
      </c>
      <c r="C12" s="306"/>
      <c r="D12" s="306"/>
      <c r="E12" s="306"/>
      <c r="F12" s="306" t="s">
        <v>312</v>
      </c>
      <c r="G12" s="184" t="s">
        <v>10</v>
      </c>
    </row>
    <row r="13" spans="1:9" x14ac:dyDescent="0.3">
      <c r="A13" s="204"/>
      <c r="B13" s="307"/>
      <c r="C13" s="204"/>
      <c r="D13" s="204"/>
      <c r="E13" s="204"/>
      <c r="F13" s="203"/>
      <c r="G13" s="204"/>
    </row>
    <row r="14" spans="1:9" x14ac:dyDescent="0.3">
      <c r="A14" s="187">
        <v>1</v>
      </c>
      <c r="B14" s="301" t="s">
        <v>313</v>
      </c>
      <c r="C14" s="377">
        <v>544427689.06512153</v>
      </c>
      <c r="D14" s="377">
        <v>648252537.62284648</v>
      </c>
      <c r="E14" s="377">
        <f>C14+D14</f>
        <v>1192680226.687968</v>
      </c>
      <c r="F14" s="188" t="s">
        <v>314</v>
      </c>
      <c r="G14" s="187">
        <v>1</v>
      </c>
    </row>
    <row r="15" spans="1:9" x14ac:dyDescent="0.3">
      <c r="A15" s="187">
        <f>A14+1</f>
        <v>2</v>
      </c>
      <c r="B15" s="301"/>
      <c r="C15" s="408"/>
      <c r="D15" s="408"/>
      <c r="E15" s="408"/>
      <c r="F15" s="187"/>
      <c r="G15" s="187">
        <f>G14+1</f>
        <v>2</v>
      </c>
    </row>
    <row r="16" spans="1:9" ht="21.75" x14ac:dyDescent="0.3">
      <c r="A16" s="187">
        <f t="shared" ref="A16:A24" si="0">A15+1</f>
        <v>3</v>
      </c>
      <c r="B16" s="301" t="s">
        <v>315</v>
      </c>
      <c r="C16" s="377">
        <v>-46829825.832637645</v>
      </c>
      <c r="D16" s="377">
        <v>-3686430.6153437491</v>
      </c>
      <c r="E16" s="377">
        <f>C16+D16</f>
        <v>-50516256.447981395</v>
      </c>
      <c r="F16" s="188" t="s">
        <v>316</v>
      </c>
      <c r="G16" s="187">
        <f t="shared" ref="G16:G24" si="1">G15+1</f>
        <v>3</v>
      </c>
      <c r="I16" s="411"/>
    </row>
    <row r="17" spans="1:9" x14ac:dyDescent="0.3">
      <c r="A17" s="187">
        <f t="shared" si="0"/>
        <v>4</v>
      </c>
      <c r="B17" s="301"/>
      <c r="C17" s="358"/>
      <c r="D17" s="358"/>
      <c r="E17" s="358"/>
      <c r="F17" s="187"/>
      <c r="G17" s="187">
        <f t="shared" si="1"/>
        <v>4</v>
      </c>
    </row>
    <row r="18" spans="1:9" x14ac:dyDescent="0.3">
      <c r="A18" s="187">
        <f t="shared" si="0"/>
        <v>5</v>
      </c>
      <c r="B18" s="301" t="s">
        <v>317</v>
      </c>
      <c r="C18" s="409">
        <v>-5726459</v>
      </c>
      <c r="D18" s="409">
        <v>-6818521</v>
      </c>
      <c r="E18" s="409">
        <f>C18+D18</f>
        <v>-12544980</v>
      </c>
      <c r="F18" s="188" t="s">
        <v>318</v>
      </c>
      <c r="G18" s="187">
        <f t="shared" si="1"/>
        <v>5</v>
      </c>
    </row>
    <row r="19" spans="1:9" x14ac:dyDescent="0.3">
      <c r="A19" s="187">
        <f t="shared" si="0"/>
        <v>6</v>
      </c>
      <c r="B19" s="190"/>
      <c r="C19" s="410"/>
      <c r="D19" s="410"/>
      <c r="E19" s="410"/>
      <c r="F19" s="308"/>
      <c r="G19" s="187">
        <f t="shared" si="1"/>
        <v>6</v>
      </c>
    </row>
    <row r="20" spans="1:9" x14ac:dyDescent="0.3">
      <c r="A20" s="187">
        <f t="shared" si="0"/>
        <v>7</v>
      </c>
      <c r="B20" s="301" t="s">
        <v>319</v>
      </c>
      <c r="C20" s="377">
        <f>SUM(C14:C18)</f>
        <v>491871404.23248386</v>
      </c>
      <c r="D20" s="377">
        <f t="shared" ref="D20:E20" si="2">SUM(D14:D18)</f>
        <v>637747586.00750279</v>
      </c>
      <c r="E20" s="377">
        <f t="shared" si="2"/>
        <v>1129618990.2399867</v>
      </c>
      <c r="F20" s="309" t="s">
        <v>320</v>
      </c>
      <c r="G20" s="187">
        <f t="shared" si="1"/>
        <v>7</v>
      </c>
      <c r="I20" s="411"/>
    </row>
    <row r="21" spans="1:9" x14ac:dyDescent="0.3">
      <c r="A21" s="187">
        <f t="shared" si="0"/>
        <v>8</v>
      </c>
      <c r="B21" s="301"/>
      <c r="C21" s="358"/>
      <c r="D21" s="358"/>
      <c r="E21" s="358"/>
      <c r="F21" s="310"/>
      <c r="G21" s="187">
        <f t="shared" si="1"/>
        <v>8</v>
      </c>
    </row>
    <row r="22" spans="1:9" x14ac:dyDescent="0.3">
      <c r="A22" s="187">
        <f t="shared" si="0"/>
        <v>9</v>
      </c>
      <c r="B22" s="301" t="s">
        <v>321</v>
      </c>
      <c r="C22" s="421">
        <v>18113268.916761495</v>
      </c>
      <c r="D22" s="421">
        <f>C22</f>
        <v>18113268.916761495</v>
      </c>
      <c r="E22" s="412">
        <f>C22</f>
        <v>18113268.916761495</v>
      </c>
      <c r="F22" s="188" t="s">
        <v>322</v>
      </c>
      <c r="G22" s="187">
        <f t="shared" si="1"/>
        <v>9</v>
      </c>
    </row>
    <row r="23" spans="1:9" x14ac:dyDescent="0.3">
      <c r="A23" s="187">
        <f t="shared" si="0"/>
        <v>10</v>
      </c>
      <c r="B23" s="301"/>
      <c r="C23" s="358"/>
      <c r="D23" s="358"/>
      <c r="E23" s="358"/>
      <c r="F23" s="310"/>
      <c r="G23" s="187">
        <f t="shared" si="1"/>
        <v>10</v>
      </c>
    </row>
    <row r="24" spans="1:9" ht="19.5" thickBot="1" x14ac:dyDescent="0.35">
      <c r="A24" s="187">
        <f t="shared" si="0"/>
        <v>11</v>
      </c>
      <c r="B24" s="301" t="s">
        <v>323</v>
      </c>
      <c r="C24" s="415">
        <f>C20/C22</f>
        <v>27.155308436751596</v>
      </c>
      <c r="D24" s="415">
        <f t="shared" ref="D24:E24" si="3">D20/D22</f>
        <v>35.208862019232193</v>
      </c>
      <c r="E24" s="415">
        <f t="shared" si="3"/>
        <v>62.364170455983782</v>
      </c>
      <c r="F24" s="309" t="s">
        <v>324</v>
      </c>
      <c r="G24" s="187">
        <f t="shared" si="1"/>
        <v>11</v>
      </c>
      <c r="I24" s="411"/>
    </row>
    <row r="25" spans="1:9" ht="19.5" thickTop="1" x14ac:dyDescent="0.3">
      <c r="A25" s="186"/>
      <c r="B25" s="186"/>
      <c r="C25" s="186"/>
      <c r="D25" s="186"/>
      <c r="E25" s="186"/>
      <c r="F25" s="186"/>
      <c r="G25" s="186"/>
    </row>
    <row r="26" spans="1:9" x14ac:dyDescent="0.3">
      <c r="B26" s="179"/>
    </row>
    <row r="27" spans="1:9" x14ac:dyDescent="0.3">
      <c r="B27" s="311" t="s">
        <v>46</v>
      </c>
    </row>
    <row r="28" spans="1:9" ht="21.75" x14ac:dyDescent="0.3">
      <c r="A28" s="312">
        <v>1</v>
      </c>
      <c r="B28" s="422" t="s">
        <v>474</v>
      </c>
      <c r="C28" s="335"/>
      <c r="D28" s="335"/>
      <c r="E28" s="335"/>
      <c r="F28" s="335"/>
      <c r="G28" s="335"/>
      <c r="H28" s="335"/>
    </row>
    <row r="29" spans="1:9" ht="22.5" x14ac:dyDescent="0.3">
      <c r="A29" s="181"/>
      <c r="B29"/>
      <c r="C29"/>
      <c r="D29"/>
      <c r="E29"/>
      <c r="F29"/>
      <c r="G29" s="335"/>
      <c r="H29" s="335"/>
      <c r="I29" s="411"/>
    </row>
    <row r="30" spans="1:9" ht="22.5" x14ac:dyDescent="0.3">
      <c r="A30" s="181"/>
    </row>
    <row r="31" spans="1:9" ht="22.5" x14ac:dyDescent="0.3">
      <c r="A31" s="181"/>
    </row>
    <row r="32" spans="1:9" ht="22.5" x14ac:dyDescent="0.3">
      <c r="A32" s="181"/>
    </row>
    <row r="33" spans="1:1" ht="22.5" x14ac:dyDescent="0.3">
      <c r="A33" s="181"/>
    </row>
  </sheetData>
  <printOptions horizontalCentered="1"/>
  <pageMargins left="0.25" right="0.25" top="0.5" bottom="0.5" header="0.25" footer="0.25"/>
  <pageSetup scale="68" orientation="landscape" r:id="rId1"/>
  <headerFooter scaleWithDoc="0">
    <oddFooter xml:space="preserve">&amp;L&amp;"Times New Roman,Regular"&amp;9Statement BG-CAISO TAC Rates&amp;C&amp;"Times New Roman,Regular"&amp;9Page BG-&amp;P&amp;12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136"/>
  <sheetViews>
    <sheetView zoomScale="75" zoomScaleNormal="75" zoomScaleSheetLayoutView="80" workbookViewId="0">
      <selection activeCell="B29" sqref="B29"/>
    </sheetView>
  </sheetViews>
  <sheetFormatPr defaultColWidth="9.28515625" defaultRowHeight="12.75" x14ac:dyDescent="0.2"/>
  <cols>
    <col min="1" max="1" width="5.5703125" style="254" customWidth="1"/>
    <col min="2" max="2" width="35.5703125" style="254" customWidth="1"/>
    <col min="3" max="15" width="12.5703125" style="254" customWidth="1"/>
    <col min="16" max="16" width="45.5703125" style="254" customWidth="1"/>
    <col min="17" max="17" width="5.5703125" style="254" customWidth="1"/>
    <col min="18" max="16384" width="9.28515625" style="254"/>
  </cols>
  <sheetData>
    <row r="1" spans="1:18" ht="15.75" x14ac:dyDescent="0.2">
      <c r="A1" s="251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3"/>
    </row>
    <row r="2" spans="1:18" ht="15.75" x14ac:dyDescent="0.2">
      <c r="A2" s="251" t="s">
        <v>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3"/>
    </row>
    <row r="3" spans="1:18" ht="15.75" x14ac:dyDescent="0.2">
      <c r="A3" s="251" t="s">
        <v>325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3"/>
    </row>
    <row r="4" spans="1:18" ht="15.75" x14ac:dyDescent="0.2">
      <c r="A4" s="322" t="s">
        <v>463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3"/>
    </row>
    <row r="5" spans="1:18" ht="15.75" x14ac:dyDescent="0.2">
      <c r="A5" s="251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</row>
    <row r="6" spans="1:18" x14ac:dyDescent="0.2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</row>
    <row r="7" spans="1:18" ht="15.75" x14ac:dyDescent="0.25">
      <c r="A7" s="257"/>
      <c r="B7" s="257"/>
      <c r="C7" s="258" t="s">
        <v>4</v>
      </c>
      <c r="D7" s="259" t="s">
        <v>5</v>
      </c>
      <c r="E7" s="258" t="s">
        <v>48</v>
      </c>
      <c r="F7" s="259" t="s">
        <v>49</v>
      </c>
      <c r="G7" s="258" t="s">
        <v>50</v>
      </c>
      <c r="H7" s="259" t="s">
        <v>51</v>
      </c>
      <c r="I7" s="258" t="s">
        <v>52</v>
      </c>
      <c r="J7" s="259" t="s">
        <v>103</v>
      </c>
      <c r="K7" s="258" t="s">
        <v>105</v>
      </c>
      <c r="L7" s="259" t="s">
        <v>106</v>
      </c>
      <c r="M7" s="258" t="s">
        <v>107</v>
      </c>
      <c r="N7" s="259" t="s">
        <v>108</v>
      </c>
      <c r="O7" s="260" t="s">
        <v>109</v>
      </c>
      <c r="P7" s="260" t="s">
        <v>326</v>
      </c>
      <c r="Q7" s="257"/>
    </row>
    <row r="8" spans="1:18" ht="15.75" x14ac:dyDescent="0.25">
      <c r="A8" s="261"/>
      <c r="B8" s="261"/>
      <c r="C8" s="262"/>
      <c r="D8" s="263"/>
      <c r="E8" s="262"/>
      <c r="F8" s="263"/>
      <c r="G8" s="262"/>
      <c r="H8" s="263"/>
      <c r="I8" s="262"/>
      <c r="J8" s="263"/>
      <c r="K8" s="262"/>
      <c r="L8" s="263"/>
      <c r="M8" s="262"/>
      <c r="N8" s="263"/>
      <c r="O8" s="263"/>
      <c r="P8" s="263"/>
      <c r="Q8" s="261"/>
    </row>
    <row r="9" spans="1:18" ht="15.75" x14ac:dyDescent="0.25">
      <c r="A9" s="261" t="s">
        <v>8</v>
      </c>
      <c r="B9" s="261" t="s">
        <v>327</v>
      </c>
      <c r="C9" s="323">
        <v>46023</v>
      </c>
      <c r="D9" s="323">
        <v>46054</v>
      </c>
      <c r="E9" s="323">
        <v>46082</v>
      </c>
      <c r="F9" s="323">
        <v>46113</v>
      </c>
      <c r="G9" s="323">
        <v>46143</v>
      </c>
      <c r="H9" s="323">
        <v>46174</v>
      </c>
      <c r="I9" s="323">
        <v>46204</v>
      </c>
      <c r="J9" s="323">
        <v>46235</v>
      </c>
      <c r="K9" s="323">
        <v>46266</v>
      </c>
      <c r="L9" s="323">
        <v>46296</v>
      </c>
      <c r="M9" s="323">
        <v>46327</v>
      </c>
      <c r="N9" s="323">
        <v>46357</v>
      </c>
      <c r="O9" s="264" t="s">
        <v>61</v>
      </c>
      <c r="P9" s="264" t="s">
        <v>328</v>
      </c>
      <c r="Q9" s="261" t="s">
        <v>8</v>
      </c>
    </row>
    <row r="10" spans="1:18" ht="15.75" x14ac:dyDescent="0.25">
      <c r="A10" s="265" t="s">
        <v>10</v>
      </c>
      <c r="B10" s="266"/>
      <c r="C10" s="267"/>
      <c r="D10" s="268"/>
      <c r="E10" s="267"/>
      <c r="F10" s="268"/>
      <c r="G10" s="267"/>
      <c r="H10" s="268"/>
      <c r="I10" s="267"/>
      <c r="J10" s="268"/>
      <c r="K10" s="267"/>
      <c r="L10" s="268"/>
      <c r="M10" s="267"/>
      <c r="N10" s="268"/>
      <c r="O10" s="263"/>
      <c r="P10" s="263"/>
      <c r="Q10" s="265" t="s">
        <v>10</v>
      </c>
    </row>
    <row r="11" spans="1:18" ht="15.75" x14ac:dyDescent="0.25">
      <c r="A11" s="257"/>
      <c r="B11" s="269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</row>
    <row r="12" spans="1:18" ht="15.75" x14ac:dyDescent="0.25">
      <c r="A12" s="261">
        <v>1</v>
      </c>
      <c r="B12" s="266" t="s">
        <v>329</v>
      </c>
      <c r="C12" s="406">
        <f>'[3]Filing Copy-2026 Forecast'!C15*1000</f>
        <v>7568.5555555555557</v>
      </c>
      <c r="D12" s="406">
        <f>'[3]Filing Copy-2026 Forecast'!D15*1000</f>
        <v>7568.5555555555557</v>
      </c>
      <c r="E12" s="406">
        <f>'[3]Filing Copy-2026 Forecast'!E15*1000</f>
        <v>7568.5555555555557</v>
      </c>
      <c r="F12" s="406">
        <f>'[3]Filing Copy-2026 Forecast'!F15*1000</f>
        <v>7568.5555555555557</v>
      </c>
      <c r="G12" s="406">
        <f>'[3]Filing Copy-2026 Forecast'!G15*1000</f>
        <v>7568.5555555555557</v>
      </c>
      <c r="H12" s="406">
        <f>'[3]Filing Copy-2026 Forecast'!H15*1000</f>
        <v>7568.5555555555557</v>
      </c>
      <c r="I12" s="406">
        <f>'[3]Filing Copy-2026 Forecast'!I15*1000</f>
        <v>7568.5555555555557</v>
      </c>
      <c r="J12" s="406">
        <f>'[3]Filing Copy-2026 Forecast'!J15*1000</f>
        <v>7568.5555555555557</v>
      </c>
      <c r="K12" s="406">
        <f>'[3]Filing Copy-2026 Forecast'!K15*1000</f>
        <v>7568.5555555555557</v>
      </c>
      <c r="L12" s="406">
        <f>'[3]Filing Copy-2026 Forecast'!L15*1000</f>
        <v>7568.5555555555557</v>
      </c>
      <c r="M12" s="406">
        <f>'[3]Filing Copy-2026 Forecast'!M15*1000</f>
        <v>7568.5555555555557</v>
      </c>
      <c r="N12" s="406">
        <f>'[3]Filing Copy-2026 Forecast'!N15*1000</f>
        <v>7568.5555555555557</v>
      </c>
      <c r="O12" s="406">
        <f>SUM(C12:N12)</f>
        <v>90822.666666666686</v>
      </c>
      <c r="P12" s="270" t="s">
        <v>439</v>
      </c>
      <c r="Q12" s="261">
        <v>1</v>
      </c>
      <c r="R12" s="395"/>
    </row>
    <row r="13" spans="1:18" ht="15.75" x14ac:dyDescent="0.25">
      <c r="A13" s="261">
        <f>A12+1</f>
        <v>2</v>
      </c>
      <c r="B13" s="271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272"/>
      <c r="Q13" s="261">
        <f>Q12+1</f>
        <v>2</v>
      </c>
      <c r="R13" s="395"/>
    </row>
    <row r="14" spans="1:18" ht="16.5" thickBot="1" x14ac:dyDescent="0.3">
      <c r="A14" s="261">
        <f t="shared" ref="A14:A24" si="0">A13+1</f>
        <v>3</v>
      </c>
      <c r="B14" s="273"/>
      <c r="C14" s="397"/>
      <c r="D14" s="397"/>
      <c r="E14" s="397"/>
      <c r="F14" s="397"/>
      <c r="G14" s="397"/>
      <c r="H14" s="397"/>
      <c r="I14" s="397"/>
      <c r="J14" s="397"/>
      <c r="K14" s="397"/>
      <c r="L14" s="397"/>
      <c r="M14" s="397"/>
      <c r="N14" s="397"/>
      <c r="O14" s="397"/>
      <c r="P14" s="274"/>
      <c r="Q14" s="261">
        <f t="shared" ref="Q14:Q24" si="1">Q13+1</f>
        <v>3</v>
      </c>
      <c r="R14" s="395"/>
    </row>
    <row r="15" spans="1:18" ht="18.75" x14ac:dyDescent="0.25">
      <c r="A15" s="261">
        <f t="shared" si="0"/>
        <v>4</v>
      </c>
      <c r="B15" s="275" t="s">
        <v>330</v>
      </c>
      <c r="C15" s="423">
        <v>1.4019999999999999E-2</v>
      </c>
      <c r="D15" s="424">
        <f>$C$15</f>
        <v>1.4019999999999999E-2</v>
      </c>
      <c r="E15" s="424">
        <f t="shared" ref="E15:N15" si="2">$C$15</f>
        <v>1.4019999999999999E-2</v>
      </c>
      <c r="F15" s="424">
        <f t="shared" si="2"/>
        <v>1.4019999999999999E-2</v>
      </c>
      <c r="G15" s="424">
        <f t="shared" si="2"/>
        <v>1.4019999999999999E-2</v>
      </c>
      <c r="H15" s="424">
        <f t="shared" si="2"/>
        <v>1.4019999999999999E-2</v>
      </c>
      <c r="I15" s="424">
        <f t="shared" si="2"/>
        <v>1.4019999999999999E-2</v>
      </c>
      <c r="J15" s="424">
        <f t="shared" si="2"/>
        <v>1.4019999999999999E-2</v>
      </c>
      <c r="K15" s="424">
        <f t="shared" si="2"/>
        <v>1.4019999999999999E-2</v>
      </c>
      <c r="L15" s="424">
        <f t="shared" si="2"/>
        <v>1.4019999999999999E-2</v>
      </c>
      <c r="M15" s="424">
        <f t="shared" si="2"/>
        <v>1.4019999999999999E-2</v>
      </c>
      <c r="N15" s="424">
        <f t="shared" si="2"/>
        <v>1.4019999999999999E-2</v>
      </c>
      <c r="O15" s="398"/>
      <c r="P15" s="276" t="s">
        <v>331</v>
      </c>
      <c r="Q15" s="261">
        <f t="shared" si="1"/>
        <v>4</v>
      </c>
    </row>
    <row r="16" spans="1:18" ht="15.75" x14ac:dyDescent="0.25">
      <c r="A16" s="261">
        <f t="shared" si="0"/>
        <v>5</v>
      </c>
      <c r="B16" s="273"/>
      <c r="C16" s="399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1"/>
      <c r="P16" s="276"/>
      <c r="Q16" s="261">
        <f t="shared" si="1"/>
        <v>5</v>
      </c>
    </row>
    <row r="17" spans="1:18" ht="16.5" thickBot="1" x14ac:dyDescent="0.3">
      <c r="A17" s="261">
        <f t="shared" si="0"/>
        <v>6</v>
      </c>
      <c r="B17" s="275" t="s">
        <v>332</v>
      </c>
      <c r="C17" s="403">
        <f>'Wholesale TAC Rates'!D24/1000</f>
        <v>3.5208862019232193E-2</v>
      </c>
      <c r="D17" s="404">
        <f>$C$17</f>
        <v>3.5208862019232193E-2</v>
      </c>
      <c r="E17" s="404">
        <f t="shared" ref="E17:N17" si="3">$C$17</f>
        <v>3.5208862019232193E-2</v>
      </c>
      <c r="F17" s="404">
        <f t="shared" si="3"/>
        <v>3.5208862019232193E-2</v>
      </c>
      <c r="G17" s="404">
        <f t="shared" si="3"/>
        <v>3.5208862019232193E-2</v>
      </c>
      <c r="H17" s="404">
        <f t="shared" si="3"/>
        <v>3.5208862019232193E-2</v>
      </c>
      <c r="I17" s="404">
        <f t="shared" si="3"/>
        <v>3.5208862019232193E-2</v>
      </c>
      <c r="J17" s="404">
        <f t="shared" si="3"/>
        <v>3.5208862019232193E-2</v>
      </c>
      <c r="K17" s="404">
        <f t="shared" si="3"/>
        <v>3.5208862019232193E-2</v>
      </c>
      <c r="L17" s="404">
        <f t="shared" si="3"/>
        <v>3.5208862019232193E-2</v>
      </c>
      <c r="M17" s="404">
        <f t="shared" si="3"/>
        <v>3.5208862019232193E-2</v>
      </c>
      <c r="N17" s="404">
        <f t="shared" si="3"/>
        <v>3.5208862019232193E-2</v>
      </c>
      <c r="O17" s="402"/>
      <c r="P17" s="418" t="s">
        <v>452</v>
      </c>
      <c r="Q17" s="261">
        <f t="shared" si="1"/>
        <v>6</v>
      </c>
      <c r="R17" s="395"/>
    </row>
    <row r="18" spans="1:18" ht="15.75" x14ac:dyDescent="0.25">
      <c r="A18" s="261">
        <f t="shared" si="0"/>
        <v>7</v>
      </c>
      <c r="B18" s="266"/>
      <c r="C18" s="397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274"/>
      <c r="Q18" s="261">
        <f t="shared" si="1"/>
        <v>7</v>
      </c>
      <c r="R18" s="395"/>
    </row>
    <row r="19" spans="1:18" ht="15.75" x14ac:dyDescent="0.25">
      <c r="A19" s="261">
        <f t="shared" si="0"/>
        <v>8</v>
      </c>
      <c r="B19" s="266"/>
      <c r="C19" s="397"/>
      <c r="D19" s="397"/>
      <c r="E19" s="397"/>
      <c r="F19" s="397"/>
      <c r="G19" s="397"/>
      <c r="H19" s="397"/>
      <c r="I19" s="397"/>
      <c r="J19" s="397"/>
      <c r="K19" s="397"/>
      <c r="L19" s="397"/>
      <c r="M19" s="397"/>
      <c r="N19" s="397"/>
      <c r="O19" s="397"/>
      <c r="P19" s="274"/>
      <c r="Q19" s="261">
        <f t="shared" si="1"/>
        <v>8</v>
      </c>
    </row>
    <row r="20" spans="1:18" ht="15.75" x14ac:dyDescent="0.25">
      <c r="A20" s="261">
        <f t="shared" si="0"/>
        <v>9</v>
      </c>
      <c r="B20" s="271" t="s">
        <v>333</v>
      </c>
      <c r="C20" s="405">
        <f>C12*C15</f>
        <v>106.11114888888889</v>
      </c>
      <c r="D20" s="405">
        <f t="shared" ref="D20:N20" si="4">D12*D15</f>
        <v>106.11114888888889</v>
      </c>
      <c r="E20" s="405">
        <f t="shared" si="4"/>
        <v>106.11114888888889</v>
      </c>
      <c r="F20" s="405">
        <f t="shared" si="4"/>
        <v>106.11114888888889</v>
      </c>
      <c r="G20" s="405">
        <f t="shared" si="4"/>
        <v>106.11114888888889</v>
      </c>
      <c r="H20" s="405">
        <f t="shared" si="4"/>
        <v>106.11114888888889</v>
      </c>
      <c r="I20" s="405">
        <f t="shared" si="4"/>
        <v>106.11114888888889</v>
      </c>
      <c r="J20" s="405">
        <f t="shared" si="4"/>
        <v>106.11114888888889</v>
      </c>
      <c r="K20" s="405">
        <f t="shared" si="4"/>
        <v>106.11114888888889</v>
      </c>
      <c r="L20" s="405">
        <f t="shared" si="4"/>
        <v>106.11114888888889</v>
      </c>
      <c r="M20" s="405">
        <f t="shared" si="4"/>
        <v>106.11114888888889</v>
      </c>
      <c r="N20" s="405">
        <f t="shared" si="4"/>
        <v>106.11114888888889</v>
      </c>
      <c r="O20" s="405">
        <f>SUM(C20:N20)</f>
        <v>1273.3337866666668</v>
      </c>
      <c r="P20" s="277" t="s">
        <v>334</v>
      </c>
      <c r="Q20" s="261">
        <f t="shared" si="1"/>
        <v>9</v>
      </c>
      <c r="R20" s="395"/>
    </row>
    <row r="21" spans="1:18" ht="15.75" x14ac:dyDescent="0.25">
      <c r="A21" s="261">
        <f t="shared" si="0"/>
        <v>10</v>
      </c>
      <c r="B21" s="271"/>
      <c r="C21" s="397"/>
      <c r="D21" s="397"/>
      <c r="E21" s="397"/>
      <c r="F21" s="397"/>
      <c r="G21" s="397"/>
      <c r="H21" s="397"/>
      <c r="I21" s="397"/>
      <c r="J21" s="397"/>
      <c r="K21" s="397"/>
      <c r="L21" s="397"/>
      <c r="M21" s="397"/>
      <c r="N21" s="397"/>
      <c r="O21" s="397"/>
      <c r="P21" s="274"/>
      <c r="Q21" s="261">
        <f t="shared" si="1"/>
        <v>10</v>
      </c>
    </row>
    <row r="22" spans="1:18" ht="15.75" x14ac:dyDescent="0.25">
      <c r="A22" s="261">
        <f t="shared" si="0"/>
        <v>11</v>
      </c>
      <c r="B22" s="271" t="s">
        <v>335</v>
      </c>
      <c r="C22" s="406">
        <f>C12*C17</f>
        <v>266.48022824044881</v>
      </c>
      <c r="D22" s="406">
        <f t="shared" ref="D22:N22" si="5">D12*D17</f>
        <v>266.48022824044881</v>
      </c>
      <c r="E22" s="406">
        <f t="shared" si="5"/>
        <v>266.48022824044881</v>
      </c>
      <c r="F22" s="406">
        <f t="shared" si="5"/>
        <v>266.48022824044881</v>
      </c>
      <c r="G22" s="406">
        <f t="shared" si="5"/>
        <v>266.48022824044881</v>
      </c>
      <c r="H22" s="406">
        <f t="shared" si="5"/>
        <v>266.48022824044881</v>
      </c>
      <c r="I22" s="406">
        <f t="shared" si="5"/>
        <v>266.48022824044881</v>
      </c>
      <c r="J22" s="406">
        <f t="shared" si="5"/>
        <v>266.48022824044881</v>
      </c>
      <c r="K22" s="406">
        <f t="shared" si="5"/>
        <v>266.48022824044881</v>
      </c>
      <c r="L22" s="406">
        <f t="shared" si="5"/>
        <v>266.48022824044881</v>
      </c>
      <c r="M22" s="406">
        <f t="shared" si="5"/>
        <v>266.48022824044881</v>
      </c>
      <c r="N22" s="406">
        <f t="shared" si="5"/>
        <v>266.48022824044881</v>
      </c>
      <c r="O22" s="406">
        <f>SUM(C22:N22)</f>
        <v>3197.7627388853866</v>
      </c>
      <c r="P22" s="274" t="s">
        <v>336</v>
      </c>
      <c r="Q22" s="261">
        <f t="shared" si="1"/>
        <v>11</v>
      </c>
      <c r="R22" s="395"/>
    </row>
    <row r="23" spans="1:18" ht="15.75" customHeight="1" x14ac:dyDescent="0.25">
      <c r="A23" s="261">
        <f t="shared" si="0"/>
        <v>12</v>
      </c>
      <c r="B23" s="266"/>
      <c r="C23" s="397"/>
      <c r="D23" s="397"/>
      <c r="E23" s="397"/>
      <c r="F23" s="397"/>
      <c r="G23" s="397"/>
      <c r="H23" s="397"/>
      <c r="I23" s="397"/>
      <c r="J23" s="397"/>
      <c r="K23" s="397"/>
      <c r="L23" s="397"/>
      <c r="M23" s="397"/>
      <c r="N23" s="397"/>
      <c r="O23" s="397"/>
      <c r="P23" s="274"/>
      <c r="Q23" s="261">
        <f t="shared" si="1"/>
        <v>12</v>
      </c>
    </row>
    <row r="24" spans="1:18" ht="16.5" thickBot="1" x14ac:dyDescent="0.3">
      <c r="A24" s="261">
        <f t="shared" si="0"/>
        <v>13</v>
      </c>
      <c r="B24" s="271" t="s">
        <v>337</v>
      </c>
      <c r="C24" s="407">
        <f>C20+C22</f>
        <v>372.59137712933773</v>
      </c>
      <c r="D24" s="407">
        <f t="shared" ref="D24:N24" si="6">D20+D22</f>
        <v>372.59137712933773</v>
      </c>
      <c r="E24" s="407">
        <f t="shared" si="6"/>
        <v>372.59137712933773</v>
      </c>
      <c r="F24" s="407">
        <f t="shared" si="6"/>
        <v>372.59137712933773</v>
      </c>
      <c r="G24" s="407">
        <f t="shared" si="6"/>
        <v>372.59137712933773</v>
      </c>
      <c r="H24" s="407">
        <f t="shared" si="6"/>
        <v>372.59137712933773</v>
      </c>
      <c r="I24" s="407">
        <f t="shared" si="6"/>
        <v>372.59137712933773</v>
      </c>
      <c r="J24" s="407">
        <f t="shared" si="6"/>
        <v>372.59137712933773</v>
      </c>
      <c r="K24" s="407">
        <f t="shared" si="6"/>
        <v>372.59137712933773</v>
      </c>
      <c r="L24" s="407">
        <f t="shared" si="6"/>
        <v>372.59137712933773</v>
      </c>
      <c r="M24" s="407">
        <f t="shared" si="6"/>
        <v>372.59137712933773</v>
      </c>
      <c r="N24" s="407">
        <f t="shared" si="6"/>
        <v>372.59137712933773</v>
      </c>
      <c r="O24" s="407">
        <f>SUM(C24:N24)</f>
        <v>4471.0965255520523</v>
      </c>
      <c r="P24" s="272" t="s">
        <v>338</v>
      </c>
      <c r="Q24" s="261">
        <f t="shared" si="1"/>
        <v>13</v>
      </c>
      <c r="R24" s="395"/>
    </row>
    <row r="25" spans="1:18" ht="16.5" thickTop="1" x14ac:dyDescent="0.25">
      <c r="A25" s="265"/>
      <c r="B25" s="278"/>
      <c r="C25" s="279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1"/>
      <c r="P25" s="281"/>
      <c r="Q25" s="267"/>
    </row>
    <row r="26" spans="1:18" ht="15.75" customHeight="1" x14ac:dyDescent="0.25">
      <c r="A26" s="282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</row>
    <row r="27" spans="1:18" ht="15.75" x14ac:dyDescent="0.25">
      <c r="A27" s="313"/>
      <c r="B27" s="314" t="s">
        <v>339</v>
      </c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283"/>
      <c r="Q27" s="283"/>
    </row>
    <row r="28" spans="1:18" ht="18.75" x14ac:dyDescent="0.25">
      <c r="A28" s="315">
        <v>1</v>
      </c>
      <c r="B28" s="314" t="s">
        <v>478</v>
      </c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283"/>
    </row>
    <row r="29" spans="1:18" ht="15.75" customHeight="1" x14ac:dyDescent="0.25">
      <c r="A29" s="316"/>
      <c r="B29" s="314" t="s">
        <v>471</v>
      </c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283"/>
    </row>
    <row r="30" spans="1:18" ht="15.75" customHeight="1" x14ac:dyDescent="0.25">
      <c r="A30" s="285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</row>
    <row r="31" spans="1:18" ht="15.75" customHeight="1" x14ac:dyDescent="0.25">
      <c r="A31" s="284"/>
      <c r="B31" s="250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</row>
    <row r="32" spans="1:18" ht="15.75" customHeight="1" x14ac:dyDescent="0.25">
      <c r="A32" s="282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</row>
    <row r="33" spans="1:17" ht="15.75" customHeight="1" x14ac:dyDescent="0.25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</row>
    <row r="34" spans="1:17" ht="15.75" customHeight="1" x14ac:dyDescent="0.25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</row>
    <row r="35" spans="1:17" ht="15.75" customHeight="1" x14ac:dyDescent="0.25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</row>
    <row r="36" spans="1:17" ht="15.75" customHeight="1" x14ac:dyDescent="0.25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</row>
    <row r="37" spans="1:17" ht="15.75" customHeight="1" x14ac:dyDescent="0.25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</row>
    <row r="38" spans="1:17" ht="15.75" customHeight="1" x14ac:dyDescent="0.25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</row>
    <row r="39" spans="1:17" ht="15.75" customHeight="1" x14ac:dyDescent="0.25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</row>
    <row r="40" spans="1:17" ht="15.75" customHeight="1" x14ac:dyDescent="0.25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</row>
    <row r="41" spans="1:17" ht="15.75" customHeight="1" x14ac:dyDescent="0.25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</row>
    <row r="42" spans="1:17" ht="15.75" customHeight="1" x14ac:dyDescent="0.25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</row>
    <row r="43" spans="1:17" ht="15.75" customHeight="1" x14ac:dyDescent="0.25">
      <c r="A43" s="282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</row>
    <row r="44" spans="1:17" ht="15.75" customHeight="1" x14ac:dyDescent="0.25">
      <c r="A44" s="282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</row>
    <row r="45" spans="1:17" ht="15.75" customHeight="1" x14ac:dyDescent="0.25">
      <c r="A45" s="282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</row>
    <row r="46" spans="1:17" ht="15.75" customHeight="1" x14ac:dyDescent="0.25">
      <c r="A46" s="282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</row>
    <row r="47" spans="1:17" ht="15.75" customHeight="1" x14ac:dyDescent="0.25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</row>
    <row r="48" spans="1:17" ht="15.75" customHeight="1" x14ac:dyDescent="0.25">
      <c r="A48" s="282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</row>
    <row r="49" spans="1:17" ht="15.75" customHeight="1" x14ac:dyDescent="0.25">
      <c r="A49" s="282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</row>
    <row r="50" spans="1:17" ht="15.75" customHeight="1" x14ac:dyDescent="0.25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</row>
    <row r="51" spans="1:17" ht="15.75" customHeight="1" x14ac:dyDescent="0.25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</row>
    <row r="52" spans="1:17" ht="15.75" customHeight="1" x14ac:dyDescent="0.25">
      <c r="A52" s="282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</row>
    <row r="53" spans="1:17" ht="15.75" customHeight="1" x14ac:dyDescent="0.25">
      <c r="A53" s="282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</row>
    <row r="54" spans="1:17" ht="15.75" customHeight="1" x14ac:dyDescent="0.25">
      <c r="A54" s="282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</row>
    <row r="55" spans="1:17" ht="15.75" customHeight="1" x14ac:dyDescent="0.25">
      <c r="A55" s="282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</row>
    <row r="56" spans="1:17" ht="15.75" customHeight="1" x14ac:dyDescent="0.25">
      <c r="A56" s="282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</row>
    <row r="57" spans="1:17" ht="15.75" customHeight="1" x14ac:dyDescent="0.25">
      <c r="A57" s="282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</row>
    <row r="58" spans="1:17" ht="15.75" customHeight="1" x14ac:dyDescent="0.25">
      <c r="A58" s="282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</row>
    <row r="59" spans="1:17" ht="15.75" customHeight="1" x14ac:dyDescent="0.25">
      <c r="A59" s="282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</row>
    <row r="60" spans="1:17" ht="15.75" customHeight="1" x14ac:dyDescent="0.25">
      <c r="A60" s="282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</row>
    <row r="61" spans="1:17" ht="15.75" customHeight="1" x14ac:dyDescent="0.25">
      <c r="A61" s="282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</row>
    <row r="62" spans="1:17" ht="15.75" customHeight="1" x14ac:dyDescent="0.25">
      <c r="A62" s="282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</row>
    <row r="63" spans="1:17" ht="15.75" customHeight="1" x14ac:dyDescent="0.25">
      <c r="A63" s="282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</row>
    <row r="64" spans="1:17" ht="15.75" customHeight="1" x14ac:dyDescent="0.25">
      <c r="A64" s="282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</row>
    <row r="65" spans="1:17" ht="15.75" customHeight="1" x14ac:dyDescent="0.25">
      <c r="A65" s="282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</row>
    <row r="66" spans="1:17" ht="15.75" customHeight="1" x14ac:dyDescent="0.25">
      <c r="A66" s="282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</row>
    <row r="67" spans="1:17" ht="15.75" customHeight="1" x14ac:dyDescent="0.25">
      <c r="A67" s="282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</row>
    <row r="68" spans="1:17" ht="15.75" customHeight="1" x14ac:dyDescent="0.25">
      <c r="A68" s="282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</row>
    <row r="69" spans="1:17" ht="15.75" customHeight="1" x14ac:dyDescent="0.25">
      <c r="A69" s="282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</row>
    <row r="70" spans="1:17" ht="15.75" customHeight="1" x14ac:dyDescent="0.25">
      <c r="A70" s="282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</row>
    <row r="71" spans="1:17" ht="15.75" customHeight="1" x14ac:dyDescent="0.25">
      <c r="A71" s="282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</row>
    <row r="72" spans="1:17" ht="15.75" customHeight="1" x14ac:dyDescent="0.25">
      <c r="A72" s="282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</row>
    <row r="73" spans="1:17" ht="15.75" customHeight="1" x14ac:dyDescent="0.25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</row>
    <row r="74" spans="1:17" ht="15.75" customHeight="1" x14ac:dyDescent="0.25">
      <c r="A74" s="282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</row>
    <row r="75" spans="1:17" ht="15.75" customHeight="1" x14ac:dyDescent="0.25">
      <c r="A75" s="282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</row>
    <row r="76" spans="1:17" ht="15.75" customHeight="1" x14ac:dyDescent="0.25">
      <c r="A76" s="282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</row>
    <row r="77" spans="1:17" ht="15.75" customHeight="1" x14ac:dyDescent="0.2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</row>
    <row r="78" spans="1:17" ht="15.75" customHeight="1" x14ac:dyDescent="0.25">
      <c r="A78" s="282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</row>
    <row r="79" spans="1:17" ht="15.75" customHeight="1" x14ac:dyDescent="0.25">
      <c r="A79" s="282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</row>
    <row r="80" spans="1:17" ht="15.75" customHeight="1" x14ac:dyDescent="0.25">
      <c r="A80" s="282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</row>
    <row r="81" spans="1:17" ht="15.75" customHeight="1" x14ac:dyDescent="0.25">
      <c r="A81" s="282"/>
      <c r="B81" s="283"/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</row>
    <row r="82" spans="1:17" ht="15.75" customHeight="1" x14ac:dyDescent="0.25">
      <c r="A82" s="282"/>
      <c r="B82" s="283"/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</row>
    <row r="83" spans="1:17" ht="15.75" customHeight="1" x14ac:dyDescent="0.25">
      <c r="A83" s="282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</row>
    <row r="84" spans="1:17" ht="15.75" customHeight="1" x14ac:dyDescent="0.25">
      <c r="A84" s="282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</row>
    <row r="85" spans="1:17" ht="15.75" customHeight="1" x14ac:dyDescent="0.25">
      <c r="A85" s="282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</row>
    <row r="86" spans="1:17" ht="15.75" customHeight="1" x14ac:dyDescent="0.25">
      <c r="A86" s="282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</row>
    <row r="87" spans="1:17" ht="15.75" customHeight="1" x14ac:dyDescent="0.25">
      <c r="A87" s="282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</row>
    <row r="88" spans="1:17" ht="15.75" customHeight="1" x14ac:dyDescent="0.25">
      <c r="A88" s="282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</row>
    <row r="89" spans="1:17" ht="15.75" customHeight="1" x14ac:dyDescent="0.25">
      <c r="A89" s="282"/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</row>
    <row r="90" spans="1:17" ht="15.75" customHeight="1" x14ac:dyDescent="0.25">
      <c r="A90" s="282"/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</row>
    <row r="91" spans="1:17" ht="15.75" customHeight="1" x14ac:dyDescent="0.25">
      <c r="A91" s="282"/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</row>
    <row r="92" spans="1:17" ht="15.75" customHeight="1" x14ac:dyDescent="0.25">
      <c r="A92" s="282"/>
      <c r="B92" s="283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</row>
    <row r="93" spans="1:17" ht="15.75" customHeight="1" x14ac:dyDescent="0.25">
      <c r="A93" s="282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</row>
    <row r="94" spans="1:17" ht="15.75" customHeight="1" x14ac:dyDescent="0.25">
      <c r="A94" s="282"/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</row>
    <row r="95" spans="1:17" ht="15.75" customHeight="1" x14ac:dyDescent="0.25">
      <c r="A95" s="282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</row>
    <row r="96" spans="1:17" ht="15.75" customHeight="1" x14ac:dyDescent="0.25">
      <c r="A96" s="282"/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</row>
    <row r="97" spans="1:17" ht="15.75" customHeight="1" x14ac:dyDescent="0.25">
      <c r="A97" s="282"/>
      <c r="B97" s="283"/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</row>
    <row r="98" spans="1:17" ht="15.75" customHeight="1" x14ac:dyDescent="0.25">
      <c r="A98" s="282"/>
      <c r="B98" s="283"/>
      <c r="C98" s="283"/>
      <c r="D98" s="283"/>
      <c r="E98" s="283"/>
      <c r="F98" s="283"/>
      <c r="G98" s="283"/>
      <c r="H98" s="283"/>
      <c r="I98" s="283"/>
      <c r="J98" s="283"/>
      <c r="K98" s="283"/>
      <c r="L98" s="283"/>
      <c r="M98" s="283"/>
      <c r="N98" s="283"/>
      <c r="O98" s="283"/>
      <c r="P98" s="283"/>
      <c r="Q98" s="283"/>
    </row>
    <row r="99" spans="1:17" ht="15.75" customHeight="1" x14ac:dyDescent="0.25">
      <c r="A99" s="282"/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</row>
    <row r="100" spans="1:17" ht="15.75" customHeight="1" x14ac:dyDescent="0.25">
      <c r="A100" s="282"/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  <c r="L100" s="283"/>
      <c r="M100" s="283"/>
      <c r="N100" s="283"/>
      <c r="O100" s="283"/>
      <c r="P100" s="283"/>
      <c r="Q100" s="283"/>
    </row>
    <row r="101" spans="1:17" ht="15.75" customHeight="1" x14ac:dyDescent="0.25">
      <c r="A101" s="282"/>
      <c r="B101" s="283"/>
      <c r="C101" s="283"/>
      <c r="D101" s="283"/>
      <c r="E101" s="283"/>
      <c r="F101" s="283"/>
      <c r="G101" s="283"/>
      <c r="H101" s="283"/>
      <c r="I101" s="283"/>
      <c r="J101" s="283"/>
      <c r="K101" s="283"/>
      <c r="L101" s="283"/>
      <c r="M101" s="283"/>
      <c r="N101" s="283"/>
      <c r="O101" s="283"/>
      <c r="P101" s="283"/>
      <c r="Q101" s="283"/>
    </row>
    <row r="102" spans="1:17" ht="15.75" customHeight="1" x14ac:dyDescent="0.25">
      <c r="A102" s="282"/>
      <c r="B102" s="283"/>
      <c r="C102" s="283"/>
      <c r="D102" s="283"/>
      <c r="E102" s="283"/>
      <c r="F102" s="283"/>
      <c r="G102" s="283"/>
      <c r="H102" s="283"/>
      <c r="I102" s="283"/>
      <c r="J102" s="283"/>
      <c r="K102" s="283"/>
      <c r="L102" s="283"/>
      <c r="M102" s="283"/>
      <c r="N102" s="283"/>
      <c r="O102" s="283"/>
      <c r="P102" s="283"/>
      <c r="Q102" s="283"/>
    </row>
    <row r="103" spans="1:17" ht="15.75" customHeight="1" x14ac:dyDescent="0.25">
      <c r="A103" s="282"/>
      <c r="B103" s="283"/>
      <c r="C103" s="283"/>
      <c r="D103" s="283"/>
      <c r="E103" s="283"/>
      <c r="F103" s="283"/>
      <c r="G103" s="283"/>
      <c r="H103" s="283"/>
      <c r="I103" s="283"/>
      <c r="J103" s="283"/>
      <c r="K103" s="283"/>
      <c r="L103" s="283"/>
      <c r="M103" s="283"/>
      <c r="N103" s="283"/>
      <c r="O103" s="283"/>
      <c r="P103" s="283"/>
      <c r="Q103" s="283"/>
    </row>
    <row r="104" spans="1:17" ht="15.75" customHeight="1" x14ac:dyDescent="0.25">
      <c r="A104" s="282"/>
      <c r="B104" s="283"/>
      <c r="C104" s="283"/>
      <c r="D104" s="283"/>
      <c r="E104" s="283"/>
      <c r="F104" s="283"/>
      <c r="G104" s="283"/>
      <c r="H104" s="283"/>
      <c r="I104" s="283"/>
      <c r="J104" s="283"/>
      <c r="K104" s="283"/>
      <c r="L104" s="283"/>
      <c r="M104" s="283"/>
      <c r="N104" s="283"/>
      <c r="O104" s="283"/>
      <c r="P104" s="283"/>
      <c r="Q104" s="283"/>
    </row>
    <row r="105" spans="1:17" ht="15.75" customHeight="1" x14ac:dyDescent="0.25">
      <c r="A105" s="282"/>
      <c r="B105" s="283"/>
      <c r="C105" s="283"/>
      <c r="D105" s="283"/>
      <c r="E105" s="283"/>
      <c r="F105" s="283"/>
      <c r="G105" s="283"/>
      <c r="H105" s="283"/>
      <c r="I105" s="283"/>
      <c r="J105" s="283"/>
      <c r="K105" s="283"/>
      <c r="L105" s="283"/>
      <c r="M105" s="283"/>
      <c r="N105" s="283"/>
      <c r="O105" s="283"/>
      <c r="P105" s="283"/>
      <c r="Q105" s="283"/>
    </row>
    <row r="106" spans="1:17" ht="15.75" customHeight="1" x14ac:dyDescent="0.25">
      <c r="A106" s="282"/>
      <c r="B106" s="283"/>
      <c r="C106" s="283"/>
      <c r="D106" s="283"/>
      <c r="E106" s="283"/>
      <c r="F106" s="283"/>
      <c r="G106" s="283"/>
      <c r="H106" s="283"/>
      <c r="I106" s="283"/>
      <c r="J106" s="283"/>
      <c r="K106" s="283"/>
      <c r="L106" s="283"/>
      <c r="M106" s="283"/>
      <c r="N106" s="283"/>
      <c r="O106" s="283"/>
      <c r="P106" s="283"/>
      <c r="Q106" s="283"/>
    </row>
    <row r="107" spans="1:17" ht="15.75" customHeight="1" x14ac:dyDescent="0.25">
      <c r="A107" s="282"/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</row>
    <row r="108" spans="1:17" ht="15.75" customHeight="1" x14ac:dyDescent="0.25">
      <c r="A108" s="282"/>
      <c r="B108" s="283"/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283"/>
      <c r="O108" s="283"/>
      <c r="P108" s="283"/>
      <c r="Q108" s="283"/>
    </row>
    <row r="109" spans="1:17" ht="15.75" customHeight="1" x14ac:dyDescent="0.25">
      <c r="A109" s="282"/>
      <c r="B109" s="283"/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/>
      <c r="P109" s="283"/>
      <c r="Q109" s="283"/>
    </row>
    <row r="110" spans="1:17" ht="15.75" customHeight="1" x14ac:dyDescent="0.25">
      <c r="A110" s="282"/>
      <c r="B110" s="283"/>
      <c r="C110" s="283"/>
      <c r="D110" s="283"/>
      <c r="E110" s="283"/>
      <c r="F110" s="283"/>
      <c r="G110" s="283"/>
      <c r="H110" s="283"/>
      <c r="I110" s="283"/>
      <c r="J110" s="283"/>
      <c r="K110" s="283"/>
      <c r="L110" s="283"/>
      <c r="M110" s="283"/>
      <c r="N110" s="283"/>
      <c r="O110" s="283"/>
      <c r="P110" s="283"/>
      <c r="Q110" s="283"/>
    </row>
    <row r="111" spans="1:17" ht="15.75" customHeight="1" x14ac:dyDescent="0.25">
      <c r="A111" s="282"/>
      <c r="B111" s="283"/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/>
      <c r="Q111" s="283"/>
    </row>
    <row r="112" spans="1:17" ht="15.75" customHeight="1" x14ac:dyDescent="0.25">
      <c r="A112" s="282"/>
      <c r="B112" s="283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</row>
    <row r="113" spans="1:17" ht="15.75" customHeight="1" x14ac:dyDescent="0.25">
      <c r="A113" s="282"/>
      <c r="B113" s="283"/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/>
    </row>
    <row r="114" spans="1:17" ht="15.75" customHeight="1" x14ac:dyDescent="0.25">
      <c r="A114" s="282"/>
      <c r="B114" s="283"/>
      <c r="C114" s="283"/>
      <c r="D114" s="283"/>
      <c r="E114" s="283"/>
      <c r="F114" s="283"/>
      <c r="G114" s="283"/>
      <c r="H114" s="283"/>
      <c r="I114" s="283"/>
      <c r="J114" s="283"/>
      <c r="K114" s="283"/>
      <c r="L114" s="283"/>
      <c r="M114" s="283"/>
      <c r="N114" s="283"/>
      <c r="O114" s="283"/>
      <c r="P114" s="283"/>
      <c r="Q114" s="283"/>
    </row>
    <row r="115" spans="1:17" ht="15.75" customHeight="1" x14ac:dyDescent="0.25">
      <c r="A115" s="282"/>
      <c r="B115" s="283"/>
      <c r="C115" s="283"/>
      <c r="D115" s="283"/>
      <c r="E115" s="283"/>
      <c r="F115" s="283"/>
      <c r="G115" s="283"/>
      <c r="H115" s="283"/>
      <c r="I115" s="283"/>
      <c r="J115" s="283"/>
      <c r="K115" s="283"/>
      <c r="L115" s="283"/>
      <c r="M115" s="283"/>
      <c r="N115" s="283"/>
      <c r="O115" s="283"/>
      <c r="P115" s="283"/>
      <c r="Q115" s="283"/>
    </row>
    <row r="116" spans="1:17" ht="15.75" customHeight="1" x14ac:dyDescent="0.25">
      <c r="A116" s="282"/>
      <c r="B116" s="283"/>
      <c r="C116" s="283"/>
      <c r="D116" s="283"/>
      <c r="E116" s="283"/>
      <c r="F116" s="283"/>
      <c r="G116" s="283"/>
      <c r="H116" s="283"/>
      <c r="I116" s="283"/>
      <c r="J116" s="283"/>
      <c r="K116" s="283"/>
      <c r="L116" s="283"/>
      <c r="M116" s="283"/>
      <c r="N116" s="283"/>
      <c r="O116" s="283"/>
      <c r="P116" s="283"/>
      <c r="Q116" s="283"/>
    </row>
    <row r="117" spans="1:17" ht="15.75" customHeight="1" x14ac:dyDescent="0.25">
      <c r="A117" s="282"/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283"/>
      <c r="M117" s="283"/>
      <c r="N117" s="283"/>
      <c r="O117" s="283"/>
      <c r="P117" s="283"/>
      <c r="Q117" s="283"/>
    </row>
    <row r="118" spans="1:17" ht="15.75" customHeight="1" x14ac:dyDescent="0.25">
      <c r="A118" s="282"/>
      <c r="B118" s="283"/>
      <c r="C118" s="283"/>
      <c r="D118" s="283"/>
      <c r="E118" s="283"/>
      <c r="F118" s="283"/>
      <c r="G118" s="283"/>
      <c r="H118" s="283"/>
      <c r="I118" s="283"/>
      <c r="J118" s="283"/>
      <c r="K118" s="283"/>
      <c r="L118" s="283"/>
      <c r="M118" s="283"/>
      <c r="N118" s="283"/>
      <c r="O118" s="283"/>
      <c r="P118" s="283"/>
      <c r="Q118" s="283"/>
    </row>
    <row r="119" spans="1:17" ht="15.75" customHeight="1" x14ac:dyDescent="0.25">
      <c r="A119" s="282"/>
      <c r="B119" s="283"/>
      <c r="C119" s="283"/>
      <c r="D119" s="283"/>
      <c r="E119" s="283"/>
      <c r="F119" s="283"/>
      <c r="G119" s="283"/>
      <c r="H119" s="283"/>
      <c r="I119" s="283"/>
      <c r="J119" s="283"/>
      <c r="K119" s="283"/>
      <c r="L119" s="283"/>
      <c r="M119" s="283"/>
      <c r="N119" s="283"/>
      <c r="O119" s="283"/>
      <c r="P119" s="283"/>
      <c r="Q119" s="283"/>
    </row>
    <row r="120" spans="1:17" ht="15.75" customHeight="1" x14ac:dyDescent="0.25">
      <c r="A120" s="282"/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  <c r="L120" s="283"/>
      <c r="M120" s="283"/>
      <c r="N120" s="283"/>
      <c r="O120" s="283"/>
      <c r="P120" s="283"/>
      <c r="Q120" s="283"/>
    </row>
    <row r="121" spans="1:17" ht="15.75" customHeight="1" x14ac:dyDescent="0.25">
      <c r="A121" s="283"/>
      <c r="B121" s="283"/>
      <c r="C121" s="283"/>
      <c r="D121" s="283"/>
      <c r="E121" s="283"/>
      <c r="F121" s="283"/>
      <c r="G121" s="283"/>
      <c r="H121" s="283"/>
      <c r="I121" s="283"/>
      <c r="J121" s="283"/>
      <c r="K121" s="283"/>
      <c r="L121" s="283"/>
      <c r="M121" s="283"/>
      <c r="N121" s="283"/>
      <c r="O121" s="283"/>
      <c r="P121" s="283"/>
      <c r="Q121" s="283"/>
    </row>
    <row r="122" spans="1:17" ht="15.75" customHeight="1" x14ac:dyDescent="0.25">
      <c r="A122" s="283"/>
      <c r="B122" s="283"/>
      <c r="C122" s="283"/>
      <c r="D122" s="283"/>
      <c r="E122" s="283"/>
      <c r="F122" s="283"/>
      <c r="G122" s="283"/>
      <c r="H122" s="283"/>
      <c r="I122" s="283"/>
      <c r="J122" s="283"/>
      <c r="K122" s="283"/>
      <c r="L122" s="283"/>
      <c r="M122" s="283"/>
      <c r="N122" s="283"/>
      <c r="O122" s="283"/>
      <c r="P122" s="283"/>
      <c r="Q122" s="283"/>
    </row>
    <row r="123" spans="1:17" ht="15.75" customHeight="1" x14ac:dyDescent="0.25">
      <c r="A123" s="283"/>
      <c r="B123" s="283"/>
      <c r="C123" s="283"/>
      <c r="D123" s="283"/>
      <c r="E123" s="283"/>
      <c r="F123" s="283"/>
      <c r="G123" s="283"/>
      <c r="H123" s="283"/>
      <c r="I123" s="283"/>
      <c r="J123" s="283"/>
      <c r="K123" s="283"/>
      <c r="L123" s="283"/>
      <c r="M123" s="283"/>
      <c r="N123" s="283"/>
      <c r="O123" s="283"/>
      <c r="P123" s="283"/>
      <c r="Q123" s="283"/>
    </row>
    <row r="124" spans="1:17" ht="15.75" customHeight="1" x14ac:dyDescent="0.25">
      <c r="A124" s="283"/>
      <c r="B124" s="283"/>
      <c r="C124" s="283"/>
      <c r="D124" s="283"/>
      <c r="E124" s="283"/>
      <c r="F124" s="283"/>
      <c r="G124" s="283"/>
      <c r="H124" s="283"/>
      <c r="I124" s="283"/>
      <c r="J124" s="283"/>
      <c r="K124" s="283"/>
      <c r="L124" s="283"/>
      <c r="M124" s="283"/>
      <c r="N124" s="283"/>
      <c r="O124" s="283"/>
      <c r="P124" s="283"/>
      <c r="Q124" s="283"/>
    </row>
    <row r="125" spans="1:17" ht="15.75" x14ac:dyDescent="0.25">
      <c r="A125" s="283"/>
      <c r="B125" s="283"/>
      <c r="C125" s="283"/>
      <c r="D125" s="283"/>
      <c r="E125" s="283"/>
      <c r="F125" s="283"/>
      <c r="G125" s="283"/>
      <c r="H125" s="283"/>
      <c r="I125" s="283"/>
      <c r="J125" s="283"/>
      <c r="K125" s="283"/>
      <c r="L125" s="283"/>
      <c r="M125" s="283"/>
      <c r="N125" s="283"/>
      <c r="O125" s="283"/>
      <c r="P125" s="283"/>
      <c r="Q125" s="283"/>
    </row>
    <row r="126" spans="1:17" ht="15.75" x14ac:dyDescent="0.25">
      <c r="A126" s="283"/>
      <c r="B126" s="283"/>
      <c r="C126" s="283"/>
      <c r="D126" s="283"/>
      <c r="E126" s="283"/>
      <c r="F126" s="283"/>
      <c r="G126" s="283"/>
      <c r="H126" s="283"/>
      <c r="I126" s="283"/>
      <c r="J126" s="283"/>
      <c r="K126" s="283"/>
      <c r="L126" s="283"/>
      <c r="M126" s="283"/>
      <c r="N126" s="283"/>
      <c r="O126" s="283"/>
      <c r="P126" s="283"/>
      <c r="Q126" s="283"/>
    </row>
    <row r="127" spans="1:17" ht="15.75" x14ac:dyDescent="0.25">
      <c r="A127" s="283"/>
      <c r="B127" s="283"/>
      <c r="C127" s="283"/>
      <c r="D127" s="283"/>
      <c r="E127" s="283"/>
      <c r="F127" s="283"/>
      <c r="G127" s="283"/>
      <c r="H127" s="283"/>
      <c r="I127" s="283"/>
      <c r="J127" s="283"/>
      <c r="K127" s="283"/>
      <c r="L127" s="283"/>
      <c r="M127" s="283"/>
      <c r="N127" s="283"/>
      <c r="O127" s="283"/>
      <c r="P127" s="283"/>
      <c r="Q127" s="283"/>
    </row>
    <row r="128" spans="1:17" ht="15.75" x14ac:dyDescent="0.25">
      <c r="A128" s="283"/>
      <c r="B128" s="283"/>
      <c r="C128" s="283"/>
      <c r="D128" s="283"/>
      <c r="E128" s="283"/>
      <c r="F128" s="283"/>
      <c r="G128" s="283"/>
      <c r="H128" s="283"/>
      <c r="I128" s="283"/>
      <c r="J128" s="283"/>
      <c r="K128" s="283"/>
      <c r="L128" s="283"/>
      <c r="M128" s="283"/>
      <c r="N128" s="283"/>
      <c r="O128" s="283"/>
      <c r="P128" s="283"/>
      <c r="Q128" s="283"/>
    </row>
    <row r="129" spans="1:17" ht="15.75" x14ac:dyDescent="0.25">
      <c r="A129" s="283"/>
      <c r="B129" s="283"/>
      <c r="C129" s="283"/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</row>
    <row r="130" spans="1:17" ht="15.75" x14ac:dyDescent="0.25">
      <c r="A130" s="283"/>
      <c r="B130" s="283"/>
      <c r="C130" s="283"/>
      <c r="D130" s="283"/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</row>
    <row r="131" spans="1:17" ht="15.75" x14ac:dyDescent="0.25">
      <c r="A131" s="283"/>
      <c r="B131" s="283"/>
      <c r="C131" s="283"/>
      <c r="D131" s="283"/>
      <c r="E131" s="283"/>
      <c r="F131" s="283"/>
      <c r="G131" s="283"/>
      <c r="H131" s="283"/>
      <c r="I131" s="283"/>
      <c r="J131" s="283"/>
      <c r="K131" s="283"/>
      <c r="L131" s="283"/>
      <c r="M131" s="283"/>
      <c r="N131" s="283"/>
      <c r="O131" s="283"/>
      <c r="P131" s="283"/>
      <c r="Q131" s="283"/>
    </row>
    <row r="132" spans="1:17" ht="15.75" x14ac:dyDescent="0.25">
      <c r="A132" s="283"/>
      <c r="B132" s="283"/>
      <c r="C132" s="283"/>
      <c r="D132" s="283"/>
      <c r="E132" s="283"/>
      <c r="F132" s="283"/>
      <c r="G132" s="283"/>
      <c r="H132" s="283"/>
      <c r="I132" s="283"/>
      <c r="J132" s="283"/>
      <c r="K132" s="283"/>
      <c r="L132" s="283"/>
      <c r="M132" s="283"/>
      <c r="N132" s="283"/>
      <c r="O132" s="283"/>
      <c r="P132" s="283"/>
      <c r="Q132" s="283"/>
    </row>
    <row r="133" spans="1:17" ht="15.75" x14ac:dyDescent="0.25">
      <c r="A133" s="283"/>
      <c r="B133" s="283"/>
      <c r="C133" s="283"/>
      <c r="D133" s="283"/>
      <c r="E133" s="283"/>
      <c r="F133" s="283"/>
      <c r="G133" s="283"/>
      <c r="H133" s="283"/>
      <c r="I133" s="283"/>
      <c r="J133" s="283"/>
      <c r="K133" s="283"/>
      <c r="L133" s="283"/>
      <c r="M133" s="283"/>
      <c r="N133" s="283"/>
      <c r="O133" s="283"/>
      <c r="P133" s="283"/>
      <c r="Q133" s="283"/>
    </row>
    <row r="134" spans="1:17" ht="15.75" x14ac:dyDescent="0.25">
      <c r="A134" s="283"/>
      <c r="B134" s="283"/>
      <c r="C134" s="283"/>
      <c r="D134" s="283"/>
      <c r="E134" s="283"/>
      <c r="F134" s="283"/>
      <c r="G134" s="283"/>
      <c r="H134" s="283"/>
      <c r="I134" s="283"/>
      <c r="J134" s="283"/>
      <c r="K134" s="283"/>
      <c r="L134" s="283"/>
      <c r="M134" s="283"/>
      <c r="N134" s="283"/>
      <c r="O134" s="283"/>
      <c r="P134" s="283"/>
      <c r="Q134" s="283"/>
    </row>
    <row r="135" spans="1:17" ht="15.75" x14ac:dyDescent="0.25">
      <c r="A135" s="283"/>
      <c r="B135" s="283"/>
      <c r="C135" s="283"/>
      <c r="D135" s="283"/>
      <c r="E135" s="283"/>
      <c r="F135" s="283"/>
      <c r="G135" s="283"/>
      <c r="H135" s="283"/>
      <c r="I135" s="283"/>
      <c r="J135" s="283"/>
      <c r="K135" s="283"/>
      <c r="L135" s="283"/>
      <c r="M135" s="283"/>
      <c r="N135" s="283"/>
      <c r="O135" s="283"/>
      <c r="P135" s="283"/>
      <c r="Q135" s="283"/>
    </row>
    <row r="136" spans="1:17" ht="15.75" x14ac:dyDescent="0.25">
      <c r="A136" s="283"/>
      <c r="B136" s="283"/>
      <c r="C136" s="283"/>
      <c r="D136" s="283"/>
      <c r="E136" s="283"/>
      <c r="F136" s="283"/>
      <c r="G136" s="283"/>
      <c r="H136" s="283"/>
      <c r="I136" s="283"/>
      <c r="J136" s="283"/>
      <c r="K136" s="283"/>
      <c r="L136" s="283"/>
      <c r="M136" s="283"/>
      <c r="N136" s="283"/>
      <c r="O136" s="283"/>
      <c r="P136" s="283"/>
      <c r="Q136" s="283"/>
    </row>
  </sheetData>
  <printOptions horizontalCentered="1"/>
  <pageMargins left="0.25" right="0.25" top="0.5" bottom="0.5" header="0.25" footer="0.25"/>
  <pageSetup scale="53" orientation="landscape" r:id="rId1"/>
  <headerFooter scaleWithDoc="0">
    <oddFooter xml:space="preserve">&amp;L&amp;"Times New Roman,Regular"&amp;9Statement BG-City of Escondido&amp;C&amp;"Times New Roman,Regular"&amp;9Page BG-&amp;P&amp;12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G21"/>
  <sheetViews>
    <sheetView zoomScale="75" zoomScaleNormal="75" zoomScaleSheetLayoutView="70" workbookViewId="0">
      <selection activeCell="C16" sqref="C16"/>
    </sheetView>
  </sheetViews>
  <sheetFormatPr defaultColWidth="9.140625" defaultRowHeight="18.75" x14ac:dyDescent="0.3"/>
  <cols>
    <col min="1" max="1" width="5.5703125" style="1" bestFit="1" customWidth="1"/>
    <col min="2" max="2" width="40.5703125" style="1" customWidth="1"/>
    <col min="3" max="3" width="28.28515625" style="1" bestFit="1" customWidth="1"/>
    <col min="4" max="6" width="20.5703125" style="1" customWidth="1"/>
    <col min="7" max="7" width="5.5703125" style="1" bestFit="1" customWidth="1"/>
    <col min="8" max="16384" width="9.140625" style="1"/>
  </cols>
  <sheetData>
    <row r="1" spans="1:7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</row>
    <row r="2" spans="1:7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</row>
    <row r="3" spans="1:7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</row>
    <row r="4" spans="1:7" x14ac:dyDescent="0.3">
      <c r="A4" s="426" t="s">
        <v>340</v>
      </c>
      <c r="B4" s="426"/>
      <c r="C4" s="426"/>
      <c r="D4" s="426"/>
      <c r="E4" s="426"/>
      <c r="F4" s="426"/>
      <c r="G4" s="426"/>
    </row>
    <row r="5" spans="1:7" x14ac:dyDescent="0.3">
      <c r="A5" s="425" t="s">
        <v>461</v>
      </c>
      <c r="B5" s="426"/>
      <c r="C5" s="426"/>
      <c r="D5" s="426"/>
      <c r="E5" s="426"/>
      <c r="F5" s="426"/>
      <c r="G5" s="426"/>
    </row>
    <row r="6" spans="1:7" x14ac:dyDescent="0.3">
      <c r="A6" s="6"/>
      <c r="B6" s="6"/>
      <c r="C6" s="111"/>
      <c r="D6" s="111"/>
      <c r="E6" s="6"/>
      <c r="F6" s="6"/>
      <c r="G6" s="6"/>
    </row>
    <row r="7" spans="1:7" x14ac:dyDescent="0.3">
      <c r="A7" s="112"/>
      <c r="B7" s="112"/>
      <c r="C7" s="154" t="s">
        <v>4</v>
      </c>
      <c r="D7" s="155" t="s">
        <v>5</v>
      </c>
      <c r="E7" s="154" t="s">
        <v>48</v>
      </c>
      <c r="F7" s="156" t="s">
        <v>49</v>
      </c>
      <c r="G7" s="112"/>
    </row>
    <row r="8" spans="1:7" x14ac:dyDescent="0.3">
      <c r="A8" s="14"/>
      <c r="B8" s="14"/>
      <c r="C8" s="11" t="s">
        <v>341</v>
      </c>
      <c r="D8" s="96" t="s">
        <v>342</v>
      </c>
      <c r="E8" s="14"/>
      <c r="F8" s="127"/>
      <c r="G8" s="14"/>
    </row>
    <row r="9" spans="1:7" x14ac:dyDescent="0.3">
      <c r="A9" s="11" t="s">
        <v>8</v>
      </c>
      <c r="B9" s="14"/>
      <c r="C9" s="11" t="s">
        <v>343</v>
      </c>
      <c r="D9" s="96" t="s">
        <v>343</v>
      </c>
      <c r="E9" s="11" t="s">
        <v>344</v>
      </c>
      <c r="F9" s="61" t="s">
        <v>344</v>
      </c>
      <c r="G9" s="11" t="s">
        <v>8</v>
      </c>
    </row>
    <row r="10" spans="1:7" x14ac:dyDescent="0.3">
      <c r="A10" s="17" t="s">
        <v>10</v>
      </c>
      <c r="B10" s="17" t="s">
        <v>114</v>
      </c>
      <c r="C10" s="17" t="s">
        <v>345</v>
      </c>
      <c r="D10" s="147" t="s">
        <v>345</v>
      </c>
      <c r="E10" s="17" t="s">
        <v>345</v>
      </c>
      <c r="F10" s="95" t="s">
        <v>346</v>
      </c>
      <c r="G10" s="17" t="s">
        <v>10</v>
      </c>
    </row>
    <row r="11" spans="1:7" x14ac:dyDescent="0.3">
      <c r="A11" s="11"/>
      <c r="B11" s="14"/>
      <c r="C11" s="14"/>
      <c r="D11" s="14"/>
      <c r="E11" s="14"/>
      <c r="F11" s="14"/>
      <c r="G11" s="11"/>
    </row>
    <row r="12" spans="1:7" x14ac:dyDescent="0.3">
      <c r="A12" s="11">
        <v>1</v>
      </c>
      <c r="B12" s="14" t="s">
        <v>347</v>
      </c>
      <c r="C12" s="109">
        <f>C16-C14</f>
        <v>28.034119031243861</v>
      </c>
      <c r="D12" s="108">
        <f>C12</f>
        <v>28.034119031243861</v>
      </c>
      <c r="E12" s="108">
        <f>D12-C12</f>
        <v>0</v>
      </c>
      <c r="F12" s="81">
        <f>E12/C12</f>
        <v>0</v>
      </c>
      <c r="G12" s="11">
        <v>1</v>
      </c>
    </row>
    <row r="13" spans="1:7" x14ac:dyDescent="0.3">
      <c r="A13" s="11">
        <f>+A12+1</f>
        <v>2</v>
      </c>
      <c r="B13" s="14"/>
      <c r="C13" s="108"/>
      <c r="D13" s="108"/>
      <c r="E13" s="108"/>
      <c r="F13" s="14"/>
      <c r="G13" s="11">
        <f>+G12+1</f>
        <v>2</v>
      </c>
    </row>
    <row r="14" spans="1:7" x14ac:dyDescent="0.3">
      <c r="A14" s="11">
        <f>+A13+1</f>
        <v>3</v>
      </c>
      <c r="B14" s="14" t="s">
        <v>348</v>
      </c>
      <c r="C14" s="113">
        <f>'Workpaper 2'!C22</f>
        <v>7.0828809687561431</v>
      </c>
      <c r="D14" s="113">
        <f>'Workpaper 2'!C24</f>
        <v>7.9089450093552491</v>
      </c>
      <c r="E14" s="113">
        <f>D14-C14</f>
        <v>0.82606404059910599</v>
      </c>
      <c r="F14" s="114">
        <f>E14/C14</f>
        <v>0.11662825398916379</v>
      </c>
      <c r="G14" s="11">
        <f>+G13+1</f>
        <v>3</v>
      </c>
    </row>
    <row r="15" spans="1:7" x14ac:dyDescent="0.3">
      <c r="A15" s="11">
        <f>+A14+1</f>
        <v>4</v>
      </c>
      <c r="B15" s="14"/>
      <c r="C15" s="108"/>
      <c r="D15" s="108"/>
      <c r="E15" s="108"/>
      <c r="F15" s="14"/>
      <c r="G15" s="11">
        <f>+G14+1</f>
        <v>4</v>
      </c>
    </row>
    <row r="16" spans="1:7" ht="23.25" thickBot="1" x14ac:dyDescent="0.35">
      <c r="A16" s="11">
        <f>+A15+1</f>
        <v>5</v>
      </c>
      <c r="B16" s="14" t="s">
        <v>349</v>
      </c>
      <c r="C16" s="394">
        <f>'[4]Attachment A'!$I$27</f>
        <v>35.117000000000004</v>
      </c>
      <c r="D16" s="115">
        <f>D12+D14</f>
        <v>35.943064040599111</v>
      </c>
      <c r="E16" s="115">
        <f>D16-C16</f>
        <v>0.82606404059910687</v>
      </c>
      <c r="F16" s="116">
        <f>E16/C16</f>
        <v>2.3523195050804645E-2</v>
      </c>
      <c r="G16" s="11">
        <f>+G15+1</f>
        <v>5</v>
      </c>
    </row>
    <row r="17" spans="1:7" ht="19.5" thickTop="1" x14ac:dyDescent="0.3">
      <c r="A17" s="17"/>
      <c r="B17" s="24"/>
      <c r="C17" s="157"/>
      <c r="D17" s="24"/>
      <c r="E17" s="24"/>
      <c r="F17" s="24"/>
      <c r="G17" s="17"/>
    </row>
    <row r="18" spans="1:7" x14ac:dyDescent="0.3">
      <c r="B18" s="1" t="s">
        <v>46</v>
      </c>
      <c r="C18" s="117"/>
    </row>
    <row r="19" spans="1:7" ht="22.5" x14ac:dyDescent="0.3">
      <c r="A19" s="167">
        <v>1</v>
      </c>
      <c r="B19" s="1" t="s">
        <v>472</v>
      </c>
    </row>
    <row r="20" spans="1:7" x14ac:dyDescent="0.3">
      <c r="B20" s="1" t="s">
        <v>473</v>
      </c>
    </row>
    <row r="21" spans="1:7" x14ac:dyDescent="0.3">
      <c r="B21" s="1" t="s">
        <v>350</v>
      </c>
    </row>
  </sheetData>
  <mergeCells count="5">
    <mergeCell ref="A5:G5"/>
    <mergeCell ref="A1:G1"/>
    <mergeCell ref="A2:G2"/>
    <mergeCell ref="A3:G3"/>
    <mergeCell ref="A4:G4"/>
  </mergeCells>
  <phoneticPr fontId="3" type="noConversion"/>
  <printOptions horizontalCentered="1"/>
  <pageMargins left="0.25" right="0.25" top="0.5" bottom="0.5" header="0.25" footer="0.25"/>
  <pageSetup scale="96" orientation="landscape" r:id="rId1"/>
  <headerFooter scaleWithDoc="0">
    <oddFooter xml:space="preserve">&amp;L&amp;"Times New Roman,Regular"&amp;9Statement BG-Total Rate Impact&amp;C&amp;"Times New Roman,Regular"&amp;9Page BG-&amp;P&amp;12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pageSetUpPr fitToPage="1"/>
  </sheetPr>
  <dimension ref="A1:O138"/>
  <sheetViews>
    <sheetView zoomScale="75" zoomScaleNormal="75" zoomScaleSheetLayoutView="70" zoomScalePageLayoutView="70" workbookViewId="0">
      <selection activeCell="K30" sqref="K30"/>
    </sheetView>
  </sheetViews>
  <sheetFormatPr defaultColWidth="9.140625" defaultRowHeight="18.75" x14ac:dyDescent="0.3"/>
  <cols>
    <col min="1" max="1" width="5.5703125" style="1" bestFit="1" customWidth="1"/>
    <col min="2" max="2" width="86.5703125" style="1" customWidth="1"/>
    <col min="3" max="3" width="20.5703125" style="1" bestFit="1" customWidth="1"/>
    <col min="4" max="4" width="17.140625" style="1" bestFit="1" customWidth="1"/>
    <col min="5" max="5" width="22.5703125" style="1" bestFit="1" customWidth="1"/>
    <col min="6" max="6" width="17.140625" style="1" bestFit="1" customWidth="1"/>
    <col min="7" max="7" width="20.5703125" style="1" bestFit="1" customWidth="1"/>
    <col min="8" max="8" width="17.140625" style="1" bestFit="1" customWidth="1"/>
    <col min="9" max="9" width="20.140625" style="1" bestFit="1" customWidth="1"/>
    <col min="10" max="10" width="17.140625" style="1" bestFit="1" customWidth="1"/>
    <col min="11" max="11" width="20.5703125" style="1" bestFit="1" customWidth="1"/>
    <col min="12" max="12" width="17.140625" style="1" bestFit="1" customWidth="1"/>
    <col min="13" max="13" width="20.140625" style="1" bestFit="1" customWidth="1"/>
    <col min="14" max="14" width="17.140625" style="1" bestFit="1" customWidth="1"/>
    <col min="15" max="15" width="5.5703125" style="1" bestFit="1" customWidth="1"/>
    <col min="16" max="16384" width="9.140625" style="1"/>
  </cols>
  <sheetData>
    <row r="1" spans="1:15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5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5" x14ac:dyDescent="0.3">
      <c r="A3" s="425" t="str">
        <f>'Comparison of Revenues'!A3:H3</f>
        <v>Transmission Revenues Data to Reflect Changed Rates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x14ac:dyDescent="0.3">
      <c r="A4" s="425" t="s">
        <v>364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</row>
    <row r="6" spans="1:15" x14ac:dyDescent="0.3">
      <c r="A6" s="7"/>
    </row>
    <row r="7" spans="1:15" x14ac:dyDescent="0.3">
      <c r="A7" s="8"/>
      <c r="B7" s="8"/>
      <c r="C7" s="9" t="s">
        <v>4</v>
      </c>
      <c r="D7" s="10"/>
      <c r="E7" s="9" t="s">
        <v>5</v>
      </c>
      <c r="F7" s="10"/>
      <c r="G7" s="9" t="s">
        <v>48</v>
      </c>
      <c r="H7" s="10"/>
      <c r="I7" s="9" t="s">
        <v>49</v>
      </c>
      <c r="J7" s="10"/>
      <c r="K7" s="9" t="s">
        <v>50</v>
      </c>
      <c r="L7" s="10"/>
      <c r="M7" s="9" t="s">
        <v>51</v>
      </c>
      <c r="N7" s="10"/>
      <c r="O7" s="8"/>
    </row>
    <row r="8" spans="1:15" x14ac:dyDescent="0.3">
      <c r="A8" s="11"/>
      <c r="B8" s="11"/>
      <c r="C8" s="427">
        <v>46023</v>
      </c>
      <c r="D8" s="428"/>
      <c r="E8" s="427">
        <v>46054</v>
      </c>
      <c r="F8" s="428"/>
      <c r="G8" s="427">
        <v>46082</v>
      </c>
      <c r="H8" s="428"/>
      <c r="I8" s="427">
        <v>46113</v>
      </c>
      <c r="J8" s="428"/>
      <c r="K8" s="427">
        <v>46143</v>
      </c>
      <c r="L8" s="428"/>
      <c r="M8" s="427">
        <v>46174</v>
      </c>
      <c r="N8" s="428"/>
      <c r="O8" s="11"/>
    </row>
    <row r="9" spans="1:15" ht="22.5" x14ac:dyDescent="0.3">
      <c r="A9" s="11" t="s">
        <v>8</v>
      </c>
      <c r="B9" s="14"/>
      <c r="C9" s="15" t="s">
        <v>365</v>
      </c>
      <c r="D9" s="16"/>
      <c r="E9" s="15" t="s">
        <v>365</v>
      </c>
      <c r="F9" s="16"/>
      <c r="G9" s="15" t="s">
        <v>365</v>
      </c>
      <c r="H9" s="16"/>
      <c r="I9" s="15" t="s">
        <v>365</v>
      </c>
      <c r="J9" s="16"/>
      <c r="K9" s="15" t="s">
        <v>365</v>
      </c>
      <c r="L9" s="16"/>
      <c r="M9" s="15" t="s">
        <v>365</v>
      </c>
      <c r="N9" s="16"/>
      <c r="O9" s="11" t="s">
        <v>8</v>
      </c>
    </row>
    <row r="10" spans="1:15" x14ac:dyDescent="0.3">
      <c r="A10" s="17" t="s">
        <v>10</v>
      </c>
      <c r="B10" s="17" t="s">
        <v>11</v>
      </c>
      <c r="C10" s="17" t="s">
        <v>69</v>
      </c>
      <c r="D10" s="17" t="s">
        <v>70</v>
      </c>
      <c r="E10" s="17" t="s">
        <v>69</v>
      </c>
      <c r="F10" s="17" t="s">
        <v>70</v>
      </c>
      <c r="G10" s="17" t="s">
        <v>69</v>
      </c>
      <c r="H10" s="17" t="s">
        <v>70</v>
      </c>
      <c r="I10" s="17" t="s">
        <v>69</v>
      </c>
      <c r="J10" s="17" t="s">
        <v>70</v>
      </c>
      <c r="K10" s="17" t="s">
        <v>69</v>
      </c>
      <c r="L10" s="17" t="s">
        <v>70</v>
      </c>
      <c r="M10" s="17" t="s">
        <v>69</v>
      </c>
      <c r="N10" s="17" t="s">
        <v>70</v>
      </c>
      <c r="O10" s="17" t="s">
        <v>10</v>
      </c>
    </row>
    <row r="11" spans="1:1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22.5" x14ac:dyDescent="0.3">
      <c r="A12" s="11">
        <v>1</v>
      </c>
      <c r="B12" s="14" t="s">
        <v>366</v>
      </c>
      <c r="C12" s="18">
        <f>'Workpaper 1'!C8*1000-'Workpaper 1'!C212*1000</f>
        <v>530371780.21673936</v>
      </c>
      <c r="D12" s="18"/>
      <c r="E12" s="18">
        <f>'Workpaper 1'!D8*1000-'Workpaper 1'!D212*1000</f>
        <v>444010801.21434939</v>
      </c>
      <c r="F12" s="18"/>
      <c r="G12" s="18">
        <f>'Workpaper 1'!E8*1000-'Workpaper 1'!E212*1000</f>
        <v>387988589.33156246</v>
      </c>
      <c r="H12" s="18"/>
      <c r="I12" s="18">
        <f>'Workpaper 1'!F8*1000-'Workpaper 1'!F212*1000</f>
        <v>316248347.79226029</v>
      </c>
      <c r="J12" s="18"/>
      <c r="K12" s="18">
        <f>'Workpaper 1'!G8*1000-'Workpaper 1'!G212*1000</f>
        <v>290350126.1599583</v>
      </c>
      <c r="L12" s="18"/>
      <c r="M12" s="18">
        <f>'Workpaper 1'!H8*1000-'Workpaper 1'!H212*1000</f>
        <v>309972841.32164389</v>
      </c>
      <c r="N12" s="18"/>
      <c r="O12" s="11">
        <v>1</v>
      </c>
    </row>
    <row r="13" spans="1:15" x14ac:dyDescent="0.3">
      <c r="A13" s="11">
        <f>A12+1</f>
        <v>2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1">
        <f>O12+1</f>
        <v>2</v>
      </c>
    </row>
    <row r="14" spans="1:15" x14ac:dyDescent="0.3">
      <c r="A14" s="11">
        <f t="shared" ref="A14:A38" si="0">A13+1</f>
        <v>3</v>
      </c>
      <c r="B14" s="14" t="str">
        <f>'A-Revenues@Changed Rates'!B13</f>
        <v xml:space="preserve">Small Commercial </v>
      </c>
      <c r="C14" s="18">
        <f>'Workpaper 1'!C9*1000</f>
        <v>201410884.6648258</v>
      </c>
      <c r="D14" s="18"/>
      <c r="E14" s="18">
        <f>'Workpaper 1'!D9*1000</f>
        <v>193878034.3113372</v>
      </c>
      <c r="F14" s="18"/>
      <c r="G14" s="18">
        <f>'Workpaper 1'!E9*1000</f>
        <v>189903298.63903418</v>
      </c>
      <c r="H14" s="18"/>
      <c r="I14" s="18">
        <f>'Workpaper 1'!F9*1000</f>
        <v>188108260.87251216</v>
      </c>
      <c r="J14" s="18"/>
      <c r="K14" s="18">
        <f>'Workpaper 1'!G9*1000</f>
        <v>187866125.35447705</v>
      </c>
      <c r="L14" s="18"/>
      <c r="M14" s="18">
        <f>'Workpaper 1'!H9*1000</f>
        <v>194140303.01661658</v>
      </c>
      <c r="N14" s="18"/>
      <c r="O14" s="11">
        <f t="shared" ref="O14:O38" si="1">O13+1</f>
        <v>3</v>
      </c>
    </row>
    <row r="15" spans="1:15" x14ac:dyDescent="0.3">
      <c r="A15" s="11">
        <f t="shared" si="0"/>
        <v>4</v>
      </c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1">
        <f t="shared" si="1"/>
        <v>4</v>
      </c>
    </row>
    <row r="16" spans="1:15" x14ac:dyDescent="0.3">
      <c r="A16" s="11">
        <f t="shared" si="0"/>
        <v>5</v>
      </c>
      <c r="B16" s="14" t="str">
        <f>'A-Revenues@Changed Rates'!B15</f>
        <v xml:space="preserve">Medium and Large Commercial/Industrial </v>
      </c>
      <c r="C16" s="18">
        <f>'Workpaper 1'!C147*1000</f>
        <v>718797731.45195258</v>
      </c>
      <c r="D16" s="18"/>
      <c r="E16" s="18">
        <f>'Workpaper 1'!D147*1000</f>
        <v>680989309.74619114</v>
      </c>
      <c r="F16" s="18"/>
      <c r="G16" s="18">
        <f>'Workpaper 1'!E147*1000</f>
        <v>682843723.33270192</v>
      </c>
      <c r="H16" s="18"/>
      <c r="I16" s="18">
        <f>'Workpaper 1'!F147*1000</f>
        <v>686833634.35529459</v>
      </c>
      <c r="J16" s="18"/>
      <c r="K16" s="18">
        <f>'Workpaper 1'!G147*1000</f>
        <v>693440612.41296256</v>
      </c>
      <c r="L16" s="18"/>
      <c r="M16" s="18">
        <f>'Workpaper 1'!H147*1000</f>
        <v>723617546.56166637</v>
      </c>
      <c r="N16" s="18"/>
      <c r="O16" s="11">
        <f t="shared" si="1"/>
        <v>5</v>
      </c>
    </row>
    <row r="17" spans="1:15" x14ac:dyDescent="0.3">
      <c r="A17" s="11">
        <f t="shared" si="0"/>
        <v>6</v>
      </c>
      <c r="B17" s="14" t="s">
        <v>367</v>
      </c>
      <c r="C17" s="18"/>
      <c r="D17" s="47">
        <f>'Workpaper 1'!C48*1000</f>
        <v>0</v>
      </c>
      <c r="E17" s="18"/>
      <c r="F17" s="18">
        <f>'Workpaper 1'!D48*1000</f>
        <v>0</v>
      </c>
      <c r="G17" s="18"/>
      <c r="H17" s="18">
        <f>'Workpaper 1'!E48*1000</f>
        <v>0</v>
      </c>
      <c r="I17" s="18"/>
      <c r="J17" s="18">
        <f>'Workpaper 1'!F48*1000</f>
        <v>0</v>
      </c>
      <c r="K17" s="18"/>
      <c r="L17" s="18">
        <f>'Workpaper 1'!G48*1000</f>
        <v>0</v>
      </c>
      <c r="M17" s="18"/>
      <c r="N17" s="18">
        <f>'Workpaper 1'!H48*1000</f>
        <v>0</v>
      </c>
      <c r="O17" s="11">
        <f t="shared" si="1"/>
        <v>6</v>
      </c>
    </row>
    <row r="18" spans="1:15" ht="22.5" x14ac:dyDescent="0.3">
      <c r="A18" s="11">
        <f t="shared" si="0"/>
        <v>7</v>
      </c>
      <c r="B18" s="14" t="s">
        <v>368</v>
      </c>
      <c r="C18" s="18"/>
      <c r="D18" s="47">
        <f>'Workpaper 1'!C75*1000+'Workpaper 1'!C121*1000</f>
        <v>1721733.8179591398</v>
      </c>
      <c r="E18" s="18"/>
      <c r="F18" s="18">
        <f>'Workpaper 1'!D75*1000+'Workpaper 1'!D121*1000</f>
        <v>1634939.2610468876</v>
      </c>
      <c r="G18" s="18"/>
      <c r="H18" s="18">
        <f>'Workpaper 1'!E75*1000+'Workpaper 1'!E121*1000</f>
        <v>1634749.6326954789</v>
      </c>
      <c r="I18" s="18"/>
      <c r="J18" s="18">
        <f>'Workpaper 1'!F75*1000+'Workpaper 1'!F121*1000</f>
        <v>1643129.4192703895</v>
      </c>
      <c r="K18" s="18"/>
      <c r="L18" s="18">
        <f>'Workpaper 1'!G75*1000+'Workpaper 1'!G121*1000</f>
        <v>1661266.930896152</v>
      </c>
      <c r="M18" s="18"/>
      <c r="N18" s="18">
        <f>'Workpaper 1'!H75*1000+'Workpaper 1'!H121*1000</f>
        <v>1731620.4057714671</v>
      </c>
      <c r="O18" s="11">
        <f t="shared" si="1"/>
        <v>7</v>
      </c>
    </row>
    <row r="19" spans="1:15" ht="22.5" x14ac:dyDescent="0.3">
      <c r="A19" s="11">
        <f t="shared" si="0"/>
        <v>8</v>
      </c>
      <c r="B19" s="14" t="s">
        <v>369</v>
      </c>
      <c r="C19" s="18"/>
      <c r="D19" s="47">
        <f>'Workpaper 1'!C85*1000</f>
        <v>1470657.189877115</v>
      </c>
      <c r="E19" s="18"/>
      <c r="F19" s="18">
        <f>'Workpaper 1'!D85*1000</f>
        <v>1408622.0647134136</v>
      </c>
      <c r="G19" s="18"/>
      <c r="H19" s="18">
        <f>'Workpaper 1'!E85*1000</f>
        <v>1393583.5867550662</v>
      </c>
      <c r="I19" s="18"/>
      <c r="J19" s="18">
        <f>'Workpaper 1'!F85*1000</f>
        <v>1396960.0594136131</v>
      </c>
      <c r="K19" s="18"/>
      <c r="L19" s="18">
        <f>'Workpaper 1'!G85*1000</f>
        <v>1419878.3086426107</v>
      </c>
      <c r="M19" s="18"/>
      <c r="N19" s="18">
        <f>'Workpaper 1'!H85*1000</f>
        <v>1504852.9713927018</v>
      </c>
      <c r="O19" s="11">
        <f t="shared" si="1"/>
        <v>8</v>
      </c>
    </row>
    <row r="20" spans="1:15" ht="22.5" x14ac:dyDescent="0.3">
      <c r="A20" s="11">
        <f t="shared" si="0"/>
        <v>9</v>
      </c>
      <c r="B20" s="19" t="s">
        <v>370</v>
      </c>
      <c r="C20" s="18"/>
      <c r="D20" s="47">
        <f>'Workpaper 1'!C131*1000</f>
        <v>136381.49643896159</v>
      </c>
      <c r="E20" s="18"/>
      <c r="F20" s="18">
        <f>'Workpaper 1'!D131*1000</f>
        <v>119784.45513360342</v>
      </c>
      <c r="G20" s="18"/>
      <c r="H20" s="18">
        <f>'Workpaper 1'!E131*1000</f>
        <v>131719.80063948987</v>
      </c>
      <c r="I20" s="18"/>
      <c r="J20" s="18">
        <f>'Workpaper 1'!F131*1000</f>
        <v>135421.12104644522</v>
      </c>
      <c r="K20" s="18"/>
      <c r="L20" s="18">
        <f>'Workpaper 1'!G131*1000</f>
        <v>130892.73138003012</v>
      </c>
      <c r="M20" s="18"/>
      <c r="N20" s="18">
        <f>'Workpaper 1'!H131*1000</f>
        <v>126774.89078669998</v>
      </c>
      <c r="O20" s="11">
        <f t="shared" si="1"/>
        <v>9</v>
      </c>
    </row>
    <row r="21" spans="1:15" ht="22.5" x14ac:dyDescent="0.3">
      <c r="A21" s="11">
        <f t="shared" si="0"/>
        <v>10</v>
      </c>
      <c r="B21" s="14" t="s">
        <v>371</v>
      </c>
      <c r="C21" s="47"/>
      <c r="D21" s="47">
        <f>'Workpaper 1'!C95*1000</f>
        <v>1385761.2171104131</v>
      </c>
      <c r="E21" s="47"/>
      <c r="F21" s="47">
        <f>'Workpaper 1'!D95*1000</f>
        <v>1327307.1659949177</v>
      </c>
      <c r="G21" s="47"/>
      <c r="H21" s="47">
        <f>'Workpaper 1'!E95*1000</f>
        <v>1313136.8075575521</v>
      </c>
      <c r="I21" s="47"/>
      <c r="J21" s="47">
        <f>'Workpaper 1'!F95*1000</f>
        <v>1316318.3680823664</v>
      </c>
      <c r="K21" s="47"/>
      <c r="L21" s="47">
        <f>'Workpaper 1'!G95*1000</f>
        <v>1337913.6257428343</v>
      </c>
      <c r="M21" s="47"/>
      <c r="N21" s="47">
        <f>'Workpaper 1'!H95*1000</f>
        <v>1614522.3950429913</v>
      </c>
      <c r="O21" s="11">
        <f t="shared" si="1"/>
        <v>10</v>
      </c>
    </row>
    <row r="22" spans="1:15" ht="22.5" x14ac:dyDescent="0.3">
      <c r="A22" s="11">
        <f t="shared" si="0"/>
        <v>11</v>
      </c>
      <c r="B22" s="19" t="s">
        <v>372</v>
      </c>
      <c r="C22" s="47"/>
      <c r="D22" s="47">
        <f>'Workpaper 1'!C141*1000</f>
        <v>137803.88329132824</v>
      </c>
      <c r="E22" s="47"/>
      <c r="F22" s="47">
        <f>'Workpaper 1'!D141*1000</f>
        <v>121033.74362616804</v>
      </c>
      <c r="G22" s="47"/>
      <c r="H22" s="47">
        <f>'Workpaper 1'!E141*1000</f>
        <v>133093.56847103598</v>
      </c>
      <c r="I22" s="47"/>
      <c r="J22" s="47">
        <f>'Workpaper 1'!F141*1000</f>
        <v>136833.49169157466</v>
      </c>
      <c r="K22" s="47"/>
      <c r="L22" s="47">
        <f>'Workpaper 1'!G141*1000</f>
        <v>132257.87331677842</v>
      </c>
      <c r="M22" s="47"/>
      <c r="N22" s="47">
        <f>'Workpaper 1'!H141*1000</f>
        <v>133437.09296051133</v>
      </c>
      <c r="O22" s="11">
        <f t="shared" si="1"/>
        <v>11</v>
      </c>
    </row>
    <row r="23" spans="1:15" x14ac:dyDescent="0.3">
      <c r="A23" s="11">
        <f t="shared" si="0"/>
        <v>12</v>
      </c>
      <c r="B23" s="14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1">
        <f t="shared" si="1"/>
        <v>12</v>
      </c>
    </row>
    <row r="24" spans="1:15" x14ac:dyDescent="0.3">
      <c r="A24" s="11">
        <f t="shared" si="0"/>
        <v>13</v>
      </c>
      <c r="B24" s="127" t="s">
        <v>26</v>
      </c>
      <c r="C24" s="18">
        <f>'Workpaper 1'!C162*1000</f>
        <v>216720</v>
      </c>
      <c r="D24" s="18"/>
      <c r="E24" s="18">
        <f>'Workpaper 1'!D162*1000</f>
        <v>453590</v>
      </c>
      <c r="F24" s="18"/>
      <c r="G24" s="18">
        <f>'Workpaper 1'!E162*1000</f>
        <v>352390</v>
      </c>
      <c r="H24" s="18"/>
      <c r="I24" s="18">
        <f>'Workpaper 1'!F162*1000</f>
        <v>1098010</v>
      </c>
      <c r="J24" s="18"/>
      <c r="K24" s="18">
        <f>'Workpaper 1'!G162*1000</f>
        <v>195560</v>
      </c>
      <c r="L24" s="18"/>
      <c r="M24" s="18">
        <f>'Workpaper 1'!H162*1000</f>
        <v>0</v>
      </c>
      <c r="N24" s="18"/>
      <c r="O24" s="11">
        <f t="shared" si="1"/>
        <v>13</v>
      </c>
    </row>
    <row r="25" spans="1:15" ht="22.5" x14ac:dyDescent="0.3">
      <c r="A25" s="11">
        <f t="shared" si="0"/>
        <v>14</v>
      </c>
      <c r="B25" s="14" t="s">
        <v>368</v>
      </c>
      <c r="C25" s="18"/>
      <c r="D25" s="18">
        <f>'Workpaper 1'!C164*1000</f>
        <v>11900</v>
      </c>
      <c r="E25" s="18"/>
      <c r="F25" s="18">
        <f>'Workpaper 1'!D164*1000</f>
        <v>16000</v>
      </c>
      <c r="G25" s="18"/>
      <c r="H25" s="18">
        <f>'Workpaper 1'!E164*1000</f>
        <v>15700</v>
      </c>
      <c r="I25" s="18"/>
      <c r="J25" s="18">
        <f>'Workpaper 1'!F164*1000</f>
        <v>15800</v>
      </c>
      <c r="K25" s="18"/>
      <c r="L25" s="18">
        <f>'Workpaper 1'!G164*1000</f>
        <v>8700</v>
      </c>
      <c r="M25" s="18"/>
      <c r="N25" s="18">
        <f>'Workpaper 1'!H164*1000</f>
        <v>8800</v>
      </c>
      <c r="O25" s="11">
        <f t="shared" si="1"/>
        <v>14</v>
      </c>
    </row>
    <row r="26" spans="1:15" ht="22.5" x14ac:dyDescent="0.3">
      <c r="A26" s="11">
        <f t="shared" si="0"/>
        <v>15</v>
      </c>
      <c r="B26" s="19" t="s">
        <v>373</v>
      </c>
      <c r="C26" s="18"/>
      <c r="D26" s="18">
        <f>'Workpaper 1'!C166*1000</f>
        <v>0</v>
      </c>
      <c r="E26" s="18"/>
      <c r="F26" s="18">
        <f>'Workpaper 1'!D166*1000</f>
        <v>0</v>
      </c>
      <c r="G26" s="18"/>
      <c r="H26" s="18">
        <f>'Workpaper 1'!E166*1000</f>
        <v>0</v>
      </c>
      <c r="I26" s="18"/>
      <c r="J26" s="18">
        <f>'Workpaper 1'!F166*1000</f>
        <v>0</v>
      </c>
      <c r="K26" s="18"/>
      <c r="L26" s="18">
        <f>'Workpaper 1'!G166*1000</f>
        <v>0</v>
      </c>
      <c r="M26" s="18"/>
      <c r="N26" s="18">
        <f>'Workpaper 1'!H166*1000</f>
        <v>0</v>
      </c>
      <c r="O26" s="11">
        <f t="shared" si="1"/>
        <v>15</v>
      </c>
    </row>
    <row r="27" spans="1:15" x14ac:dyDescent="0.3">
      <c r="A27" s="11">
        <f t="shared" si="0"/>
        <v>16</v>
      </c>
      <c r="B27" s="1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1">
        <f t="shared" si="1"/>
        <v>16</v>
      </c>
    </row>
    <row r="28" spans="1:15" x14ac:dyDescent="0.3">
      <c r="A28" s="11">
        <f t="shared" si="0"/>
        <v>17</v>
      </c>
      <c r="B28" s="14" t="s">
        <v>78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1">
        <f t="shared" si="1"/>
        <v>17</v>
      </c>
    </row>
    <row r="29" spans="1:15" x14ac:dyDescent="0.3">
      <c r="A29" s="11">
        <f t="shared" si="0"/>
        <v>18</v>
      </c>
      <c r="B29" s="14" t="s">
        <v>79</v>
      </c>
      <c r="C29" s="18">
        <f>'Workpaper 1'!C14*1000</f>
        <v>8770898.1289841495</v>
      </c>
      <c r="E29" s="18">
        <f>'Workpaper 1'!D14*1000</f>
        <v>8598197.7953569908</v>
      </c>
      <c r="G29" s="18">
        <f>'Workpaper 1'!E14*1000</f>
        <v>8121460.1021894859</v>
      </c>
      <c r="I29" s="18">
        <f>'Workpaper 1'!F14*1000</f>
        <v>8972645.7992273159</v>
      </c>
      <c r="K29" s="18">
        <f>'Workpaper 1'!G14*1000</f>
        <v>13494394.209383002</v>
      </c>
      <c r="M29" s="18">
        <f>'Workpaper 1'!H14*1000</f>
        <v>15277102.085518412</v>
      </c>
      <c r="O29" s="11">
        <f t="shared" si="1"/>
        <v>18</v>
      </c>
    </row>
    <row r="30" spans="1:15" ht="22.5" x14ac:dyDescent="0.3">
      <c r="A30" s="11">
        <f t="shared" si="0"/>
        <v>19</v>
      </c>
      <c r="B30" s="14" t="s">
        <v>374</v>
      </c>
      <c r="C30" s="18">
        <f>'Workpaper 1'!C15*1000</f>
        <v>16096194.488099385</v>
      </c>
      <c r="D30" s="18">
        <f>'Workpaper 1'!C192*1000</f>
        <v>54365.808997032727</v>
      </c>
      <c r="E30" s="18">
        <f>'Workpaper 1'!D15*1000</f>
        <v>16324789.675258994</v>
      </c>
      <c r="F30" s="18">
        <f>'Workpaper 1'!D192*1000</f>
        <v>55137.902195331786</v>
      </c>
      <c r="G30" s="18">
        <f>'Workpaper 1'!E15*1000</f>
        <v>15210058.425003275</v>
      </c>
      <c r="H30" s="18">
        <f>'Workpaper 1'!E192*1000</f>
        <v>51372.834229780514</v>
      </c>
      <c r="I30" s="18">
        <f>'Workpaper 1'!F15*1000</f>
        <v>15790788.262185775</v>
      </c>
      <c r="J30" s="18">
        <f>'Workpaper 1'!F192*1000</f>
        <v>53334.282162736599</v>
      </c>
      <c r="K30" s="18">
        <f>'Workpaper 1'!G15*1000</f>
        <v>18980076.654593214</v>
      </c>
      <c r="L30" s="18">
        <f>'Workpaper 1'!G192*1000</f>
        <v>64106.284433600675</v>
      </c>
      <c r="M30" s="18">
        <f>'Workpaper 1'!H15*1000</f>
        <v>19791045.53676001</v>
      </c>
      <c r="N30" s="18">
        <f>'Workpaper 1'!H192*1000</f>
        <v>67541.628115989137</v>
      </c>
      <c r="O30" s="11">
        <f t="shared" si="1"/>
        <v>19</v>
      </c>
    </row>
    <row r="31" spans="1:15" x14ac:dyDescent="0.3">
      <c r="A31" s="11">
        <f t="shared" si="0"/>
        <v>20</v>
      </c>
      <c r="B31" s="1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1">
        <f t="shared" si="1"/>
        <v>20</v>
      </c>
    </row>
    <row r="32" spans="1:15" x14ac:dyDescent="0.3">
      <c r="A32" s="11">
        <f t="shared" si="0"/>
        <v>21</v>
      </c>
      <c r="B32" s="14" t="str">
        <f>'A-Revenues@Changed Rates'!B29</f>
        <v>Street Lighting</v>
      </c>
      <c r="C32" s="18">
        <f>'Workpaper 1'!C16*1000</f>
        <v>7050041.3726688055</v>
      </c>
      <c r="D32" s="18"/>
      <c r="E32" s="18">
        <f>'Workpaper 1'!D16*1000</f>
        <v>6963639.3231486995</v>
      </c>
      <c r="F32" s="18"/>
      <c r="G32" s="18">
        <f>'Workpaper 1'!E16*1000</f>
        <v>6821384.377889757</v>
      </c>
      <c r="H32" s="18"/>
      <c r="I32" s="18">
        <f>'Workpaper 1'!F16*1000</f>
        <v>6696433.9907789938</v>
      </c>
      <c r="J32" s="18"/>
      <c r="K32" s="18">
        <f>'Workpaper 1'!G16*1000</f>
        <v>6687434.930758276</v>
      </c>
      <c r="L32" s="18"/>
      <c r="M32" s="18">
        <f>'Workpaper 1'!H16*1000</f>
        <v>6721237.4505943088</v>
      </c>
      <c r="N32" s="18"/>
      <c r="O32" s="11">
        <f t="shared" si="1"/>
        <v>21</v>
      </c>
    </row>
    <row r="33" spans="1:15" x14ac:dyDescent="0.3">
      <c r="A33" s="11">
        <f t="shared" si="0"/>
        <v>22</v>
      </c>
      <c r="B33" s="14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1">
        <f t="shared" si="1"/>
        <v>22</v>
      </c>
    </row>
    <row r="34" spans="1:15" x14ac:dyDescent="0.3">
      <c r="A34" s="11">
        <f t="shared" si="0"/>
        <v>23</v>
      </c>
      <c r="B34" s="14" t="s">
        <v>375</v>
      </c>
      <c r="C34" s="18">
        <f>'Workpaper 1'!C17*1000</f>
        <v>7568.5555555555557</v>
      </c>
      <c r="D34" s="18"/>
      <c r="E34" s="18">
        <f>'Workpaper 1'!D17*1000</f>
        <v>7568.5555555555557</v>
      </c>
      <c r="F34" s="18"/>
      <c r="G34" s="18">
        <f>'Workpaper 1'!E17*1000</f>
        <v>7568.5555555555557</v>
      </c>
      <c r="H34" s="18"/>
      <c r="I34" s="18">
        <f>'Workpaper 1'!F17*1000</f>
        <v>7568.5555555555557</v>
      </c>
      <c r="J34" s="18"/>
      <c r="K34" s="18">
        <f>'Workpaper 1'!G17*1000</f>
        <v>7568.5555555555557</v>
      </c>
      <c r="L34" s="18"/>
      <c r="M34" s="18">
        <f>'Workpaper 1'!H17*1000</f>
        <v>7568.5555555555557</v>
      </c>
      <c r="N34" s="18"/>
      <c r="O34" s="11">
        <f t="shared" si="1"/>
        <v>23</v>
      </c>
    </row>
    <row r="35" spans="1:15" x14ac:dyDescent="0.3">
      <c r="A35" s="11">
        <f t="shared" si="0"/>
        <v>24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1">
        <f t="shared" si="1"/>
        <v>24</v>
      </c>
    </row>
    <row r="36" spans="1:15" x14ac:dyDescent="0.3">
      <c r="A36" s="11">
        <f t="shared" si="0"/>
        <v>25</v>
      </c>
      <c r="B36" s="14" t="str">
        <f>'A-Revenues@Changed Rates'!B31</f>
        <v>Standby</v>
      </c>
      <c r="C36" s="22"/>
      <c r="D36" s="22">
        <f>'Workpaper 1'!C202*1000</f>
        <v>145506</v>
      </c>
      <c r="E36" s="22"/>
      <c r="F36" s="22">
        <f>'Workpaper 1'!D202*1000</f>
        <v>145506</v>
      </c>
      <c r="G36" s="22"/>
      <c r="H36" s="22">
        <f>'Workpaper 1'!E202*1000</f>
        <v>145506</v>
      </c>
      <c r="I36" s="22"/>
      <c r="J36" s="22">
        <f>'Workpaper 1'!F202*1000</f>
        <v>145506</v>
      </c>
      <c r="K36" s="22"/>
      <c r="L36" s="22">
        <f>'Workpaper 1'!G202*1000</f>
        <v>145506</v>
      </c>
      <c r="M36" s="22"/>
      <c r="N36" s="22">
        <f>'Workpaper 1'!H202*1000</f>
        <v>145506</v>
      </c>
      <c r="O36" s="11">
        <f t="shared" si="1"/>
        <v>25</v>
      </c>
    </row>
    <row r="37" spans="1:15" x14ac:dyDescent="0.3">
      <c r="A37" s="11">
        <f t="shared" si="0"/>
        <v>26</v>
      </c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1">
        <f t="shared" si="1"/>
        <v>26</v>
      </c>
    </row>
    <row r="38" spans="1:15" ht="19.5" thickBot="1" x14ac:dyDescent="0.35">
      <c r="A38" s="11">
        <f t="shared" si="0"/>
        <v>27</v>
      </c>
      <c r="B38" s="19" t="s">
        <v>60</v>
      </c>
      <c r="C38" s="23">
        <f>SUM(C12:C36)</f>
        <v>1482721818.8788254</v>
      </c>
      <c r="D38" s="23"/>
      <c r="E38" s="23">
        <f>SUM(E12:E36)</f>
        <v>1351225930.6211979</v>
      </c>
      <c r="F38" s="23"/>
      <c r="G38" s="23">
        <f>SUM(G12:G36)</f>
        <v>1291248472.7639368</v>
      </c>
      <c r="H38" s="23"/>
      <c r="I38" s="23">
        <f>SUM(I12:I36)</f>
        <v>1223755689.6278145</v>
      </c>
      <c r="J38" s="23"/>
      <c r="K38" s="23">
        <f>SUM(K12:K36)</f>
        <v>1211021898.277688</v>
      </c>
      <c r="L38" s="23"/>
      <c r="M38" s="23">
        <f>SUM(M12:M36)</f>
        <v>1269527644.5283554</v>
      </c>
      <c r="N38" s="23"/>
      <c r="O38" s="11">
        <f t="shared" si="1"/>
        <v>27</v>
      </c>
    </row>
    <row r="39" spans="1:15" ht="19.5" thickTop="1" x14ac:dyDescent="0.3">
      <c r="A39" s="17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4"/>
    </row>
    <row r="40" spans="1:15" x14ac:dyDescent="0.3">
      <c r="B40" s="25" t="s">
        <v>46</v>
      </c>
      <c r="C40" s="216"/>
      <c r="E40" s="216"/>
      <c r="G40" s="216"/>
      <c r="I40" s="216"/>
      <c r="K40" s="216"/>
      <c r="M40" s="216"/>
    </row>
    <row r="41" spans="1:15" ht="22.5" x14ac:dyDescent="0.3">
      <c r="A41" s="77">
        <v>1</v>
      </c>
      <c r="B41" s="1" t="s">
        <v>275</v>
      </c>
    </row>
    <row r="42" spans="1:15" ht="22.5" x14ac:dyDescent="0.3">
      <c r="A42" s="77">
        <v>2</v>
      </c>
      <c r="B42" s="1" t="s">
        <v>376</v>
      </c>
    </row>
    <row r="43" spans="1:15" ht="22.5" x14ac:dyDescent="0.3">
      <c r="A43" s="77">
        <v>3</v>
      </c>
      <c r="B43" s="1" t="s">
        <v>377</v>
      </c>
    </row>
    <row r="44" spans="1:15" ht="22.5" x14ac:dyDescent="0.3">
      <c r="A44" s="77"/>
      <c r="B44" s="1" t="s">
        <v>378</v>
      </c>
    </row>
    <row r="45" spans="1:15" ht="22.5" x14ac:dyDescent="0.3">
      <c r="A45" s="77">
        <v>4</v>
      </c>
      <c r="B45" s="1" t="s">
        <v>457</v>
      </c>
    </row>
    <row r="46" spans="1:15" ht="22.5" x14ac:dyDescent="0.3">
      <c r="A46" s="77"/>
      <c r="B46" s="1" t="s">
        <v>458</v>
      </c>
    </row>
    <row r="47" spans="1:15" ht="22.5" x14ac:dyDescent="0.3">
      <c r="A47" s="77">
        <v>5</v>
      </c>
      <c r="B47" s="1" t="s">
        <v>451</v>
      </c>
      <c r="F47" s="391"/>
    </row>
    <row r="48" spans="1:15" ht="22.5" x14ac:dyDescent="0.3">
      <c r="A48" s="77">
        <v>6</v>
      </c>
      <c r="B48" s="1" t="s">
        <v>379</v>
      </c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</sheetData>
  <mergeCells count="11">
    <mergeCell ref="M8:N8"/>
    <mergeCell ref="C8:D8"/>
    <mergeCell ref="E8:F8"/>
    <mergeCell ref="G8:H8"/>
    <mergeCell ref="I8:J8"/>
    <mergeCell ref="K8:L8"/>
    <mergeCell ref="A1:O1"/>
    <mergeCell ref="A2:O2"/>
    <mergeCell ref="A3:O3"/>
    <mergeCell ref="A5:O5"/>
    <mergeCell ref="A4:O4"/>
  </mergeCells>
  <phoneticPr fontId="0" type="noConversion"/>
  <printOptions horizontalCentered="1"/>
  <pageMargins left="0.25" right="0.25" top="0.5" bottom="0.5" header="0.25" footer="0.25"/>
  <pageSetup scale="42" orientation="landscape" r:id="rId1"/>
  <headerFooter scaleWithDoc="0">
    <oddFooter xml:space="preserve">&amp;L&amp;"Times New Roman,Regular"&amp;9Statement BG-Billing Determinants&amp;C&amp;"Times New Roman,Regular"&amp;9Page BG-&amp;P&amp;12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pageSetUpPr fitToPage="1"/>
  </sheetPr>
  <dimension ref="A1:Q136"/>
  <sheetViews>
    <sheetView showWhiteSpace="0" zoomScale="75" zoomScaleNormal="75" zoomScaleSheetLayoutView="70" zoomScalePageLayoutView="40" workbookViewId="0">
      <selection activeCell="A6" sqref="A6"/>
    </sheetView>
  </sheetViews>
  <sheetFormatPr defaultColWidth="9.140625" defaultRowHeight="18.75" x14ac:dyDescent="0.3"/>
  <cols>
    <col min="1" max="1" width="5.5703125" style="1" bestFit="1" customWidth="1"/>
    <col min="2" max="2" width="86.5703125" style="1" customWidth="1"/>
    <col min="3" max="4" width="20.5703125" style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7.140625" style="1" bestFit="1" customWidth="1"/>
    <col min="9" max="9" width="19.140625" style="1" bestFit="1" customWidth="1"/>
    <col min="10" max="10" width="17.140625" style="1" bestFit="1" customWidth="1"/>
    <col min="11" max="11" width="19.140625" style="1" bestFit="1" customWidth="1"/>
    <col min="12" max="12" width="17.140625" style="1" bestFit="1" customWidth="1"/>
    <col min="13" max="13" width="19.140625" style="1" bestFit="1" customWidth="1"/>
    <col min="14" max="14" width="17.140625" style="1" bestFit="1" customWidth="1"/>
    <col min="15" max="15" width="5.5703125" style="1" bestFit="1" customWidth="1"/>
    <col min="16" max="16" width="9.140625" style="1"/>
    <col min="17" max="17" width="24.5703125" style="1" bestFit="1" customWidth="1"/>
    <col min="18" max="16384" width="9.140625" style="1"/>
  </cols>
  <sheetData>
    <row r="1" spans="1:15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5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</row>
    <row r="3" spans="1:15" x14ac:dyDescent="0.3">
      <c r="A3" s="425" t="str">
        <f>'Comparison of Revenues'!A3:H3</f>
        <v>Transmission Revenues Data to Reflect Changed Rates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</row>
    <row r="4" spans="1:15" ht="18.75" customHeight="1" x14ac:dyDescent="0.3">
      <c r="A4" s="425" t="str">
        <f>'A-Billing Determinants'!A4:O4</f>
        <v>Billing Determinants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</row>
    <row r="5" spans="1:15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</row>
    <row r="6" spans="1:15" x14ac:dyDescent="0.3">
      <c r="A6" s="7"/>
    </row>
    <row r="7" spans="1:15" x14ac:dyDescent="0.3">
      <c r="A7" s="8"/>
      <c r="B7" s="8"/>
      <c r="C7" s="9" t="s">
        <v>52</v>
      </c>
      <c r="D7" s="10"/>
      <c r="E7" s="9" t="s">
        <v>103</v>
      </c>
      <c r="F7" s="10"/>
      <c r="G7" s="9" t="s">
        <v>105</v>
      </c>
      <c r="H7" s="10"/>
      <c r="I7" s="9" t="s">
        <v>106</v>
      </c>
      <c r="J7" s="10"/>
      <c r="K7" s="9" t="s">
        <v>107</v>
      </c>
      <c r="L7" s="10"/>
      <c r="M7" s="9" t="s">
        <v>108</v>
      </c>
      <c r="N7" s="10"/>
      <c r="O7" s="8"/>
    </row>
    <row r="8" spans="1:15" x14ac:dyDescent="0.3">
      <c r="A8" s="11"/>
      <c r="B8" s="11"/>
      <c r="C8" s="427">
        <v>46204</v>
      </c>
      <c r="D8" s="428"/>
      <c r="E8" s="427">
        <v>46235</v>
      </c>
      <c r="F8" s="428"/>
      <c r="G8" s="427">
        <v>46266</v>
      </c>
      <c r="H8" s="428"/>
      <c r="I8" s="427">
        <v>46296</v>
      </c>
      <c r="J8" s="428"/>
      <c r="K8" s="427">
        <v>46327</v>
      </c>
      <c r="L8" s="428"/>
      <c r="M8" s="427">
        <v>46357</v>
      </c>
      <c r="N8" s="428"/>
      <c r="O8" s="11"/>
    </row>
    <row r="9" spans="1:15" ht="22.5" x14ac:dyDescent="0.3">
      <c r="A9" s="11" t="s">
        <v>8</v>
      </c>
      <c r="B9" s="14"/>
      <c r="C9" s="15" t="s">
        <v>365</v>
      </c>
      <c r="D9" s="16"/>
      <c r="E9" s="15" t="s">
        <v>365</v>
      </c>
      <c r="F9" s="16"/>
      <c r="G9" s="15" t="s">
        <v>365</v>
      </c>
      <c r="H9" s="16"/>
      <c r="I9" s="15" t="s">
        <v>365</v>
      </c>
      <c r="J9" s="16"/>
      <c r="K9" s="15" t="s">
        <v>365</v>
      </c>
      <c r="L9" s="16"/>
      <c r="M9" s="15" t="s">
        <v>365</v>
      </c>
      <c r="N9" s="16"/>
      <c r="O9" s="11" t="s">
        <v>8</v>
      </c>
    </row>
    <row r="10" spans="1:15" x14ac:dyDescent="0.3">
      <c r="A10" s="17" t="s">
        <v>10</v>
      </c>
      <c r="B10" s="17" t="s">
        <v>11</v>
      </c>
      <c r="C10" s="17" t="s">
        <v>69</v>
      </c>
      <c r="D10" s="17" t="s">
        <v>70</v>
      </c>
      <c r="E10" s="17" t="s">
        <v>69</v>
      </c>
      <c r="F10" s="17" t="s">
        <v>70</v>
      </c>
      <c r="G10" s="17" t="s">
        <v>69</v>
      </c>
      <c r="H10" s="17" t="s">
        <v>70</v>
      </c>
      <c r="I10" s="17" t="s">
        <v>69</v>
      </c>
      <c r="J10" s="17" t="s">
        <v>70</v>
      </c>
      <c r="K10" s="17" t="s">
        <v>69</v>
      </c>
      <c r="L10" s="17" t="s">
        <v>70</v>
      </c>
      <c r="M10" s="17" t="s">
        <v>69</v>
      </c>
      <c r="N10" s="17" t="s">
        <v>70</v>
      </c>
      <c r="O10" s="17" t="s">
        <v>10</v>
      </c>
    </row>
    <row r="11" spans="1:15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ht="22.5" x14ac:dyDescent="0.3">
      <c r="A12" s="11">
        <v>1</v>
      </c>
      <c r="B12" s="14" t="s">
        <v>366</v>
      </c>
      <c r="C12" s="18">
        <f>'Workpaper 1'!I8*1000-'Workpaper 1'!I212*1000</f>
        <v>410150317.97409266</v>
      </c>
      <c r="D12" s="18"/>
      <c r="E12" s="18">
        <f>'Workpaper 1'!J8*1000-'Workpaper 1'!J212*1000</f>
        <v>547959042.84375727</v>
      </c>
      <c r="F12" s="18"/>
      <c r="G12" s="18">
        <f>'Workpaper 1'!K8*1000-'Workpaper 1'!K212*1000</f>
        <v>615949423.59624326</v>
      </c>
      <c r="H12" s="18"/>
      <c r="I12" s="18">
        <f>'Workpaper 1'!L8*1000-'Workpaper 1'!L212*1000</f>
        <v>448222747.76523018</v>
      </c>
      <c r="J12" s="18"/>
      <c r="K12" s="18">
        <f>'Workpaper 1'!M8*1000-'Workpaper 1'!M212*1000</f>
        <v>385784288.64210707</v>
      </c>
      <c r="L12" s="18"/>
      <c r="M12" s="18">
        <f>'Workpaper 1'!N8*1000-'Workpaper 1'!N212*1000</f>
        <v>452476117.17941707</v>
      </c>
      <c r="N12" s="18"/>
      <c r="O12" s="11">
        <v>1</v>
      </c>
    </row>
    <row r="13" spans="1:15" x14ac:dyDescent="0.3">
      <c r="A13" s="11">
        <f>A12+1</f>
        <v>2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1">
        <f>O12+1</f>
        <v>2</v>
      </c>
    </row>
    <row r="14" spans="1:15" x14ac:dyDescent="0.3">
      <c r="A14" s="11">
        <f t="shared" ref="A14:A38" si="0">A13+1</f>
        <v>3</v>
      </c>
      <c r="B14" s="14" t="str">
        <f>'A-Revenues@Changed Rates'!B13</f>
        <v xml:space="preserve">Small Commercial </v>
      </c>
      <c r="C14" s="18">
        <f>'Workpaper 1'!I9*1000</f>
        <v>217323569.30803531</v>
      </c>
      <c r="D14" s="18"/>
      <c r="E14" s="18">
        <f>'Workpaper 1'!J9*1000</f>
        <v>229243879.39853665</v>
      </c>
      <c r="F14" s="18"/>
      <c r="G14" s="18">
        <f>'Workpaper 1'!K9*1000</f>
        <v>239317965.71833527</v>
      </c>
      <c r="H14" s="18"/>
      <c r="I14" s="18">
        <f>'Workpaper 1'!L9*1000</f>
        <v>211348576.79099375</v>
      </c>
      <c r="J14" s="18"/>
      <c r="K14" s="18">
        <f>'Workpaper 1'!M9*1000</f>
        <v>195315561.0568178</v>
      </c>
      <c r="L14" s="18"/>
      <c r="M14" s="18">
        <f>'Workpaper 1'!N9*1000</f>
        <v>194243997.91473109</v>
      </c>
      <c r="N14" s="18"/>
      <c r="O14" s="11">
        <f t="shared" ref="O14:O38" si="1">O13+1</f>
        <v>3</v>
      </c>
    </row>
    <row r="15" spans="1:15" x14ac:dyDescent="0.3">
      <c r="A15" s="11">
        <f t="shared" si="0"/>
        <v>4</v>
      </c>
      <c r="B15" s="21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11">
        <f t="shared" si="1"/>
        <v>4</v>
      </c>
    </row>
    <row r="16" spans="1:15" x14ac:dyDescent="0.3">
      <c r="A16" s="11">
        <f t="shared" si="0"/>
        <v>5</v>
      </c>
      <c r="B16" s="14" t="str">
        <f>'A-Revenues@Changed Rates'!B15</f>
        <v xml:space="preserve">Medium and Large Commercial/Industrial </v>
      </c>
      <c r="C16" s="18">
        <f>'Workpaper 1'!I147*1000</f>
        <v>806489656.84811842</v>
      </c>
      <c r="D16" s="18"/>
      <c r="E16" s="18">
        <f>'Workpaper 1'!J147*1000</f>
        <v>833968518.35937226</v>
      </c>
      <c r="F16" s="18"/>
      <c r="G16" s="18">
        <f>'Workpaper 1'!K147*1000</f>
        <v>867016873.16453326</v>
      </c>
      <c r="H16" s="18"/>
      <c r="I16" s="18">
        <f>'Workpaper 1'!L147*1000</f>
        <v>796536574.47793376</v>
      </c>
      <c r="J16" s="18"/>
      <c r="K16" s="18">
        <f>'Workpaper 1'!M147*1000</f>
        <v>728103253.38593173</v>
      </c>
      <c r="L16" s="18"/>
      <c r="M16" s="18">
        <f>'Workpaper 1'!N147*1000</f>
        <v>763709820.81237149</v>
      </c>
      <c r="N16" s="18"/>
      <c r="O16" s="11">
        <f t="shared" si="1"/>
        <v>5</v>
      </c>
    </row>
    <row r="17" spans="1:15" x14ac:dyDescent="0.3">
      <c r="A17" s="11">
        <f t="shared" si="0"/>
        <v>6</v>
      </c>
      <c r="B17" s="14" t="s">
        <v>367</v>
      </c>
      <c r="C17" s="18"/>
      <c r="D17" s="18">
        <f>'Workpaper 1'!I48*1000</f>
        <v>0</v>
      </c>
      <c r="E17" s="18"/>
      <c r="F17" s="18">
        <f>'Workpaper 1'!J48*1000</f>
        <v>0</v>
      </c>
      <c r="G17" s="18"/>
      <c r="H17" s="18">
        <f>'Workpaper 1'!K48*1000</f>
        <v>0</v>
      </c>
      <c r="I17" s="18"/>
      <c r="J17" s="18">
        <f>'Workpaper 1'!L48*1000</f>
        <v>0</v>
      </c>
      <c r="K17" s="18"/>
      <c r="L17" s="18">
        <f>'Workpaper 1'!M48*1000</f>
        <v>0</v>
      </c>
      <c r="M17" s="18"/>
      <c r="N17" s="18">
        <f>'Workpaper 1'!N48*1000</f>
        <v>0</v>
      </c>
      <c r="O17" s="11">
        <f t="shared" si="1"/>
        <v>6</v>
      </c>
    </row>
    <row r="18" spans="1:15" ht="22.5" x14ac:dyDescent="0.3">
      <c r="A18" s="11">
        <f t="shared" si="0"/>
        <v>7</v>
      </c>
      <c r="B18" s="14" t="s">
        <v>368</v>
      </c>
      <c r="C18" s="18"/>
      <c r="D18" s="18">
        <f>'Workpaper 1'!I75*1000+'Workpaper 1'!I121*1000</f>
        <v>1928989.3912187191</v>
      </c>
      <c r="E18" s="18"/>
      <c r="F18" s="18">
        <f>'Workpaper 1'!J75*1000+'Workpaper 1'!J121*1000</f>
        <v>1996935.5768869664</v>
      </c>
      <c r="G18" s="18"/>
      <c r="H18" s="18">
        <f>'Workpaper 1'!K75*1000+'Workpaper 1'!K121*1000</f>
        <v>2078031.1831154083</v>
      </c>
      <c r="I18" s="18"/>
      <c r="J18" s="18">
        <f>'Workpaper 1'!L75*1000+'Workpaper 1'!L121*1000</f>
        <v>1907674.9101579236</v>
      </c>
      <c r="K18" s="18"/>
      <c r="L18" s="18">
        <f>'Workpaper 1'!M75*1000+'Workpaper 1'!M121*1000</f>
        <v>1745882.8488525513</v>
      </c>
      <c r="M18" s="18"/>
      <c r="N18" s="18">
        <f>'Workpaper 1'!N75*1000+'Workpaper 1'!N121*1000</f>
        <v>1825593.487219753</v>
      </c>
      <c r="O18" s="11">
        <f t="shared" si="1"/>
        <v>7</v>
      </c>
    </row>
    <row r="19" spans="1:15" ht="22.5" x14ac:dyDescent="0.3">
      <c r="A19" s="11">
        <f t="shared" si="0"/>
        <v>8</v>
      </c>
      <c r="B19" s="14" t="s">
        <v>369</v>
      </c>
      <c r="C19" s="18"/>
      <c r="D19" s="18">
        <f>'Workpaper 1'!I85*1000</f>
        <v>1673288.1227493715</v>
      </c>
      <c r="E19" s="18"/>
      <c r="F19" s="18">
        <f>'Workpaper 1'!J85*1000</f>
        <v>1739492.1533405944</v>
      </c>
      <c r="G19" s="18"/>
      <c r="H19" s="18">
        <f>'Workpaper 1'!K85*1000</f>
        <v>1816540.427557766</v>
      </c>
      <c r="I19" s="18"/>
      <c r="J19" s="18">
        <f>'Workpaper 1'!L85*1000</f>
        <v>1662947.7122979141</v>
      </c>
      <c r="K19" s="18"/>
      <c r="L19" s="18">
        <f>'Workpaper 1'!M85*1000</f>
        <v>1497257.5313144273</v>
      </c>
      <c r="M19" s="18"/>
      <c r="N19" s="18">
        <f>'Workpaper 1'!N85*1000</f>
        <v>1547428.5644992178</v>
      </c>
      <c r="O19" s="11">
        <f t="shared" si="1"/>
        <v>8</v>
      </c>
    </row>
    <row r="20" spans="1:15" ht="22.5" x14ac:dyDescent="0.3">
      <c r="A20" s="11">
        <f t="shared" si="0"/>
        <v>9</v>
      </c>
      <c r="B20" s="19" t="s">
        <v>370</v>
      </c>
      <c r="C20" s="18"/>
      <c r="D20" s="18">
        <f>'Workpaper 1'!I131*1000</f>
        <v>143618.92444637683</v>
      </c>
      <c r="E20" s="18"/>
      <c r="F20" s="18">
        <f>'Workpaper 1'!J131*1000</f>
        <v>143043.26313787894</v>
      </c>
      <c r="G20" s="18"/>
      <c r="H20" s="18">
        <f>'Workpaper 1'!K131*1000</f>
        <v>143882.60368267121</v>
      </c>
      <c r="I20" s="18"/>
      <c r="J20" s="18">
        <f>'Workpaper 1'!L131*1000</f>
        <v>135711.84062240092</v>
      </c>
      <c r="K20" s="18"/>
      <c r="L20" s="18">
        <f>'Workpaper 1'!M131*1000</f>
        <v>133496.31514596919</v>
      </c>
      <c r="M20" s="18"/>
      <c r="N20" s="18">
        <f>'Workpaper 1'!N131*1000</f>
        <v>154202.00313587949</v>
      </c>
      <c r="O20" s="11">
        <f t="shared" si="1"/>
        <v>9</v>
      </c>
    </row>
    <row r="21" spans="1:15" ht="22.5" x14ac:dyDescent="0.3">
      <c r="A21" s="11">
        <f t="shared" si="0"/>
        <v>10</v>
      </c>
      <c r="B21" s="14" t="s">
        <v>371</v>
      </c>
      <c r="C21" s="47"/>
      <c r="D21" s="47">
        <f>'Workpaper 1'!I95*1000</f>
        <v>1795232.6233160719</v>
      </c>
      <c r="E21" s="47"/>
      <c r="F21" s="47">
        <f>'Workpaper 1'!J95*1000</f>
        <v>1866261.4162038709</v>
      </c>
      <c r="G21" s="47"/>
      <c r="H21" s="47">
        <f>'Workpaper 1'!K95*1000</f>
        <v>1948924.750488224</v>
      </c>
      <c r="I21" s="47"/>
      <c r="J21" s="47">
        <f>'Workpaper 1'!L95*1000</f>
        <v>1784138.6330291911</v>
      </c>
      <c r="K21" s="47"/>
      <c r="L21" s="47">
        <f>'Workpaper 1'!M95*1000</f>
        <v>1410826.0124817956</v>
      </c>
      <c r="M21" s="47"/>
      <c r="N21" s="47">
        <f>'Workpaper 1'!N95*1000</f>
        <v>1458100.8447733722</v>
      </c>
      <c r="O21" s="11">
        <f t="shared" si="1"/>
        <v>10</v>
      </c>
    </row>
    <row r="22" spans="1:15" ht="22.5" x14ac:dyDescent="0.3">
      <c r="A22" s="11">
        <f t="shared" si="0"/>
        <v>11</v>
      </c>
      <c r="B22" s="19" t="s">
        <v>372</v>
      </c>
      <c r="C22" s="47"/>
      <c r="D22" s="47">
        <f>'Workpaper 1'!I141*1000</f>
        <v>151166.30472578059</v>
      </c>
      <c r="E22" s="47"/>
      <c r="F22" s="47">
        <f>'Workpaper 1'!J141*1000</f>
        <v>150560.39159062319</v>
      </c>
      <c r="G22" s="47"/>
      <c r="H22" s="47">
        <f>'Workpaper 1'!K141*1000</f>
        <v>151443.84068378323</v>
      </c>
      <c r="I22" s="47"/>
      <c r="J22" s="47">
        <f>'Workpaper 1'!L141*1000</f>
        <v>142843.69231634343</v>
      </c>
      <c r="K22" s="47"/>
      <c r="L22" s="47">
        <f>'Workpaper 1'!M141*1000</f>
        <v>134888.6110839156</v>
      </c>
      <c r="M22" s="47"/>
      <c r="N22" s="47">
        <f>'Workpaper 1'!N141*1000</f>
        <v>155810.24844478208</v>
      </c>
      <c r="O22" s="11">
        <f t="shared" si="1"/>
        <v>11</v>
      </c>
    </row>
    <row r="23" spans="1:15" x14ac:dyDescent="0.3">
      <c r="A23" s="11">
        <f t="shared" si="0"/>
        <v>12</v>
      </c>
      <c r="B23" s="14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1">
        <f t="shared" si="1"/>
        <v>12</v>
      </c>
    </row>
    <row r="24" spans="1:15" x14ac:dyDescent="0.3">
      <c r="A24" s="11">
        <f t="shared" si="0"/>
        <v>13</v>
      </c>
      <c r="B24" s="127" t="s">
        <v>26</v>
      </c>
      <c r="C24" s="18">
        <f>'Workpaper 1'!I162*1000</f>
        <v>0</v>
      </c>
      <c r="D24" s="18"/>
      <c r="E24" s="18">
        <f>'Workpaper 1'!J162*1000</f>
        <v>0</v>
      </c>
      <c r="F24" s="18"/>
      <c r="G24" s="18">
        <f>'Workpaper 1'!K162*1000</f>
        <v>102320</v>
      </c>
      <c r="H24" s="18"/>
      <c r="I24" s="18">
        <f>'Workpaper 1'!L162*1000</f>
        <v>747300</v>
      </c>
      <c r="J24" s="18"/>
      <c r="K24" s="18">
        <f>'Workpaper 1'!M162*1000</f>
        <v>703620</v>
      </c>
      <c r="L24" s="18"/>
      <c r="M24" s="18">
        <f>'Workpaper 1'!N162*1000</f>
        <v>339300</v>
      </c>
      <c r="N24" s="18"/>
      <c r="O24" s="11">
        <f t="shared" si="1"/>
        <v>13</v>
      </c>
    </row>
    <row r="25" spans="1:15" ht="22.5" x14ac:dyDescent="0.3">
      <c r="A25" s="11">
        <f t="shared" si="0"/>
        <v>14</v>
      </c>
      <c r="B25" s="14" t="s">
        <v>368</v>
      </c>
      <c r="C25" s="18"/>
      <c r="D25" s="18">
        <f>'Workpaper 1'!I164*1000</f>
        <v>9900</v>
      </c>
      <c r="E25" s="18"/>
      <c r="F25" s="18">
        <f>'Workpaper 1'!J164*1000</f>
        <v>8000</v>
      </c>
      <c r="G25" s="18"/>
      <c r="H25" s="18">
        <f>'Workpaper 1'!K164*1000</f>
        <v>8000</v>
      </c>
      <c r="I25" s="18"/>
      <c r="J25" s="18">
        <f>'Workpaper 1'!L164*1000</f>
        <v>16900</v>
      </c>
      <c r="K25" s="18"/>
      <c r="L25" s="18">
        <f>'Workpaper 1'!M164*1000</f>
        <v>16600</v>
      </c>
      <c r="M25" s="18"/>
      <c r="N25" s="18">
        <f>'Workpaper 1'!N164*1000</f>
        <v>9800</v>
      </c>
      <c r="O25" s="11">
        <f t="shared" si="1"/>
        <v>14</v>
      </c>
    </row>
    <row r="26" spans="1:15" ht="22.5" x14ac:dyDescent="0.3">
      <c r="A26" s="11">
        <f t="shared" si="0"/>
        <v>15</v>
      </c>
      <c r="B26" s="19" t="s">
        <v>373</v>
      </c>
      <c r="C26" s="18"/>
      <c r="D26" s="18">
        <f>'Workpaper 1'!I166*1000</f>
        <v>0</v>
      </c>
      <c r="E26" s="18"/>
      <c r="F26" s="18">
        <f>'Workpaper 1'!J166*1000</f>
        <v>0</v>
      </c>
      <c r="G26" s="18"/>
      <c r="H26" s="18">
        <f>'Workpaper 1'!K166*1000</f>
        <v>0</v>
      </c>
      <c r="I26" s="18"/>
      <c r="J26" s="18">
        <f>'Workpaper 1'!L166*1000</f>
        <v>0</v>
      </c>
      <c r="K26" s="18"/>
      <c r="L26" s="18">
        <f>'Workpaper 1'!M166*1000</f>
        <v>7580</v>
      </c>
      <c r="M26" s="18"/>
      <c r="N26" s="18">
        <f>'Workpaper 1'!N166*1000</f>
        <v>0</v>
      </c>
      <c r="O26" s="11">
        <f t="shared" si="1"/>
        <v>15</v>
      </c>
    </row>
    <row r="27" spans="1:15" x14ac:dyDescent="0.3">
      <c r="A27" s="11">
        <f t="shared" si="0"/>
        <v>16</v>
      </c>
      <c r="B27" s="1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1">
        <f t="shared" si="1"/>
        <v>16</v>
      </c>
    </row>
    <row r="28" spans="1:15" x14ac:dyDescent="0.3">
      <c r="A28" s="11">
        <f t="shared" si="0"/>
        <v>17</v>
      </c>
      <c r="B28" s="14" t="s">
        <v>78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1">
        <f t="shared" si="1"/>
        <v>17</v>
      </c>
    </row>
    <row r="29" spans="1:15" x14ac:dyDescent="0.3">
      <c r="A29" s="11">
        <f t="shared" si="0"/>
        <v>18</v>
      </c>
      <c r="B29" s="14" t="s">
        <v>79</v>
      </c>
      <c r="C29" s="18">
        <f>'Workpaper 1'!I14*1000</f>
        <v>17674212.425930995</v>
      </c>
      <c r="D29" s="18"/>
      <c r="E29" s="18">
        <f>'Workpaper 1'!J14*1000</f>
        <v>19350930.552889984</v>
      </c>
      <c r="F29" s="18"/>
      <c r="G29" s="18">
        <f>'Workpaper 1'!K14*1000</f>
        <v>18944800.132352281</v>
      </c>
      <c r="H29" s="18"/>
      <c r="I29" s="18">
        <f>'Workpaper 1'!L14*1000</f>
        <v>17483777.143699218</v>
      </c>
      <c r="J29" s="18"/>
      <c r="K29" s="18">
        <f>'Workpaper 1'!M14*1000</f>
        <v>14421116.292368243</v>
      </c>
      <c r="L29" s="18"/>
      <c r="M29" s="18">
        <f>'Workpaper 1'!N14*1000</f>
        <v>13285180.217291201</v>
      </c>
      <c r="N29" s="18"/>
      <c r="O29" s="11">
        <f t="shared" si="1"/>
        <v>18</v>
      </c>
    </row>
    <row r="30" spans="1:15" ht="22.5" x14ac:dyDescent="0.3">
      <c r="A30" s="11">
        <f t="shared" si="0"/>
        <v>19</v>
      </c>
      <c r="B30" s="14" t="s">
        <v>374</v>
      </c>
      <c r="C30" s="18">
        <f>'Workpaper 1'!I15*1000</f>
        <v>21824505.864378165</v>
      </c>
      <c r="D30" s="18">
        <f>'Workpaper 1'!I192*1000</f>
        <v>74481.29287404858</v>
      </c>
      <c r="E30" s="18">
        <f>'Workpaper 1'!J15*1000</f>
        <v>21947825.423344754</v>
      </c>
      <c r="F30" s="18">
        <f>'Workpaper 1'!J192*1000</f>
        <v>74902.150063007008</v>
      </c>
      <c r="G30" s="18">
        <f>'Workpaper 1'!K15*1000</f>
        <v>21857831.109899174</v>
      </c>
      <c r="H30" s="18">
        <f>'Workpaper 1'!K192*1000</f>
        <v>74595.023163621881</v>
      </c>
      <c r="I30" s="18">
        <f>'Workpaper 1'!L15*1000</f>
        <v>21118824.263870798</v>
      </c>
      <c r="J30" s="18">
        <f>'Workpaper 1'!L192*1000</f>
        <v>72072.987353188888</v>
      </c>
      <c r="K30" s="18">
        <f>'Workpaper 1'!M15*1000</f>
        <v>19755426.797113776</v>
      </c>
      <c r="L30" s="18">
        <f>'Workpaper 1'!M192*1000</f>
        <v>66725.073476269128</v>
      </c>
      <c r="M30" s="18">
        <f>'Workpaper 1'!N15*1000</f>
        <v>18182715.474677801</v>
      </c>
      <c r="N30" s="18">
        <f>'Workpaper 1'!N192*1000</f>
        <v>61413.151864844753</v>
      </c>
      <c r="O30" s="11">
        <f t="shared" si="1"/>
        <v>19</v>
      </c>
    </row>
    <row r="31" spans="1:15" x14ac:dyDescent="0.3">
      <c r="A31" s="11">
        <f t="shared" si="0"/>
        <v>20</v>
      </c>
      <c r="B31" s="1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1">
        <f t="shared" si="1"/>
        <v>20</v>
      </c>
    </row>
    <row r="32" spans="1:15" x14ac:dyDescent="0.3">
      <c r="A32" s="11">
        <f t="shared" si="0"/>
        <v>21</v>
      </c>
      <c r="B32" s="14" t="str">
        <f>'A-Revenues@Changed Rates'!B29</f>
        <v>Street Lighting</v>
      </c>
      <c r="C32" s="18">
        <f>'Workpaper 1'!I16*1000</f>
        <v>6678722.3135911068</v>
      </c>
      <c r="D32" s="18"/>
      <c r="E32" s="18">
        <f>'Workpaper 1'!J16*1000</f>
        <v>6838779.9659992624</v>
      </c>
      <c r="F32" s="18"/>
      <c r="G32" s="18">
        <f>'Workpaper 1'!K16*1000</f>
        <v>6753591.5071859909</v>
      </c>
      <c r="H32" s="18"/>
      <c r="I32" s="18">
        <f>'Workpaper 1'!L16*1000</f>
        <v>6782648.6053437786</v>
      </c>
      <c r="J32" s="18"/>
      <c r="K32" s="18">
        <f>'Workpaper 1'!M16*1000</f>
        <v>7119936.6196114337</v>
      </c>
      <c r="L32" s="18"/>
      <c r="M32" s="18">
        <f>'Workpaper 1'!N16*1000</f>
        <v>7138909.4377961857</v>
      </c>
      <c r="N32" s="18"/>
      <c r="O32" s="11">
        <f t="shared" si="1"/>
        <v>21</v>
      </c>
    </row>
    <row r="33" spans="1:17" x14ac:dyDescent="0.3">
      <c r="A33" s="11">
        <f t="shared" si="0"/>
        <v>22</v>
      </c>
      <c r="B33" s="14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1">
        <f t="shared" si="1"/>
        <v>22</v>
      </c>
    </row>
    <row r="34" spans="1:17" x14ac:dyDescent="0.3">
      <c r="A34" s="11">
        <f t="shared" si="0"/>
        <v>23</v>
      </c>
      <c r="B34" s="14" t="str">
        <f>'A-Billing Determinants'!B34</f>
        <v>Sale for Resale</v>
      </c>
      <c r="C34" s="18">
        <f>'Workpaper 1'!I17*1000</f>
        <v>7568.5555555555557</v>
      </c>
      <c r="D34" s="18"/>
      <c r="E34" s="18">
        <f>'Workpaper 1'!J17*1000</f>
        <v>7568.5555555555557</v>
      </c>
      <c r="F34" s="18"/>
      <c r="G34" s="18">
        <f>'Workpaper 1'!K17*1000</f>
        <v>7568.5555555555557</v>
      </c>
      <c r="H34" s="18"/>
      <c r="I34" s="18">
        <f>'Workpaper 1'!L17*1000</f>
        <v>7568.5555555555557</v>
      </c>
      <c r="J34" s="18"/>
      <c r="K34" s="18">
        <f>'Workpaper 1'!M17*1000</f>
        <v>7568.5555555555557</v>
      </c>
      <c r="L34" s="18"/>
      <c r="M34" s="18">
        <f>'Workpaper 1'!N17*1000</f>
        <v>7568.5555555555557</v>
      </c>
      <c r="N34" s="18"/>
      <c r="O34" s="11">
        <f t="shared" si="1"/>
        <v>23</v>
      </c>
    </row>
    <row r="35" spans="1:17" x14ac:dyDescent="0.3">
      <c r="A35" s="11">
        <f t="shared" si="0"/>
        <v>24</v>
      </c>
      <c r="B35" s="14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1">
        <f t="shared" si="1"/>
        <v>24</v>
      </c>
    </row>
    <row r="36" spans="1:17" x14ac:dyDescent="0.3">
      <c r="A36" s="11">
        <f t="shared" si="0"/>
        <v>25</v>
      </c>
      <c r="B36" s="14" t="str">
        <f>'A-Revenues@Changed Rates'!B31</f>
        <v>Standby</v>
      </c>
      <c r="C36" s="22"/>
      <c r="D36" s="22">
        <f>'Workpaper 1'!I202*1000</f>
        <v>145506</v>
      </c>
      <c r="E36" s="22"/>
      <c r="F36" s="22">
        <f>'Workpaper 1'!J202*1000</f>
        <v>145506</v>
      </c>
      <c r="G36" s="22"/>
      <c r="H36" s="22">
        <f>'Workpaper 1'!K202*1000</f>
        <v>145506</v>
      </c>
      <c r="I36" s="22"/>
      <c r="J36" s="22">
        <f>'Workpaper 1'!L202*1000</f>
        <v>145506</v>
      </c>
      <c r="K36" s="22"/>
      <c r="L36" s="22">
        <f>'Workpaper 1'!M202*1000</f>
        <v>145506</v>
      </c>
      <c r="M36" s="22"/>
      <c r="N36" s="22">
        <f>'Workpaper 1'!N202*1000</f>
        <v>145506</v>
      </c>
      <c r="O36" s="11">
        <f t="shared" si="1"/>
        <v>25</v>
      </c>
      <c r="Q36" s="216"/>
    </row>
    <row r="37" spans="1:17" x14ac:dyDescent="0.3">
      <c r="A37" s="11">
        <f t="shared" si="0"/>
        <v>26</v>
      </c>
      <c r="B37" s="14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1">
        <f t="shared" si="1"/>
        <v>26</v>
      </c>
    </row>
    <row r="38" spans="1:17" ht="19.5" thickBot="1" x14ac:dyDescent="0.35">
      <c r="A38" s="11">
        <f t="shared" si="0"/>
        <v>27</v>
      </c>
      <c r="B38" s="19" t="s">
        <v>60</v>
      </c>
      <c r="C38" s="23">
        <f>SUM(C12:C36)</f>
        <v>1480148553.2897022</v>
      </c>
      <c r="D38" s="23"/>
      <c r="E38" s="23">
        <f>SUM(E12:E36)</f>
        <v>1659316545.0994561</v>
      </c>
      <c r="F38" s="23"/>
      <c r="G38" s="23">
        <f>SUM(G12:G36)</f>
        <v>1769950373.7841048</v>
      </c>
      <c r="H38" s="23"/>
      <c r="I38" s="23">
        <f>SUM(I12:I36)</f>
        <v>1502248017.602627</v>
      </c>
      <c r="J38" s="23"/>
      <c r="K38" s="23">
        <f>SUM(K12:K36)</f>
        <v>1351210771.3495054</v>
      </c>
      <c r="L38" s="23"/>
      <c r="M38" s="23">
        <f>SUM(M12:M36)</f>
        <v>1449383609.5918403</v>
      </c>
      <c r="N38" s="23"/>
      <c r="O38" s="11">
        <f t="shared" si="1"/>
        <v>27</v>
      </c>
      <c r="Q38" s="216"/>
    </row>
    <row r="39" spans="1:17" ht="19.5" thickTop="1" x14ac:dyDescent="0.3">
      <c r="A39" s="17"/>
      <c r="B39" s="2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4"/>
      <c r="Q39" s="222"/>
    </row>
    <row r="40" spans="1:17" x14ac:dyDescent="0.3">
      <c r="B40" s="25" t="s">
        <v>46</v>
      </c>
      <c r="C40" s="216"/>
      <c r="E40" s="216"/>
      <c r="G40" s="216"/>
      <c r="I40" s="216"/>
      <c r="K40" s="216"/>
      <c r="M40" s="216"/>
    </row>
    <row r="41" spans="1:17" ht="22.5" x14ac:dyDescent="0.3">
      <c r="A41" s="77">
        <v>1</v>
      </c>
      <c r="B41" s="1" t="str">
        <f>'A-Billing Determinants'!B41</f>
        <v>Non-Coincident Demand (NCD) (100%) rates applicable to the following California Public Utilities Commission (CPUC) tariff: Schedule PA-T-1.</v>
      </c>
    </row>
    <row r="42" spans="1:17" ht="22.5" x14ac:dyDescent="0.3">
      <c r="A42" s="77">
        <v>2</v>
      </c>
      <c r="B42" s="1" t="str">
        <f>'A-Billing Determinants'!B42</f>
        <v>NCD (90%) rates are applicable to the following CPUC tariffs: Schedules AL-TOU, AL-TOU2, DG-R, A6-TOU, and San Diego Unified Port District.</v>
      </c>
    </row>
    <row r="43" spans="1:17" ht="22.5" x14ac:dyDescent="0.3">
      <c r="A43" s="77">
        <v>3</v>
      </c>
      <c r="B43" s="1" t="str">
        <f>'A-Billing Determinants'!B43</f>
        <v>Maximum On-Peak Demand rates are applicable to the following CPUC tariffs: Schedules AL-TOU, AL-TOU2, and DG-R.  Standard Customers have demand rates based on SDG&amp;E's on-peak period of 4-9 p.m. everyday year-round whereas Grandfathered Customers have demand rates</v>
      </c>
    </row>
    <row r="44" spans="1:17" ht="22.5" x14ac:dyDescent="0.3">
      <c r="A44" s="77"/>
      <c r="B44" s="1" t="str">
        <f>'A-Billing Determinants'!B44</f>
        <v>based on SDG&amp;E's previous on-peak period of 11 a.m. - 6 p.m. summer and  5-8 p.m. winter on weekdays.</v>
      </c>
    </row>
    <row r="45" spans="1:17" ht="20.25" customHeight="1" x14ac:dyDescent="0.3">
      <c r="A45" s="77">
        <v>4</v>
      </c>
      <c r="B45" s="1" t="str">
        <f>'A-Billing Determinants'!B45</f>
        <v xml:space="preserve">Maximum Demand at the Time of System Peak rates are applicable to the following CPUC tariff: Schedule A6-TOU and San Diego Unified Port District.  Standard Customers have demand rates based on SDG&amp;E's on-peak period of 4-9 p.m. everyday year-round whereas </v>
      </c>
    </row>
    <row r="46" spans="1:17" ht="22.5" x14ac:dyDescent="0.3">
      <c r="A46" s="77"/>
      <c r="B46" s="1" t="str">
        <f>'A-Billing Determinants'!B46</f>
        <v>Grandfathered Customers have demand rates based on SDG&amp;E's previous on-peak period of 11 a.m. - 6 p.m. summer and  5-8 p.m. winter on weekdays.</v>
      </c>
    </row>
    <row r="47" spans="1:17" ht="22.5" x14ac:dyDescent="0.3">
      <c r="A47" s="77">
        <v>5</v>
      </c>
      <c r="B47" s="1" t="str">
        <f>'A-Billing Determinants'!B47</f>
        <v>Billing Determinants are found in Statement BG, Page BG-21.1 through BG-21.4.</v>
      </c>
      <c r="F47" s="391"/>
    </row>
    <row r="48" spans="1:17" ht="22.5" x14ac:dyDescent="0.3">
      <c r="A48" s="77">
        <v>6</v>
      </c>
      <c r="B48" s="1" t="str">
        <f>'A-Billing Determinants'!B48</f>
        <v>Residential billing determinants exclude EV-TOU-5 super off-peak kWh because EV-TOU-5 super off-peak kWh usage is exempt from paying transmission rates.</v>
      </c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</sheetData>
  <mergeCells count="11">
    <mergeCell ref="K8:L8"/>
    <mergeCell ref="M8:N8"/>
    <mergeCell ref="C8:D8"/>
    <mergeCell ref="E8:F8"/>
    <mergeCell ref="G8:H8"/>
    <mergeCell ref="I8:J8"/>
    <mergeCell ref="A1:O1"/>
    <mergeCell ref="A2:O2"/>
    <mergeCell ref="A3:O3"/>
    <mergeCell ref="A5:O5"/>
    <mergeCell ref="A4:O4"/>
  </mergeCells>
  <phoneticPr fontId="0" type="noConversion"/>
  <printOptions horizontalCentered="1"/>
  <pageMargins left="0.25" right="0.25" top="0.5" bottom="0.5" header="0.25" footer="0.25"/>
  <pageSetup scale="42" orientation="landscape" r:id="rId1"/>
  <headerFooter scaleWithDoc="0">
    <oddFooter xml:space="preserve">&amp;L&amp;"Times New Roman,Regular"&amp;9Statement BG-Billing Determinants&amp;C&amp;"Times New Roman,Regular"&amp;9Page BG-&amp;P&amp;12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150"/>
  <sheetViews>
    <sheetView zoomScale="75" zoomScaleNormal="75" zoomScaleSheetLayoutView="70" workbookViewId="0">
      <selection activeCell="C30" sqref="C30"/>
    </sheetView>
  </sheetViews>
  <sheetFormatPr defaultColWidth="9.140625" defaultRowHeight="18.75" x14ac:dyDescent="0.3"/>
  <cols>
    <col min="1" max="1" width="6" style="1" bestFit="1" customWidth="1"/>
    <col min="2" max="2" width="61.5703125" style="1" bestFit="1" customWidth="1"/>
    <col min="3" max="8" width="18" style="1" bestFit="1" customWidth="1"/>
    <col min="9" max="9" width="20.28515625" style="1" bestFit="1" customWidth="1"/>
    <col min="10" max="10" width="6" style="1" bestFit="1" customWidth="1"/>
    <col min="11" max="14" width="17.140625" style="1" bestFit="1" customWidth="1"/>
    <col min="15" max="15" width="18.42578125" style="1" bestFit="1" customWidth="1"/>
    <col min="16" max="16" width="8.5703125" style="1" bestFit="1" customWidth="1"/>
    <col min="17" max="16384" width="9.140625" style="1"/>
  </cols>
  <sheetData>
    <row r="1" spans="1:16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89"/>
      <c r="L1" s="89"/>
      <c r="M1" s="89"/>
      <c r="N1" s="89"/>
      <c r="O1" s="89"/>
      <c r="P1" s="89"/>
    </row>
    <row r="2" spans="1:16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6"/>
      <c r="L2" s="6"/>
      <c r="M2" s="6"/>
      <c r="N2" s="6"/>
      <c r="O2" s="6"/>
      <c r="P2" s="6"/>
    </row>
    <row r="3" spans="1:16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6"/>
      <c r="L3" s="6"/>
      <c r="M3" s="6"/>
      <c r="N3" s="6"/>
      <c r="O3" s="6"/>
      <c r="P3" s="6"/>
    </row>
    <row r="4" spans="1:16" x14ac:dyDescent="0.3">
      <c r="A4" s="425" t="str">
        <f>'Comparison of Revenues'!A5:H5</f>
        <v>Rate Effective Period - Twelve Months Ending December 31, 2026</v>
      </c>
      <c r="B4" s="425"/>
      <c r="C4" s="425"/>
      <c r="D4" s="425"/>
      <c r="E4" s="425"/>
      <c r="F4" s="425"/>
      <c r="G4" s="425"/>
      <c r="H4" s="425"/>
      <c r="I4" s="425"/>
      <c r="J4" s="425"/>
      <c r="K4" s="6"/>
      <c r="L4" s="6"/>
      <c r="M4" s="6"/>
      <c r="N4" s="6"/>
      <c r="O4" s="6"/>
      <c r="P4" s="6"/>
    </row>
    <row r="5" spans="1:16" x14ac:dyDescent="0.3">
      <c r="A5" s="343"/>
      <c r="B5" s="343"/>
      <c r="C5" s="343"/>
      <c r="D5" s="343"/>
      <c r="E5" s="343"/>
      <c r="F5" s="343"/>
      <c r="G5" s="343"/>
      <c r="H5" s="343"/>
      <c r="I5" s="343"/>
      <c r="J5" s="343"/>
      <c r="K5" s="6"/>
      <c r="L5" s="6"/>
      <c r="M5" s="6"/>
      <c r="N5" s="6"/>
      <c r="O5" s="6"/>
      <c r="P5" s="6"/>
    </row>
    <row r="6" spans="1:16" x14ac:dyDescent="0.3">
      <c r="A6" s="28"/>
      <c r="B6" s="28"/>
      <c r="C6" s="68" t="s">
        <v>4</v>
      </c>
      <c r="D6" s="68" t="s">
        <v>5</v>
      </c>
      <c r="E6" s="153" t="s">
        <v>48</v>
      </c>
      <c r="F6" s="68" t="s">
        <v>49</v>
      </c>
      <c r="G6" s="68" t="s">
        <v>50</v>
      </c>
      <c r="H6" s="153" t="s">
        <v>51</v>
      </c>
      <c r="I6" s="68" t="s">
        <v>52</v>
      </c>
      <c r="J6" s="28"/>
    </row>
    <row r="7" spans="1:16" x14ac:dyDescent="0.3">
      <c r="A7" s="11"/>
      <c r="B7" s="11"/>
      <c r="C7" s="28"/>
      <c r="D7" s="28"/>
      <c r="E7" s="28"/>
      <c r="F7" s="28"/>
      <c r="G7" s="28"/>
      <c r="H7" s="28"/>
      <c r="I7" s="28"/>
      <c r="J7" s="11"/>
    </row>
    <row r="8" spans="1:16" x14ac:dyDescent="0.3">
      <c r="A8" s="11" t="s">
        <v>8</v>
      </c>
      <c r="B8" s="11" t="s">
        <v>11</v>
      </c>
      <c r="C8" s="31">
        <f>'A-Billing Determinants'!C8</f>
        <v>46023</v>
      </c>
      <c r="D8" s="31">
        <f>'A-Billing Determinants'!E8</f>
        <v>46054</v>
      </c>
      <c r="E8" s="31">
        <f>'A-Billing Determinants'!G8</f>
        <v>46082</v>
      </c>
      <c r="F8" s="31">
        <f>'A-Billing Determinants'!I8</f>
        <v>46113</v>
      </c>
      <c r="G8" s="31">
        <f>'A-Billing Determinants'!K8</f>
        <v>46143</v>
      </c>
      <c r="H8" s="31">
        <f>'A-Billing Determinants'!M8</f>
        <v>46174</v>
      </c>
      <c r="I8" s="14"/>
      <c r="J8" s="11" t="s">
        <v>8</v>
      </c>
    </row>
    <row r="9" spans="1:16" x14ac:dyDescent="0.3">
      <c r="A9" s="17" t="s">
        <v>10</v>
      </c>
      <c r="B9" s="17"/>
      <c r="C9" s="24"/>
      <c r="D9" s="24"/>
      <c r="E9" s="24"/>
      <c r="F9" s="24"/>
      <c r="G9" s="24"/>
      <c r="H9" s="24"/>
      <c r="I9" s="24"/>
      <c r="J9" s="17" t="s">
        <v>10</v>
      </c>
    </row>
    <row r="10" spans="1:16" x14ac:dyDescent="0.3">
      <c r="A10" s="11"/>
      <c r="B10" s="11"/>
      <c r="C10" s="11"/>
      <c r="D10" s="11"/>
      <c r="E10" s="11"/>
      <c r="F10" s="11"/>
      <c r="G10" s="11"/>
      <c r="H10" s="11"/>
      <c r="I10" s="14"/>
      <c r="J10" s="11"/>
    </row>
    <row r="11" spans="1:16" ht="22.5" x14ac:dyDescent="0.3">
      <c r="A11" s="11">
        <v>1</v>
      </c>
      <c r="B11" s="14" t="s">
        <v>53</v>
      </c>
      <c r="C11" s="40">
        <f>'A-Revenues@Changed Rates'!C66+'A-Revenues@Changed Rates'!D66</f>
        <v>55121539.117925718</v>
      </c>
      <c r="D11" s="40">
        <f>'A-Revenues@Changed Rates'!E66+'A-Revenues@Changed Rates'!F66</f>
        <v>46146042.570207328</v>
      </c>
      <c r="E11" s="40">
        <f>'A-Revenues@Changed Rates'!G66+'A-Revenues@Changed Rates'!H66</f>
        <v>40323654.089229286</v>
      </c>
      <c r="F11" s="40">
        <f>'A-Revenues@Changed Rates'!I66+'A-Revenues@Changed Rates'!J66</f>
        <v>32867690.786049612</v>
      </c>
      <c r="G11" s="40">
        <f>'B-Revenues@Changed Rates'!C66+'B-Revenues@Changed Rates'!D66</f>
        <v>30176088.611804467</v>
      </c>
      <c r="H11" s="40">
        <f>'B-Revenues@Changed Rates'!E66+'B-Revenues@Changed Rates'!F66</f>
        <v>32215477.398558449</v>
      </c>
      <c r="I11" s="14"/>
      <c r="J11" s="11">
        <v>1</v>
      </c>
    </row>
    <row r="12" spans="1:16" x14ac:dyDescent="0.3">
      <c r="A12" s="11">
        <f>A11+1</f>
        <v>2</v>
      </c>
      <c r="B12" s="19"/>
      <c r="C12" s="62"/>
      <c r="D12" s="62"/>
      <c r="E12" s="62"/>
      <c r="F12" s="62"/>
      <c r="G12" s="62"/>
      <c r="H12" s="62"/>
      <c r="I12" s="14"/>
      <c r="J12" s="11">
        <f>J11+1</f>
        <v>2</v>
      </c>
    </row>
    <row r="13" spans="1:16" ht="22.5" x14ac:dyDescent="0.3">
      <c r="A13" s="11">
        <f t="shared" ref="A13:A25" si="0">A12+1</f>
        <v>3</v>
      </c>
      <c r="B13" s="14" t="s">
        <v>54</v>
      </c>
      <c r="C13" s="18">
        <f>'A-Revenues@Changed Rates'!C68+'A-Revenues@Changed Rates'!D68</f>
        <v>11405898.398569085</v>
      </c>
      <c r="D13" s="18">
        <f>'A-Revenues@Changed Rates'!E68+'A-Revenues@Changed Rates'!F68</f>
        <v>10979313.083051026</v>
      </c>
      <c r="E13" s="18">
        <f>'A-Revenues@Changed Rates'!G68+'A-Revenues@Changed Rates'!H68</f>
        <v>10754223.801928505</v>
      </c>
      <c r="F13" s="18">
        <f>'A-Revenues@Changed Rates'!I68+'A-Revenues@Changed Rates'!J68</f>
        <v>10652570.813210364</v>
      </c>
      <c r="G13" s="18">
        <f>'B-Revenues@Changed Rates'!C68+'B-Revenues@Changed Rates'!D68</f>
        <v>10638858.678824035</v>
      </c>
      <c r="H13" s="18">
        <f>'B-Revenues@Changed Rates'!E68+'B-Revenues@Changed Rates'!F68</f>
        <v>10994165.359830998</v>
      </c>
      <c r="I13" s="14"/>
      <c r="J13" s="11">
        <f t="shared" ref="J13:J25" si="1">J12+1</f>
        <v>3</v>
      </c>
    </row>
    <row r="14" spans="1:16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14"/>
      <c r="J14" s="11">
        <f t="shared" si="1"/>
        <v>4</v>
      </c>
    </row>
    <row r="15" spans="1:16" ht="22.5" x14ac:dyDescent="0.3">
      <c r="A15" s="11">
        <f t="shared" si="0"/>
        <v>5</v>
      </c>
      <c r="B15" s="14" t="s">
        <v>55</v>
      </c>
      <c r="C15" s="18">
        <f>'A-Revenues@Changed Rates'!C70+SUM('A-Revenues@Changed Rates'!D71:D74)</f>
        <v>37396886.633991547</v>
      </c>
      <c r="D15" s="18">
        <f>'A-Revenues@Changed Rates'!E70+SUM('A-Revenues@Changed Rates'!F71:F74)</f>
        <v>35520121.884503961</v>
      </c>
      <c r="E15" s="18">
        <f>'A-Revenues@Changed Rates'!G70+SUM('A-Revenues@Changed Rates'!H71:H74)</f>
        <v>35505610.274149194</v>
      </c>
      <c r="F15" s="18">
        <f>'A-Revenues@Changed Rates'!I70+SUM('A-Revenues@Changed Rates'!J71:J74)</f>
        <v>35684981.630174175</v>
      </c>
      <c r="G15" s="18">
        <f>'B-Revenues@Changed Rates'!C70+SUM('B-Revenues@Changed Rates'!D71:D74)</f>
        <v>36084124.727126434</v>
      </c>
      <c r="H15" s="18">
        <f>'B-Revenues@Changed Rates'!E70+SUM('B-Revenues@Changed Rates'!F71:F74)</f>
        <v>43326356.448198184</v>
      </c>
      <c r="I15" s="14"/>
      <c r="J15" s="11">
        <f t="shared" si="1"/>
        <v>5</v>
      </c>
    </row>
    <row r="16" spans="1:16" x14ac:dyDescent="0.3">
      <c r="A16" s="11">
        <f t="shared" si="0"/>
        <v>6</v>
      </c>
      <c r="B16" s="14"/>
      <c r="C16" s="18"/>
      <c r="D16" s="18"/>
      <c r="E16" s="18"/>
      <c r="F16" s="18"/>
      <c r="G16" s="18"/>
      <c r="H16" s="18"/>
      <c r="I16" s="14"/>
      <c r="J16" s="11">
        <f t="shared" si="1"/>
        <v>6</v>
      </c>
    </row>
    <row r="17" spans="1:18" ht="22.5" x14ac:dyDescent="0.3">
      <c r="A17" s="11">
        <f t="shared" si="0"/>
        <v>7</v>
      </c>
      <c r="B17" s="127" t="s">
        <v>56</v>
      </c>
      <c r="C17" s="18">
        <f>'A-Revenues@Changed Rates'!C76+SUM('A-Revenues@Changed Rates'!D77:D78)</f>
        <v>13446.999999999998</v>
      </c>
      <c r="D17" s="18">
        <f>'A-Revenues@Changed Rates'!E76+SUM('A-Revenues@Changed Rates'!F77:F78)</f>
        <v>18080</v>
      </c>
      <c r="E17" s="18">
        <f>'A-Revenues@Changed Rates'!G76+SUM('A-Revenues@Changed Rates'!H77:H78)</f>
        <v>17741</v>
      </c>
      <c r="F17" s="18">
        <f>'A-Revenues@Changed Rates'!I76+SUM('A-Revenues@Changed Rates'!J77:J78)</f>
        <v>17854</v>
      </c>
      <c r="G17" s="18">
        <f>'B-Revenues@Changed Rates'!C76+SUM('B-Revenues@Changed Rates'!D77:D78)</f>
        <v>9830.9999999999982</v>
      </c>
      <c r="H17" s="18">
        <f>'B-Revenues@Changed Rates'!E76+SUM('B-Revenues@Changed Rates'!F77:F78)</f>
        <v>9943.9999999999982</v>
      </c>
      <c r="I17" s="14"/>
      <c r="J17" s="11">
        <f t="shared" si="1"/>
        <v>7</v>
      </c>
    </row>
    <row r="18" spans="1:18" x14ac:dyDescent="0.3">
      <c r="A18" s="11">
        <f t="shared" si="0"/>
        <v>8</v>
      </c>
      <c r="B18" s="14"/>
      <c r="C18" s="18"/>
      <c r="D18" s="18"/>
      <c r="E18" s="18"/>
      <c r="F18" s="18"/>
      <c r="G18" s="18"/>
      <c r="H18" s="18"/>
      <c r="I18" s="14"/>
      <c r="J18" s="11">
        <f t="shared" si="1"/>
        <v>8</v>
      </c>
    </row>
    <row r="19" spans="1:18" ht="22.5" x14ac:dyDescent="0.3">
      <c r="A19" s="11">
        <f t="shared" si="0"/>
        <v>9</v>
      </c>
      <c r="B19" s="14" t="s">
        <v>57</v>
      </c>
      <c r="C19" s="18">
        <f>'A-Revenues@Changed Rates'!C81+'A-Revenues@Changed Rates'!D82</f>
        <v>833002.92887877906</v>
      </c>
      <c r="D19" s="18">
        <f>'A-Revenues@Changed Rates'!E81+'A-Revenues@Changed Rates'!F82</f>
        <v>834842.07309179928</v>
      </c>
      <c r="E19" s="18">
        <f>'A-Revenues@Changed Rates'!G81+'A-Revenues@Changed Rates'!H82</f>
        <v>781545.33269394585</v>
      </c>
      <c r="F19" s="18">
        <f>'A-Revenues@Changed Rates'!I81+'A-Revenues@Changed Rates'!J82</f>
        <v>829571.71305426792</v>
      </c>
      <c r="G19" s="18">
        <f>'B-Revenues@Changed Rates'!C81+'B-Revenues@Changed Rates'!D82</f>
        <v>1088188.8220931781</v>
      </c>
      <c r="H19" s="18">
        <f>'B-Revenues@Changed Rates'!E81+'B-Revenues@Changed Rates'!F82</f>
        <v>1183000.5987440669</v>
      </c>
      <c r="I19" s="14"/>
      <c r="J19" s="11">
        <f t="shared" si="1"/>
        <v>9</v>
      </c>
    </row>
    <row r="20" spans="1:18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4"/>
      <c r="J20" s="11">
        <f t="shared" si="1"/>
        <v>10</v>
      </c>
    </row>
    <row r="21" spans="1:18" ht="22.5" x14ac:dyDescent="0.3">
      <c r="A21" s="11">
        <f t="shared" si="0"/>
        <v>11</v>
      </c>
      <c r="B21" s="14" t="s">
        <v>58</v>
      </c>
      <c r="C21" s="18">
        <f>'A-Revenues@Changed Rates'!C84+'A-Revenues@Changed Rates'!D84</f>
        <v>310201.82039742742</v>
      </c>
      <c r="D21" s="18">
        <f>'A-Revenues@Changed Rates'!E84+'A-Revenues@Changed Rates'!F84</f>
        <v>306400.13021854276</v>
      </c>
      <c r="E21" s="18">
        <f>'A-Revenues@Changed Rates'!G84+'A-Revenues@Changed Rates'!H84</f>
        <v>300140.91262714932</v>
      </c>
      <c r="F21" s="18">
        <f>'A-Revenues@Changed Rates'!I84+'A-Revenues@Changed Rates'!J84</f>
        <v>294643.09559427568</v>
      </c>
      <c r="G21" s="18">
        <f>'B-Revenues@Changed Rates'!C84+'B-Revenues@Changed Rates'!D84</f>
        <v>294247.13695336413</v>
      </c>
      <c r="H21" s="18">
        <f>'B-Revenues@Changed Rates'!E84+'B-Revenues@Changed Rates'!F84</f>
        <v>295734.44782614958</v>
      </c>
      <c r="I21" s="14"/>
      <c r="J21" s="11">
        <f t="shared" si="1"/>
        <v>11</v>
      </c>
    </row>
    <row r="22" spans="1:18" x14ac:dyDescent="0.3">
      <c r="A22" s="11">
        <f t="shared" si="0"/>
        <v>12</v>
      </c>
      <c r="B22" s="14"/>
      <c r="C22" s="18"/>
      <c r="D22" s="18"/>
      <c r="E22" s="18"/>
      <c r="F22" s="18"/>
      <c r="G22" s="18"/>
      <c r="H22" s="18"/>
      <c r="I22" s="14"/>
      <c r="J22" s="11">
        <f t="shared" si="1"/>
        <v>12</v>
      </c>
    </row>
    <row r="23" spans="1:18" ht="22.5" x14ac:dyDescent="0.3">
      <c r="A23" s="11">
        <f t="shared" si="0"/>
        <v>13</v>
      </c>
      <c r="B23" s="14" t="s">
        <v>59</v>
      </c>
      <c r="C23" s="22">
        <f>'A-Revenues@Changed Rates'!C86+'A-Revenues@Changed Rates'!D86</f>
        <v>1045415</v>
      </c>
      <c r="D23" s="22">
        <f>'A-Revenues@Changed Rates'!E86+'A-Revenues@Changed Rates'!F86</f>
        <v>1045415</v>
      </c>
      <c r="E23" s="22">
        <f>'A-Revenues@Changed Rates'!G86+'A-Revenues@Changed Rates'!H86</f>
        <v>1045415</v>
      </c>
      <c r="F23" s="22">
        <f>'A-Revenues@Changed Rates'!I86+'A-Revenues@Changed Rates'!J86</f>
        <v>1045415</v>
      </c>
      <c r="G23" s="22">
        <f>'B-Revenues@Changed Rates'!C86+'B-Revenues@Changed Rates'!D86</f>
        <v>1045415</v>
      </c>
      <c r="H23" s="22">
        <f>'B-Revenues@Changed Rates'!E86+'B-Revenues@Changed Rates'!F86</f>
        <v>1045415</v>
      </c>
      <c r="I23" s="24"/>
      <c r="J23" s="11">
        <f t="shared" si="1"/>
        <v>13</v>
      </c>
    </row>
    <row r="24" spans="1:18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28"/>
      <c r="J24" s="11">
        <f t="shared" si="1"/>
        <v>14</v>
      </c>
    </row>
    <row r="25" spans="1:18" x14ac:dyDescent="0.3">
      <c r="A25" s="11">
        <f t="shared" si="0"/>
        <v>15</v>
      </c>
      <c r="B25" s="19" t="s">
        <v>60</v>
      </c>
      <c r="C25" s="69">
        <f t="shared" ref="C25:H25" si="2">SUM(C11:C23)</f>
        <v>106126390.89976256</v>
      </c>
      <c r="D25" s="69">
        <f t="shared" si="2"/>
        <v>94850214.741072655</v>
      </c>
      <c r="E25" s="69">
        <f t="shared" si="2"/>
        <v>88728330.41062808</v>
      </c>
      <c r="F25" s="69">
        <f t="shared" si="2"/>
        <v>81392727.038082689</v>
      </c>
      <c r="G25" s="69">
        <f t="shared" si="2"/>
        <v>79336753.976801485</v>
      </c>
      <c r="H25" s="69">
        <f t="shared" si="2"/>
        <v>89070093.253157839</v>
      </c>
      <c r="I25" s="24"/>
      <c r="J25" s="11">
        <f t="shared" si="1"/>
        <v>15</v>
      </c>
    </row>
    <row r="26" spans="1:18" x14ac:dyDescent="0.3">
      <c r="A26" s="17"/>
      <c r="B26" s="70"/>
      <c r="C26" s="71"/>
      <c r="D26" s="72"/>
      <c r="E26" s="72"/>
      <c r="F26" s="72"/>
      <c r="G26" s="72"/>
      <c r="H26" s="72"/>
      <c r="I26" s="98"/>
      <c r="J26" s="24"/>
      <c r="R26" s="46"/>
    </row>
    <row r="27" spans="1:18" x14ac:dyDescent="0.3">
      <c r="A27" s="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8" x14ac:dyDescent="0.3">
      <c r="A28" s="146"/>
      <c r="B28" s="8"/>
      <c r="C28" s="68" t="str">
        <f t="shared" ref="C28:I28" si="3">C6</f>
        <v>(A)</v>
      </c>
      <c r="D28" s="68" t="str">
        <f t="shared" si="3"/>
        <v>(B)</v>
      </c>
      <c r="E28" s="68" t="str">
        <f t="shared" si="3"/>
        <v>(C)</v>
      </c>
      <c r="F28" s="68" t="str">
        <f t="shared" si="3"/>
        <v>(D)</v>
      </c>
      <c r="G28" s="68" t="str">
        <f t="shared" si="3"/>
        <v>(E)</v>
      </c>
      <c r="H28" s="68" t="str">
        <f t="shared" si="3"/>
        <v>(F)</v>
      </c>
      <c r="I28" s="68" t="str">
        <f t="shared" si="3"/>
        <v>(G)</v>
      </c>
      <c r="J28" s="60"/>
      <c r="K28" s="25"/>
      <c r="L28" s="25"/>
      <c r="M28" s="25"/>
      <c r="N28" s="25"/>
      <c r="O28" s="25"/>
    </row>
    <row r="29" spans="1:18" x14ac:dyDescent="0.3">
      <c r="A29" s="96"/>
      <c r="B29" s="11"/>
      <c r="C29" s="148"/>
      <c r="D29" s="150"/>
      <c r="E29" s="148"/>
      <c r="F29" s="150"/>
      <c r="G29" s="148"/>
      <c r="H29" s="151"/>
      <c r="I29" s="149"/>
      <c r="J29" s="61"/>
      <c r="K29" s="25"/>
      <c r="L29" s="25"/>
      <c r="M29" s="25"/>
      <c r="N29" s="25"/>
      <c r="O29" s="25"/>
    </row>
    <row r="30" spans="1:18" x14ac:dyDescent="0.3">
      <c r="A30" s="96" t="s">
        <v>8</v>
      </c>
      <c r="B30" s="11" t="s">
        <v>11</v>
      </c>
      <c r="C30" s="145">
        <f>'B-Billing Determinants'!C8</f>
        <v>46204</v>
      </c>
      <c r="D30" s="31">
        <f>'B-Billing Determinants'!E8</f>
        <v>46235</v>
      </c>
      <c r="E30" s="145">
        <f>'B-Billing Determinants'!G8</f>
        <v>46266</v>
      </c>
      <c r="F30" s="31">
        <f>'B-Billing Determinants'!I8</f>
        <v>46296</v>
      </c>
      <c r="G30" s="145">
        <f>'B-Billing Determinants'!K8</f>
        <v>46327</v>
      </c>
      <c r="H30" s="152">
        <f>'B-Billing Determinants'!M8</f>
        <v>46357</v>
      </c>
      <c r="I30" s="61"/>
      <c r="J30" s="61" t="s">
        <v>8</v>
      </c>
      <c r="K30" s="25"/>
      <c r="L30" s="25"/>
      <c r="M30" s="25"/>
      <c r="N30" s="25"/>
      <c r="O30" s="25"/>
    </row>
    <row r="31" spans="1:18" x14ac:dyDescent="0.3">
      <c r="A31" s="147" t="s">
        <v>10</v>
      </c>
      <c r="B31" s="17"/>
      <c r="C31" s="110"/>
      <c r="D31" s="24"/>
      <c r="E31" s="110"/>
      <c r="F31" s="24"/>
      <c r="G31" s="110"/>
      <c r="H31" s="24"/>
      <c r="I31" s="30" t="s">
        <v>61</v>
      </c>
      <c r="J31" s="95" t="s">
        <v>10</v>
      </c>
      <c r="K31" s="25"/>
      <c r="L31" s="25"/>
      <c r="M31" s="25"/>
      <c r="N31" s="25"/>
      <c r="O31" s="25"/>
    </row>
    <row r="32" spans="1:18" x14ac:dyDescent="0.3">
      <c r="A32" s="11"/>
      <c r="B32" s="11"/>
      <c r="C32" s="11"/>
      <c r="D32" s="11"/>
      <c r="E32" s="11"/>
      <c r="F32" s="11"/>
      <c r="G32" s="11"/>
      <c r="H32" s="11"/>
      <c r="I32" s="11"/>
      <c r="J32" s="8"/>
      <c r="K32" s="25"/>
      <c r="L32" s="25"/>
      <c r="M32" s="25"/>
      <c r="N32" s="25"/>
      <c r="O32" s="25"/>
    </row>
    <row r="33" spans="1:15" ht="22.5" x14ac:dyDescent="0.3">
      <c r="A33" s="11">
        <f>A25+1</f>
        <v>16</v>
      </c>
      <c r="B33" s="14" t="s">
        <v>53</v>
      </c>
      <c r="C33" s="40">
        <f>'B-Revenues@Changed Rates'!G66+'B-Revenues@Changed Rates'!H66</f>
        <v>42626922.547047451</v>
      </c>
      <c r="D33" s="40">
        <f>'B-Revenues@Changed Rates'!I66+'B-Revenues@Changed Rates'!J66</f>
        <v>56949383.322751693</v>
      </c>
      <c r="E33" s="40">
        <f>'C-Revenues@Changed Rates'!C66+'C-Revenues@Changed Rates'!D66</f>
        <v>64015623.594357558</v>
      </c>
      <c r="F33" s="40">
        <f>'C-Revenues@Changed Rates'!E66+'C-Revenues@Changed Rates'!F66</f>
        <v>46583790.175240368</v>
      </c>
      <c r="G33" s="40">
        <f>'C-Revenues@Changed Rates'!G66+'C-Revenues@Changed Rates'!H66</f>
        <v>40094561.118574187</v>
      </c>
      <c r="H33" s="40">
        <f>'C-Revenues@Changed Rates'!I66+'C-Revenues@Changed Rates'!J66</f>
        <v>47025842.858456813</v>
      </c>
      <c r="I33" s="40">
        <f>SUM(C11:H11,C33:H33)</f>
        <v>534146616.19020295</v>
      </c>
      <c r="J33" s="11">
        <f>J25+1</f>
        <v>16</v>
      </c>
      <c r="K33" s="25"/>
      <c r="L33" s="25"/>
      <c r="M33" s="25"/>
      <c r="N33" s="25"/>
      <c r="O33" s="25"/>
    </row>
    <row r="34" spans="1:15" x14ac:dyDescent="0.3">
      <c r="A34" s="11">
        <f>A33+1</f>
        <v>17</v>
      </c>
      <c r="B34" s="19"/>
      <c r="C34" s="62"/>
      <c r="D34" s="62"/>
      <c r="E34" s="62"/>
      <c r="F34" s="62"/>
      <c r="G34" s="62"/>
      <c r="H34" s="62"/>
      <c r="I34" s="62"/>
      <c r="J34" s="11">
        <f>J33+1</f>
        <v>17</v>
      </c>
      <c r="K34" s="25"/>
      <c r="L34" s="25"/>
      <c r="M34" s="25"/>
      <c r="N34" s="25"/>
      <c r="O34" s="25"/>
    </row>
    <row r="35" spans="1:15" ht="22.5" x14ac:dyDescent="0.3">
      <c r="A35" s="11">
        <f t="shared" ref="A35:A47" si="4">A34+1</f>
        <v>18</v>
      </c>
      <c r="B35" s="14" t="s">
        <v>54</v>
      </c>
      <c r="C35" s="18">
        <f>'B-Revenues@Changed Rates'!G68+'B-Revenues@Changed Rates'!H68</f>
        <v>12307033.729914039</v>
      </c>
      <c r="D35" s="18">
        <f>'B-Revenues@Changed Rates'!I68+'B-Revenues@Changed Rates'!J68</f>
        <v>12982080.890339131</v>
      </c>
      <c r="E35" s="18">
        <f>'C-Revenues@Changed Rates'!C68+'C-Revenues@Changed Rates'!D68</f>
        <v>13552576.398629326</v>
      </c>
      <c r="F35" s="18">
        <f>'C-Revenues@Changed Rates'!E68+'C-Revenues@Changed Rates'!F68</f>
        <v>11968669.903673977</v>
      </c>
      <c r="G35" s="18">
        <f>'C-Revenues@Changed Rates'!G68+'C-Revenues@Changed Rates'!H68</f>
        <v>11060720.222647592</v>
      </c>
      <c r="H35" s="18">
        <f>'C-Revenues@Changed Rates'!I68+'C-Revenues@Changed Rates'!J68</f>
        <v>11000037.601911221</v>
      </c>
      <c r="I35" s="40">
        <f>SUM(C13:H13,C35:H35)</f>
        <v>138296148.88252929</v>
      </c>
      <c r="J35" s="11">
        <f t="shared" ref="J35:J47" si="5">J34+1</f>
        <v>18</v>
      </c>
      <c r="K35" s="25"/>
      <c r="L35" s="25"/>
      <c r="M35" s="25"/>
      <c r="N35" s="25"/>
      <c r="O35" s="25"/>
    </row>
    <row r="36" spans="1:15" x14ac:dyDescent="0.3">
      <c r="A36" s="11">
        <f t="shared" si="4"/>
        <v>19</v>
      </c>
      <c r="B36" s="21"/>
      <c r="C36" s="27"/>
      <c r="D36" s="27"/>
      <c r="E36" s="27"/>
      <c r="F36" s="27"/>
      <c r="G36" s="27"/>
      <c r="H36" s="27"/>
      <c r="I36" s="18"/>
      <c r="J36" s="11">
        <f t="shared" si="5"/>
        <v>19</v>
      </c>
      <c r="K36" s="25"/>
      <c r="L36" s="25"/>
      <c r="M36" s="25"/>
      <c r="N36" s="25"/>
      <c r="O36" s="25"/>
    </row>
    <row r="37" spans="1:15" ht="22.5" x14ac:dyDescent="0.3">
      <c r="A37" s="11">
        <f t="shared" si="4"/>
        <v>20</v>
      </c>
      <c r="B37" s="14" t="s">
        <v>55</v>
      </c>
      <c r="C37" s="18">
        <f>'B-Revenues@Changed Rates'!G70+SUM('B-Revenues@Changed Rates'!H71:H74)</f>
        <v>48262913.561489493</v>
      </c>
      <c r="D37" s="18">
        <f>'B-Revenues@Changed Rates'!I70+SUM('B-Revenues@Changed Rates'!J71:J74)</f>
        <v>49967038.892689653</v>
      </c>
      <c r="E37" s="18">
        <f>'C-Revenues@Changed Rates'!C70+SUM('C-Revenues@Changed Rates'!D71:D74)</f>
        <v>51999840.735126935</v>
      </c>
      <c r="F37" s="18">
        <f>'C-Revenues@Changed Rates'!E70+SUM('C-Revenues@Changed Rates'!F71:F74)</f>
        <v>47734257.681105912</v>
      </c>
      <c r="G37" s="18">
        <f>'C-Revenues@Changed Rates'!G70+SUM('C-Revenues@Changed Rates'!H71:H74)</f>
        <v>37925587.901841834</v>
      </c>
      <c r="H37" s="18">
        <f>'C-Revenues@Changed Rates'!I70+SUM('C-Revenues@Changed Rates'!J71:J74)</f>
        <v>39644425.401921004</v>
      </c>
      <c r="I37" s="40">
        <f>SUM(C15:H15,C37:H37)</f>
        <v>499052145.77231836</v>
      </c>
      <c r="J37" s="11">
        <f t="shared" si="5"/>
        <v>20</v>
      </c>
      <c r="K37" s="25"/>
      <c r="L37" s="25"/>
      <c r="M37" s="25"/>
      <c r="N37" s="25"/>
      <c r="O37" s="25"/>
    </row>
    <row r="38" spans="1:15" x14ac:dyDescent="0.3">
      <c r="A38" s="11">
        <f t="shared" si="4"/>
        <v>21</v>
      </c>
      <c r="B38" s="14"/>
      <c r="C38" s="18"/>
      <c r="D38" s="18"/>
      <c r="E38" s="18"/>
      <c r="F38" s="18"/>
      <c r="G38" s="18"/>
      <c r="H38" s="18"/>
      <c r="I38" s="40"/>
      <c r="J38" s="11">
        <f t="shared" si="5"/>
        <v>21</v>
      </c>
      <c r="K38" s="25"/>
      <c r="L38" s="25"/>
      <c r="M38" s="25"/>
      <c r="N38" s="25"/>
      <c r="O38" s="25"/>
    </row>
    <row r="39" spans="1:15" ht="22.5" x14ac:dyDescent="0.3">
      <c r="A39" s="11">
        <f t="shared" si="4"/>
        <v>22</v>
      </c>
      <c r="B39" s="127" t="s">
        <v>56</v>
      </c>
      <c r="C39" s="18">
        <f>'B-Revenues@Changed Rates'!G76+SUM('B-Revenues@Changed Rates'!H77:H78)</f>
        <v>11186.999999999998</v>
      </c>
      <c r="D39" s="18">
        <f>'B-Revenues@Changed Rates'!I76+SUM('B-Revenues@Changed Rates'!J77:J78)</f>
        <v>8000</v>
      </c>
      <c r="E39" s="18">
        <f>'C-Revenues@Changed Rates'!C76+SUM('C-Revenues@Changed Rates'!D77:D78)</f>
        <v>9040</v>
      </c>
      <c r="F39" s="18">
        <f>'C-Revenues@Changed Rates'!E76+SUM('C-Revenues@Changed Rates'!F77:F78)</f>
        <v>19097</v>
      </c>
      <c r="G39" s="18">
        <f>'C-Revenues@Changed Rates'!G76+SUM('C-Revenues@Changed Rates'!H77:H78)</f>
        <v>36495.199999999997</v>
      </c>
      <c r="H39" s="18">
        <f>'C-Revenues@Changed Rates'!I76+SUM('C-Revenues@Changed Rates'!J77:J78)</f>
        <v>11073.999999999998</v>
      </c>
      <c r="I39" s="40">
        <f t="shared" ref="I39" si="6">SUM(C17:H17,C39:H39)</f>
        <v>181790.2</v>
      </c>
      <c r="J39" s="11">
        <f t="shared" si="5"/>
        <v>22</v>
      </c>
      <c r="K39" s="25"/>
      <c r="L39" s="25"/>
      <c r="M39" s="25"/>
      <c r="N39" s="25"/>
      <c r="O39" s="25"/>
    </row>
    <row r="40" spans="1:15" x14ac:dyDescent="0.3">
      <c r="A40" s="11">
        <f t="shared" si="4"/>
        <v>23</v>
      </c>
      <c r="B40" s="14"/>
      <c r="C40" s="18"/>
      <c r="D40" s="18"/>
      <c r="E40" s="18"/>
      <c r="F40" s="18"/>
      <c r="G40" s="18"/>
      <c r="H40" s="18"/>
      <c r="I40" s="18"/>
      <c r="J40" s="11">
        <f t="shared" si="5"/>
        <v>23</v>
      </c>
      <c r="K40" s="25"/>
      <c r="L40" s="25"/>
      <c r="M40" s="25"/>
      <c r="N40" s="25"/>
      <c r="O40" s="25"/>
    </row>
    <row r="41" spans="1:15" ht="22.5" x14ac:dyDescent="0.3">
      <c r="A41" s="11">
        <f t="shared" si="4"/>
        <v>24</v>
      </c>
      <c r="B41" s="14" t="s">
        <v>57</v>
      </c>
      <c r="C41" s="18">
        <f>'B-Revenues@Changed Rates'!G81+'B-Revenues@Changed Rates'!H82</f>
        <v>1332360.0697108665</v>
      </c>
      <c r="D41" s="18">
        <f>'B-Revenues@Changed Rates'!I81+'B-Revenues@Changed Rates'!J82</f>
        <v>1392886.5048164958</v>
      </c>
      <c r="E41" s="18">
        <f>'C-Revenues@Changed Rates'!C81+'C-Revenues@Changed Rates'!D82</f>
        <v>1376191.9258968774</v>
      </c>
      <c r="F41" s="18">
        <f>'C-Revenues@Changed Rates'!E81+'C-Revenues@Changed Rates'!F82</f>
        <v>1302086.1128568056</v>
      </c>
      <c r="G41" s="18">
        <f>'C-Revenues@Changed Rates'!G81+'C-Revenues@Changed Rates'!H82</f>
        <v>1145261.5550045865</v>
      </c>
      <c r="H41" s="18">
        <f>'C-Revenues@Changed Rates'!I81+'C-Revenues@Changed Rates'!J82</f>
        <v>1054495.5467858396</v>
      </c>
      <c r="I41" s="40">
        <f>SUM(C19:H19,C41:H41)</f>
        <v>13153433.183627509</v>
      </c>
      <c r="J41" s="11">
        <f t="shared" si="5"/>
        <v>24</v>
      </c>
      <c r="K41" s="25"/>
      <c r="L41" s="25"/>
      <c r="M41" s="25"/>
      <c r="N41" s="25"/>
      <c r="O41" s="25"/>
    </row>
    <row r="42" spans="1:15" x14ac:dyDescent="0.3">
      <c r="A42" s="11">
        <f t="shared" si="4"/>
        <v>25</v>
      </c>
      <c r="B42" s="14"/>
      <c r="C42" s="18"/>
      <c r="D42" s="18"/>
      <c r="E42" s="18"/>
      <c r="F42" s="18"/>
      <c r="G42" s="18"/>
      <c r="H42" s="18"/>
      <c r="I42" s="18"/>
      <c r="J42" s="11">
        <f t="shared" si="5"/>
        <v>25</v>
      </c>
      <c r="K42" s="25"/>
      <c r="L42" s="25"/>
      <c r="M42" s="25"/>
      <c r="N42" s="25"/>
      <c r="O42" s="25"/>
    </row>
    <row r="43" spans="1:15" ht="22.5" x14ac:dyDescent="0.3">
      <c r="A43" s="11">
        <f t="shared" si="4"/>
        <v>26</v>
      </c>
      <c r="B43" s="14" t="s">
        <v>58</v>
      </c>
      <c r="C43" s="18">
        <f>'B-Revenues@Changed Rates'!G84+'B-Revenues@Changed Rates'!H84</f>
        <v>293863.78179800865</v>
      </c>
      <c r="D43" s="18">
        <f>'B-Revenues@Changed Rates'!I84+'B-Revenues@Changed Rates'!J84</f>
        <v>300906.31850396754</v>
      </c>
      <c r="E43" s="18">
        <f>'C-Revenues@Changed Rates'!C84+'C-Revenues@Changed Rates'!D84</f>
        <v>297158.02631618356</v>
      </c>
      <c r="F43" s="18">
        <f>'C-Revenues@Changed Rates'!E84+'C-Revenues@Changed Rates'!F84</f>
        <v>298436.53863512626</v>
      </c>
      <c r="G43" s="18">
        <f>'C-Revenues@Changed Rates'!G84+'C-Revenues@Changed Rates'!H84</f>
        <v>313277.21126290306</v>
      </c>
      <c r="H43" s="18">
        <f>'C-Revenues@Changed Rates'!I84+'C-Revenues@Changed Rates'!J84</f>
        <v>314112.01526303217</v>
      </c>
      <c r="I43" s="40">
        <f>SUM(C21:H21,C43:H43)</f>
        <v>3619121.4353961307</v>
      </c>
      <c r="J43" s="11">
        <f t="shared" si="5"/>
        <v>26</v>
      </c>
      <c r="K43" s="25"/>
      <c r="L43" s="25"/>
      <c r="M43" s="25"/>
      <c r="N43" s="25"/>
      <c r="O43" s="25"/>
    </row>
    <row r="44" spans="1:15" x14ac:dyDescent="0.3">
      <c r="A44" s="11">
        <f t="shared" si="4"/>
        <v>27</v>
      </c>
      <c r="B44" s="14"/>
      <c r="C44" s="18"/>
      <c r="D44" s="18"/>
      <c r="E44" s="18"/>
      <c r="F44" s="18"/>
      <c r="G44" s="18"/>
      <c r="H44" s="18"/>
      <c r="I44" s="18"/>
      <c r="J44" s="11">
        <f t="shared" si="5"/>
        <v>27</v>
      </c>
      <c r="K44" s="25"/>
      <c r="L44" s="25"/>
      <c r="M44" s="25"/>
      <c r="N44" s="25"/>
      <c r="O44" s="25"/>
    </row>
    <row r="45" spans="1:15" ht="22.5" x14ac:dyDescent="0.3">
      <c r="A45" s="11">
        <f t="shared" si="4"/>
        <v>28</v>
      </c>
      <c r="B45" s="14" t="s">
        <v>59</v>
      </c>
      <c r="C45" s="22">
        <f>'B-Revenues@Changed Rates'!G86+'B-Revenues@Changed Rates'!H86</f>
        <v>1045415</v>
      </c>
      <c r="D45" s="22">
        <f>'B-Revenues@Changed Rates'!I86+'B-Revenues@Changed Rates'!J86</f>
        <v>1045415</v>
      </c>
      <c r="E45" s="22">
        <f>'C-Revenues@Changed Rates'!C86+'C-Revenues@Changed Rates'!D86</f>
        <v>1045415</v>
      </c>
      <c r="F45" s="22">
        <f>'C-Revenues@Changed Rates'!E86+'C-Revenues@Changed Rates'!F86</f>
        <v>1045415</v>
      </c>
      <c r="G45" s="22">
        <f>'C-Revenues@Changed Rates'!G86+'C-Revenues@Changed Rates'!H86</f>
        <v>1045415</v>
      </c>
      <c r="H45" s="22">
        <f>'C-Revenues@Changed Rates'!I86+'C-Revenues@Changed Rates'!J86</f>
        <v>1045415</v>
      </c>
      <c r="I45" s="82">
        <f>SUM(C23:H23,C45:H45)</f>
        <v>12544980</v>
      </c>
      <c r="J45" s="11">
        <f t="shared" si="5"/>
        <v>28</v>
      </c>
      <c r="K45" s="25"/>
      <c r="L45" s="25"/>
      <c r="M45" s="25"/>
      <c r="N45" s="25"/>
      <c r="O45" s="25"/>
    </row>
    <row r="46" spans="1:15" x14ac:dyDescent="0.3">
      <c r="A46" s="11">
        <f t="shared" si="4"/>
        <v>29</v>
      </c>
      <c r="B46" s="14"/>
      <c r="C46" s="18"/>
      <c r="D46" s="18"/>
      <c r="E46" s="18"/>
      <c r="F46" s="18"/>
      <c r="G46" s="18"/>
      <c r="H46" s="18"/>
      <c r="I46" s="18"/>
      <c r="J46" s="11">
        <f t="shared" si="5"/>
        <v>29</v>
      </c>
      <c r="K46" s="25"/>
      <c r="L46" s="25"/>
      <c r="M46" s="25"/>
      <c r="N46" s="25"/>
      <c r="O46" s="25"/>
    </row>
    <row r="47" spans="1:15" x14ac:dyDescent="0.3">
      <c r="A47" s="11">
        <f t="shared" si="4"/>
        <v>30</v>
      </c>
      <c r="B47" s="19" t="s">
        <v>60</v>
      </c>
      <c r="C47" s="69">
        <f t="shared" ref="C47:I47" si="7">SUM(C33:C45)</f>
        <v>105879695.68995985</v>
      </c>
      <c r="D47" s="69">
        <f t="shared" si="7"/>
        <v>122645710.92910095</v>
      </c>
      <c r="E47" s="69">
        <f t="shared" si="7"/>
        <v>132295845.68032689</v>
      </c>
      <c r="F47" s="69">
        <f t="shared" si="7"/>
        <v>108951752.41151218</v>
      </c>
      <c r="G47" s="69">
        <f t="shared" si="7"/>
        <v>91621318.209331095</v>
      </c>
      <c r="H47" s="69">
        <f t="shared" si="7"/>
        <v>100095402.42433792</v>
      </c>
      <c r="I47" s="69">
        <f t="shared" si="7"/>
        <v>1200994235.6640744</v>
      </c>
      <c r="J47" s="11">
        <f t="shared" si="5"/>
        <v>30</v>
      </c>
      <c r="K47" s="25"/>
      <c r="L47" s="25"/>
      <c r="M47" s="25"/>
      <c r="N47" s="25"/>
      <c r="O47" s="25"/>
    </row>
    <row r="48" spans="1:15" x14ac:dyDescent="0.3">
      <c r="A48" s="17"/>
      <c r="B48" s="70"/>
      <c r="C48" s="72"/>
      <c r="D48" s="72"/>
      <c r="E48" s="72"/>
      <c r="F48" s="72"/>
      <c r="G48" s="72"/>
      <c r="H48" s="72"/>
      <c r="I48" s="73"/>
      <c r="J48" s="24"/>
      <c r="K48" s="25"/>
      <c r="L48" s="25"/>
      <c r="M48" s="25"/>
      <c r="N48" s="25"/>
      <c r="O48" s="25"/>
    </row>
    <row r="49" spans="1:15" x14ac:dyDescent="0.3">
      <c r="A49" s="74"/>
      <c r="B49" s="25" t="s">
        <v>46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75"/>
    </row>
    <row r="50" spans="1:15" ht="22.5" x14ac:dyDescent="0.3">
      <c r="A50" s="76">
        <v>1</v>
      </c>
      <c r="B50" s="1" t="s">
        <v>62</v>
      </c>
      <c r="C50" s="77">
        <v>4</v>
      </c>
      <c r="D50" s="1" t="s">
        <v>63</v>
      </c>
    </row>
    <row r="51" spans="1:15" ht="22.5" x14ac:dyDescent="0.3">
      <c r="A51" s="76">
        <v>2</v>
      </c>
      <c r="B51" s="1" t="s">
        <v>64</v>
      </c>
      <c r="C51" s="76">
        <v>5</v>
      </c>
      <c r="D51" s="1" t="s">
        <v>447</v>
      </c>
    </row>
    <row r="52" spans="1:15" ht="22.5" x14ac:dyDescent="0.3">
      <c r="A52" s="77">
        <v>3</v>
      </c>
      <c r="B52" s="1" t="s">
        <v>65</v>
      </c>
      <c r="C52" s="76">
        <v>6</v>
      </c>
      <c r="D52" s="1" t="s">
        <v>66</v>
      </c>
    </row>
    <row r="53" spans="1:15" ht="22.5" x14ac:dyDescent="0.3">
      <c r="C53" s="76">
        <v>7</v>
      </c>
      <c r="D53" s="1" t="s">
        <v>67</v>
      </c>
    </row>
    <row r="55" spans="1:15" x14ac:dyDescent="0.3">
      <c r="A55" s="7"/>
    </row>
    <row r="56" spans="1:15" x14ac:dyDescent="0.3">
      <c r="A56" s="7"/>
    </row>
    <row r="57" spans="1:15" x14ac:dyDescent="0.3">
      <c r="A57" s="7"/>
    </row>
    <row r="58" spans="1:15" x14ac:dyDescent="0.3">
      <c r="A58" s="7"/>
    </row>
    <row r="59" spans="1:15" x14ac:dyDescent="0.3">
      <c r="A59" s="7"/>
    </row>
    <row r="60" spans="1:15" x14ac:dyDescent="0.3">
      <c r="A60" s="7"/>
    </row>
    <row r="61" spans="1:15" x14ac:dyDescent="0.3">
      <c r="A61" s="7"/>
    </row>
    <row r="62" spans="1:15" x14ac:dyDescent="0.3">
      <c r="A62" s="7"/>
    </row>
    <row r="63" spans="1:15" x14ac:dyDescent="0.3">
      <c r="A63" s="7"/>
    </row>
    <row r="64" spans="1:15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</sheetData>
  <mergeCells count="4">
    <mergeCell ref="A4:J4"/>
    <mergeCell ref="A1:J1"/>
    <mergeCell ref="A2:J2"/>
    <mergeCell ref="A3:J3"/>
  </mergeCells>
  <phoneticPr fontId="0" type="noConversion"/>
  <printOptions horizontalCentered="1"/>
  <pageMargins left="0.25" right="0.25" top="0.5" bottom="0.5" header="0.25" footer="0.25"/>
  <pageSetup scale="51" orientation="landscape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:G139"/>
  <sheetViews>
    <sheetView zoomScale="75" zoomScaleNormal="75" zoomScaleSheetLayoutView="70" workbookViewId="0">
      <selection activeCell="A6" sqref="A6"/>
    </sheetView>
  </sheetViews>
  <sheetFormatPr defaultColWidth="9.140625" defaultRowHeight="18.75" x14ac:dyDescent="0.3"/>
  <cols>
    <col min="1" max="1" width="6" style="1" bestFit="1" customWidth="1"/>
    <col min="2" max="2" width="100.42578125" style="1" customWidth="1"/>
    <col min="3" max="4" width="35.5703125" style="1" customWidth="1"/>
    <col min="5" max="5" width="6" style="1" bestFit="1" customWidth="1"/>
    <col min="6" max="6" width="9.140625" style="1"/>
    <col min="7" max="7" width="21.85546875" style="1" bestFit="1" customWidth="1"/>
    <col min="8" max="16384" width="9.140625" style="1"/>
  </cols>
  <sheetData>
    <row r="1" spans="1:7" x14ac:dyDescent="0.3">
      <c r="A1" s="426" t="str">
        <f>'Comparison of Revenues'!A1:H1</f>
        <v>Statement BG</v>
      </c>
      <c r="B1" s="426"/>
      <c r="C1" s="426"/>
      <c r="D1" s="426"/>
      <c r="E1" s="426"/>
    </row>
    <row r="2" spans="1:7" x14ac:dyDescent="0.3">
      <c r="A2" s="426" t="str">
        <f>'Comparison of Revenues'!A2:H2</f>
        <v>SAN DIEGO GAS AND ELECTRIC COMPANY</v>
      </c>
      <c r="B2" s="426"/>
      <c r="C2" s="426"/>
      <c r="D2" s="426"/>
      <c r="E2" s="426"/>
    </row>
    <row r="3" spans="1:7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</row>
    <row r="4" spans="1:7" x14ac:dyDescent="0.3">
      <c r="A4" s="425" t="str">
        <f>'A-Billing Determinants'!A4:O4</f>
        <v>Billing Determinants</v>
      </c>
      <c r="B4" s="426"/>
      <c r="C4" s="426"/>
      <c r="D4" s="426"/>
      <c r="E4" s="426"/>
    </row>
    <row r="5" spans="1:7" x14ac:dyDescent="0.3">
      <c r="A5" s="425" t="s">
        <v>461</v>
      </c>
      <c r="B5" s="425"/>
      <c r="C5" s="425"/>
      <c r="D5" s="425"/>
      <c r="E5" s="425"/>
    </row>
    <row r="6" spans="1:7" x14ac:dyDescent="0.3">
      <c r="A6" s="7"/>
    </row>
    <row r="7" spans="1:7" x14ac:dyDescent="0.3">
      <c r="A7" s="8"/>
      <c r="B7" s="8"/>
      <c r="C7" s="9" t="s">
        <v>109</v>
      </c>
      <c r="D7" s="10"/>
      <c r="E7" s="8"/>
    </row>
    <row r="8" spans="1:7" x14ac:dyDescent="0.3">
      <c r="A8" s="11"/>
      <c r="B8" s="11"/>
      <c r="C8" s="12" t="s">
        <v>380</v>
      </c>
      <c r="D8" s="13"/>
      <c r="E8" s="11"/>
    </row>
    <row r="9" spans="1:7" ht="22.5" x14ac:dyDescent="0.3">
      <c r="A9" s="11" t="s">
        <v>8</v>
      </c>
      <c r="B9" s="14"/>
      <c r="C9" s="15" t="s">
        <v>365</v>
      </c>
      <c r="D9" s="16"/>
      <c r="E9" s="11" t="s">
        <v>8</v>
      </c>
    </row>
    <row r="10" spans="1:7" x14ac:dyDescent="0.3">
      <c r="A10" s="17" t="s">
        <v>10</v>
      </c>
      <c r="B10" s="17" t="s">
        <v>11</v>
      </c>
      <c r="C10" s="17" t="s">
        <v>69</v>
      </c>
      <c r="D10" s="17" t="s">
        <v>70</v>
      </c>
      <c r="E10" s="17" t="s">
        <v>10</v>
      </c>
    </row>
    <row r="11" spans="1:7" x14ac:dyDescent="0.3">
      <c r="A11" s="8"/>
      <c r="B11" s="8"/>
      <c r="C11" s="8"/>
      <c r="D11" s="8"/>
      <c r="E11" s="8"/>
    </row>
    <row r="12" spans="1:7" x14ac:dyDescent="0.3">
      <c r="A12" s="11">
        <v>1</v>
      </c>
      <c r="B12" s="14" t="str">
        <f>'A-Revenues@Changed Rates'!B11</f>
        <v>Residential</v>
      </c>
      <c r="C12" s="18">
        <f>'A-Billing Determinants'!C12+'A-Billing Determinants'!E12+'A-Billing Determinants'!G12+'A-Billing Determinants'!I12+'A-Billing Determinants'!K12+'A-Billing Determinants'!M12+'B-Billing Determinants'!C12+'B-Billing Determinants'!E12+'B-Billing Determinants'!G12+'B-Billing Determinants'!I12+'B-Billing Determinants'!K12+'B-Billing Determinants'!M12</f>
        <v>5139484424.0373611</v>
      </c>
      <c r="D12" s="18">
        <f>'A-Billing Determinants'!D12+'A-Billing Determinants'!F12+'A-Billing Determinants'!H12+'A-Billing Determinants'!J12+'A-Billing Determinants'!L12+'A-Billing Determinants'!N12+'B-Billing Determinants'!D12+'B-Billing Determinants'!F12+'B-Billing Determinants'!H12+'B-Billing Determinants'!J12+'B-Billing Determinants'!L12+'B-Billing Determinants'!N12</f>
        <v>0</v>
      </c>
      <c r="E12" s="11">
        <v>1</v>
      </c>
      <c r="G12" s="392"/>
    </row>
    <row r="13" spans="1:7" x14ac:dyDescent="0.3">
      <c r="A13" s="11">
        <f>A12+1</f>
        <v>2</v>
      </c>
      <c r="B13" s="19"/>
      <c r="C13" s="20"/>
      <c r="D13" s="20"/>
      <c r="E13" s="11">
        <f>E12+1</f>
        <v>2</v>
      </c>
    </row>
    <row r="14" spans="1:7" x14ac:dyDescent="0.3">
      <c r="A14" s="11">
        <f t="shared" ref="A14:A36" si="0">A13+1</f>
        <v>3</v>
      </c>
      <c r="B14" s="14" t="str">
        <f>'A-Revenues@Changed Rates'!B13</f>
        <v xml:space="preserve">Small Commercial </v>
      </c>
      <c r="C14" s="18">
        <f>'A-Billing Determinants'!C14+'A-Billing Determinants'!E14+'A-Billing Determinants'!G14+'A-Billing Determinants'!I14+'A-Billing Determinants'!K14+'A-Billing Determinants'!M14+'B-Billing Determinants'!C14+'B-Billing Determinants'!E14+'B-Billing Determinants'!G14+'B-Billing Determinants'!I14+'B-Billing Determinants'!K14+'B-Billing Determinants'!M14</f>
        <v>2442100457.0462527</v>
      </c>
      <c r="D14" s="18">
        <f>'A-Billing Determinants'!D14+'A-Billing Determinants'!F14+'A-Billing Determinants'!H14+'A-Billing Determinants'!J14+'A-Billing Determinants'!L14+'A-Billing Determinants'!N14+'B-Billing Determinants'!D14+'B-Billing Determinants'!F14+'B-Billing Determinants'!H14+'B-Billing Determinants'!J14+'B-Billing Determinants'!L14+'B-Billing Determinants'!N14</f>
        <v>0</v>
      </c>
      <c r="E14" s="11">
        <f t="shared" ref="E14:E36" si="1">E13+1</f>
        <v>3</v>
      </c>
      <c r="G14" s="392"/>
    </row>
    <row r="15" spans="1:7" x14ac:dyDescent="0.3">
      <c r="A15" s="11">
        <f t="shared" si="0"/>
        <v>4</v>
      </c>
      <c r="B15" s="21"/>
      <c r="C15" s="18"/>
      <c r="D15" s="18"/>
      <c r="E15" s="11">
        <f t="shared" si="1"/>
        <v>4</v>
      </c>
    </row>
    <row r="16" spans="1:7" x14ac:dyDescent="0.3">
      <c r="A16" s="11">
        <f t="shared" si="0"/>
        <v>5</v>
      </c>
      <c r="B16" s="14" t="str">
        <f>'A-Revenues@Changed Rates'!B15</f>
        <v xml:space="preserve">Medium and Large Commercial/Industrial </v>
      </c>
      <c r="C16" s="18">
        <f>'A-Billing Determinants'!C16+'A-Billing Determinants'!E16+'A-Billing Determinants'!G16+'A-Billing Determinants'!I16+'A-Billing Determinants'!K16+'A-Billing Determinants'!M16+'B-Billing Determinants'!C16+'B-Billing Determinants'!E16+'B-Billing Determinants'!G16+'B-Billing Determinants'!I16+'B-Billing Determinants'!K16+'B-Billing Determinants'!M16</f>
        <v>8982347254.9090309</v>
      </c>
      <c r="D16" s="18"/>
      <c r="E16" s="11">
        <f t="shared" si="1"/>
        <v>5</v>
      </c>
      <c r="G16" s="392"/>
    </row>
    <row r="17" spans="1:7" ht="22.5" x14ac:dyDescent="0.3">
      <c r="A17" s="11">
        <f t="shared" si="0"/>
        <v>6</v>
      </c>
      <c r="B17" s="14" t="s">
        <v>381</v>
      </c>
      <c r="C17" s="18"/>
      <c r="D17" s="18">
        <f>'A-Billing Determinants'!D17+'A-Billing Determinants'!F17+'A-Billing Determinants'!H17+'A-Billing Determinants'!J17+'A-Billing Determinants'!L17+'A-Billing Determinants'!N17+'B-Billing Determinants'!D17+'B-Billing Determinants'!F17+'B-Billing Determinants'!H17+'B-Billing Determinants'!J17+'B-Billing Determinants'!L17+'B-Billing Determinants'!N17</f>
        <v>0</v>
      </c>
      <c r="E17" s="11">
        <f t="shared" si="1"/>
        <v>6</v>
      </c>
    </row>
    <row r="18" spans="1:7" ht="22.5" x14ac:dyDescent="0.3">
      <c r="A18" s="11">
        <f t="shared" si="0"/>
        <v>7</v>
      </c>
      <c r="B18" s="14" t="s">
        <v>368</v>
      </c>
      <c r="C18" s="18"/>
      <c r="D18" s="18">
        <f>'A-Billing Determinants'!D18+'A-Billing Determinants'!F18+'A-Billing Determinants'!H18+'A-Billing Determinants'!J18+'A-Billing Determinants'!L18+'A-Billing Determinants'!N18+'B-Billing Determinants'!D18+'B-Billing Determinants'!F18+'B-Billing Determinants'!H18+'B-Billing Determinants'!J18+'B-Billing Determinants'!L18+'B-Billing Determinants'!N18</f>
        <v>21510546.86509084</v>
      </c>
      <c r="E18" s="11">
        <f t="shared" si="1"/>
        <v>7</v>
      </c>
      <c r="G18" s="216"/>
    </row>
    <row r="19" spans="1:7" ht="22.5" x14ac:dyDescent="0.3">
      <c r="A19" s="11">
        <f t="shared" si="0"/>
        <v>8</v>
      </c>
      <c r="B19" s="14" t="s">
        <v>369</v>
      </c>
      <c r="C19" s="47"/>
      <c r="D19" s="47">
        <f>'A-Billing Determinants'!D19+'A-Billing Determinants'!F19+'A-Billing Determinants'!H19+'A-Billing Determinants'!J19+'A-Billing Determinants'!L19+'A-Billing Determinants'!N19+'B-Billing Determinants'!D19+'B-Billing Determinants'!F19+'B-Billing Determinants'!H19+'B-Billing Determinants'!J19+'B-Billing Determinants'!L19+'B-Billing Determinants'!N19</f>
        <v>18531508.692553815</v>
      </c>
      <c r="E19" s="11">
        <f t="shared" si="1"/>
        <v>8</v>
      </c>
      <c r="G19" s="216"/>
    </row>
    <row r="20" spans="1:7" ht="22.5" x14ac:dyDescent="0.3">
      <c r="A20" s="11">
        <f t="shared" si="0"/>
        <v>9</v>
      </c>
      <c r="B20" s="19" t="s">
        <v>370</v>
      </c>
      <c r="C20" s="47"/>
      <c r="D20" s="47">
        <f>'A-Billing Determinants'!D20+'A-Billing Determinants'!F20+'A-Billing Determinants'!H20+'A-Billing Determinants'!J20+'A-Billing Determinants'!L20+'A-Billing Determinants'!N20+'B-Billing Determinants'!D20+'B-Billing Determinants'!F20+'B-Billing Determinants'!H20+'B-Billing Determinants'!J20+'B-Billing Determinants'!L20+'B-Billing Determinants'!N20</f>
        <v>1634929.4455964067</v>
      </c>
      <c r="E20" s="11">
        <f t="shared" si="1"/>
        <v>9</v>
      </c>
      <c r="G20" s="216"/>
    </row>
    <row r="21" spans="1:7" x14ac:dyDescent="0.3">
      <c r="A21" s="11">
        <f t="shared" si="0"/>
        <v>10</v>
      </c>
      <c r="B21" s="14"/>
      <c r="C21" s="18"/>
      <c r="D21" s="18"/>
      <c r="E21" s="11">
        <f t="shared" si="1"/>
        <v>10</v>
      </c>
      <c r="G21" s="391"/>
    </row>
    <row r="22" spans="1:7" x14ac:dyDescent="0.3">
      <c r="A22" s="11">
        <f t="shared" si="0"/>
        <v>11</v>
      </c>
      <c r="B22" s="127" t="s">
        <v>26</v>
      </c>
      <c r="C22" s="18">
        <f>'A-Billing Determinants'!C24+'A-Billing Determinants'!E24+'A-Billing Determinants'!G24+'A-Billing Determinants'!I24+'A-Billing Determinants'!K24+'A-Billing Determinants'!M24+'B-Billing Determinants'!C24+'B-Billing Determinants'!E24+'B-Billing Determinants'!G24+'B-Billing Determinants'!I24+'B-Billing Determinants'!K24+'B-Billing Determinants'!M24</f>
        <v>4208810</v>
      </c>
      <c r="D22" s="18"/>
      <c r="E22" s="11">
        <f t="shared" si="1"/>
        <v>11</v>
      </c>
      <c r="G22" s="391"/>
    </row>
    <row r="23" spans="1:7" ht="22.5" x14ac:dyDescent="0.3">
      <c r="A23" s="11">
        <f t="shared" si="0"/>
        <v>12</v>
      </c>
      <c r="B23" s="14" t="s">
        <v>368</v>
      </c>
      <c r="C23" s="18"/>
      <c r="D23" s="18">
        <f>'A-Billing Determinants'!D25+'A-Billing Determinants'!F25+'A-Billing Determinants'!H25+'A-Billing Determinants'!J25+'A-Billing Determinants'!L25+'A-Billing Determinants'!N25+'B-Billing Determinants'!D25+'B-Billing Determinants'!F25+'B-Billing Determinants'!H25+'B-Billing Determinants'!J25+'B-Billing Determinants'!L25+'B-Billing Determinants'!N25</f>
        <v>146100</v>
      </c>
      <c r="E23" s="11">
        <f t="shared" si="1"/>
        <v>12</v>
      </c>
    </row>
    <row r="24" spans="1:7" ht="22.5" x14ac:dyDescent="0.3">
      <c r="A24" s="11">
        <f t="shared" si="0"/>
        <v>13</v>
      </c>
      <c r="B24" s="19" t="s">
        <v>373</v>
      </c>
      <c r="C24" s="18"/>
      <c r="D24" s="18">
        <f>'A-Billing Determinants'!D26+'A-Billing Determinants'!F26+'A-Billing Determinants'!H26+'A-Billing Determinants'!J26+'A-Billing Determinants'!L26+'A-Billing Determinants'!N26+'B-Billing Determinants'!D26+'B-Billing Determinants'!F26+'B-Billing Determinants'!H26+'B-Billing Determinants'!J26+'B-Billing Determinants'!L26+'B-Billing Determinants'!N26</f>
        <v>7580</v>
      </c>
      <c r="E24" s="11">
        <f t="shared" si="1"/>
        <v>13</v>
      </c>
    </row>
    <row r="25" spans="1:7" x14ac:dyDescent="0.3">
      <c r="A25" s="11">
        <f t="shared" si="0"/>
        <v>14</v>
      </c>
      <c r="B25" s="14"/>
      <c r="C25" s="18"/>
      <c r="D25" s="18"/>
      <c r="E25" s="11">
        <f t="shared" si="1"/>
        <v>14</v>
      </c>
    </row>
    <row r="26" spans="1:7" x14ac:dyDescent="0.3">
      <c r="A26" s="11">
        <f t="shared" si="0"/>
        <v>15</v>
      </c>
      <c r="B26" s="14" t="s">
        <v>78</v>
      </c>
      <c r="C26" s="18"/>
      <c r="D26" s="18"/>
      <c r="E26" s="11">
        <f t="shared" si="1"/>
        <v>15</v>
      </c>
    </row>
    <row r="27" spans="1:7" x14ac:dyDescent="0.3">
      <c r="A27" s="11">
        <f t="shared" si="0"/>
        <v>16</v>
      </c>
      <c r="B27" s="14" t="s">
        <v>79</v>
      </c>
      <c r="C27" s="18">
        <f>'A-Billing Determinants'!C29+'A-Billing Determinants'!E29+'A-Billing Determinants'!G29+'A-Billing Determinants'!I29+'A-Billing Determinants'!K29+'A-Billing Determinants'!M29+'B-Billing Determinants'!C29+'B-Billing Determinants'!E29+'B-Billing Determinants'!G29+'B-Billing Determinants'!I29+'B-Billing Determinants'!K29+'B-Billing Determinants'!M29</f>
        <v>164394714.88519129</v>
      </c>
      <c r="D27" s="18"/>
      <c r="E27" s="11">
        <f t="shared" si="1"/>
        <v>16</v>
      </c>
      <c r="G27" s="247"/>
    </row>
    <row r="28" spans="1:7" ht="22.5" x14ac:dyDescent="0.3">
      <c r="A28" s="11">
        <f t="shared" si="0"/>
        <v>17</v>
      </c>
      <c r="B28" s="14" t="s">
        <v>382</v>
      </c>
      <c r="C28" s="18">
        <f>'A-Billing Determinants'!C30+'A-Billing Determinants'!E30+'A-Billing Determinants'!G30+'A-Billing Determinants'!I30+'A-Billing Determinants'!K30+'A-Billing Determinants'!M30+'B-Billing Determinants'!C30+'B-Billing Determinants'!E30+'B-Billing Determinants'!G30+'B-Billing Determinants'!I30+'B-Billing Determinants'!K30+'B-Billing Determinants'!M30</f>
        <v>226880081.9751851</v>
      </c>
      <c r="D28" s="18">
        <f>'A-Billing Determinants'!D30+'A-Billing Determinants'!F30+'A-Billing Determinants'!H30+'A-Billing Determinants'!J30+'A-Billing Determinants'!L30+'A-Billing Determinants'!N30+'B-Billing Determinants'!D30+'B-Billing Determinants'!F30+'B-Billing Determinants'!H30+'B-Billing Determinants'!J30+'B-Billing Determinants'!L30+'B-Billing Determinants'!N30</f>
        <v>770048.41892945173</v>
      </c>
      <c r="E28" s="11">
        <f t="shared" si="1"/>
        <v>17</v>
      </c>
      <c r="G28" s="247"/>
    </row>
    <row r="29" spans="1:7" x14ac:dyDescent="0.3">
      <c r="A29" s="11">
        <f t="shared" si="0"/>
        <v>18</v>
      </c>
      <c r="B29" s="14"/>
      <c r="C29" s="18"/>
      <c r="D29" s="18"/>
      <c r="E29" s="11">
        <f t="shared" si="1"/>
        <v>18</v>
      </c>
    </row>
    <row r="30" spans="1:7" x14ac:dyDescent="0.3">
      <c r="A30" s="11">
        <f t="shared" si="0"/>
        <v>19</v>
      </c>
      <c r="B30" s="14" t="str">
        <f>'A-Revenues@Changed Rates'!B29</f>
        <v>Street Lighting</v>
      </c>
      <c r="C30" s="18">
        <f>'A-Billing Determinants'!C32+'A-Billing Determinants'!E32+'A-Billing Determinants'!G32+'A-Billing Determinants'!I32+'A-Billing Determinants'!K32+'A-Billing Determinants'!M32+'B-Billing Determinants'!C32+'B-Billing Determinants'!E32+'B-Billing Determinants'!G32+'B-Billing Determinants'!I32+'B-Billing Determinants'!K32+'B-Billing Determinants'!M32</f>
        <v>82252759.895366594</v>
      </c>
      <c r="D30" s="18">
        <f>'A-Billing Determinants'!D32+'A-Billing Determinants'!F32+'A-Billing Determinants'!H32+'A-Billing Determinants'!J32+'A-Billing Determinants'!L32+'A-Billing Determinants'!N32+'B-Billing Determinants'!D32+'B-Billing Determinants'!F32+'B-Billing Determinants'!H32+'B-Billing Determinants'!J32+'B-Billing Determinants'!L32+'B-Billing Determinants'!N32</f>
        <v>0</v>
      </c>
      <c r="E30" s="11">
        <f t="shared" si="1"/>
        <v>19</v>
      </c>
    </row>
    <row r="31" spans="1:7" x14ac:dyDescent="0.3">
      <c r="A31" s="11">
        <f t="shared" si="0"/>
        <v>20</v>
      </c>
      <c r="B31" s="14"/>
      <c r="C31" s="18"/>
      <c r="D31" s="18"/>
      <c r="E31" s="11">
        <f t="shared" si="1"/>
        <v>20</v>
      </c>
    </row>
    <row r="32" spans="1:7" x14ac:dyDescent="0.3">
      <c r="A32" s="11">
        <f t="shared" si="0"/>
        <v>21</v>
      </c>
      <c r="B32" s="14" t="str">
        <f>'A-Billing Determinants'!B34</f>
        <v>Sale for Resale</v>
      </c>
      <c r="C32" s="18">
        <f>'A-Billing Determinants'!C34+'A-Billing Determinants'!E34+'A-Billing Determinants'!G34+'A-Billing Determinants'!I34+'A-Billing Determinants'!K34+'A-Billing Determinants'!M34+'B-Billing Determinants'!C34+'B-Billing Determinants'!E34+'B-Billing Determinants'!G34+'B-Billing Determinants'!I34+'B-Billing Determinants'!K34+'B-Billing Determinants'!M34</f>
        <v>90822.666666666686</v>
      </c>
      <c r="D32" s="18">
        <f>'A-Billing Determinants'!D34+'A-Billing Determinants'!F34+'A-Billing Determinants'!H34+'A-Billing Determinants'!J34+'A-Billing Determinants'!L34+'A-Billing Determinants'!N34+'B-Billing Determinants'!D34+'B-Billing Determinants'!F34+'B-Billing Determinants'!H34+'B-Billing Determinants'!J34+'B-Billing Determinants'!L34+'B-Billing Determinants'!N34</f>
        <v>0</v>
      </c>
      <c r="E32" s="11">
        <f t="shared" si="1"/>
        <v>21</v>
      </c>
    </row>
    <row r="33" spans="1:7" x14ac:dyDescent="0.3">
      <c r="A33" s="11">
        <f t="shared" si="0"/>
        <v>22</v>
      </c>
      <c r="B33" s="14"/>
      <c r="C33" s="18"/>
      <c r="D33" s="18"/>
      <c r="E33" s="11">
        <f t="shared" si="1"/>
        <v>22</v>
      </c>
    </row>
    <row r="34" spans="1:7" x14ac:dyDescent="0.3">
      <c r="A34" s="11">
        <f t="shared" si="0"/>
        <v>23</v>
      </c>
      <c r="B34" s="14" t="str">
        <f>'A-Revenues@Changed Rates'!B31</f>
        <v>Standby</v>
      </c>
      <c r="C34" s="22">
        <f>'A-Billing Determinants'!C36+'A-Billing Determinants'!E36+'A-Billing Determinants'!G36+'A-Billing Determinants'!I36+'A-Billing Determinants'!K36+'A-Billing Determinants'!M36+'B-Billing Determinants'!C36+'B-Billing Determinants'!E36+'B-Billing Determinants'!G36+'B-Billing Determinants'!I36+'B-Billing Determinants'!K36+'B-Billing Determinants'!M36</f>
        <v>0</v>
      </c>
      <c r="D34" s="22">
        <f>'A-Billing Determinants'!D36+'A-Billing Determinants'!F36+'A-Billing Determinants'!H36+'A-Billing Determinants'!J36+'A-Billing Determinants'!L36+'A-Billing Determinants'!N36+'B-Billing Determinants'!D36+'B-Billing Determinants'!F36+'B-Billing Determinants'!H36+'B-Billing Determinants'!J36+'B-Billing Determinants'!L36+'B-Billing Determinants'!N36</f>
        <v>1746072</v>
      </c>
      <c r="E34" s="11">
        <f t="shared" si="1"/>
        <v>23</v>
      </c>
    </row>
    <row r="35" spans="1:7" x14ac:dyDescent="0.3">
      <c r="A35" s="11">
        <f t="shared" si="0"/>
        <v>24</v>
      </c>
      <c r="B35" s="14"/>
      <c r="C35" s="18"/>
      <c r="D35" s="18"/>
      <c r="E35" s="11">
        <f t="shared" si="1"/>
        <v>24</v>
      </c>
    </row>
    <row r="36" spans="1:7" ht="19.5" thickBot="1" x14ac:dyDescent="0.35">
      <c r="A36" s="11">
        <f t="shared" si="0"/>
        <v>25</v>
      </c>
      <c r="B36" s="19" t="s">
        <v>60</v>
      </c>
      <c r="C36" s="23">
        <f>SUM(C12:C34)</f>
        <v>17041759325.415054</v>
      </c>
      <c r="D36" s="23">
        <f>SUM(D12:D34)</f>
        <v>44346785.422170505</v>
      </c>
      <c r="E36" s="11">
        <f t="shared" si="1"/>
        <v>25</v>
      </c>
      <c r="G36" s="391"/>
    </row>
    <row r="37" spans="1:7" ht="19.5" thickTop="1" x14ac:dyDescent="0.3">
      <c r="A37" s="17"/>
      <c r="B37" s="24"/>
      <c r="C37" s="22"/>
      <c r="D37" s="22"/>
      <c r="E37" s="24"/>
    </row>
    <row r="38" spans="1:7" x14ac:dyDescent="0.3">
      <c r="B38" s="25" t="s">
        <v>46</v>
      </c>
      <c r="C38" s="217"/>
    </row>
    <row r="39" spans="1:7" ht="22.5" x14ac:dyDescent="0.3">
      <c r="A39" s="77">
        <v>1</v>
      </c>
      <c r="B39" s="1" t="str">
        <f>'A-Billing Determinants'!B41</f>
        <v>Non-Coincident Demand (NCD) (100%) rates applicable to the following California Public Utilities Commission (CPUC) tariff: Schedule PA-T-1.</v>
      </c>
    </row>
    <row r="40" spans="1:7" ht="22.5" x14ac:dyDescent="0.3">
      <c r="A40" s="77">
        <v>2</v>
      </c>
      <c r="B40" s="1" t="s">
        <v>376</v>
      </c>
    </row>
    <row r="41" spans="1:7" ht="22.5" x14ac:dyDescent="0.3">
      <c r="A41" s="77">
        <v>3</v>
      </c>
      <c r="B41" s="1" t="s">
        <v>383</v>
      </c>
    </row>
    <row r="42" spans="1:7" ht="22.5" x14ac:dyDescent="0.3">
      <c r="A42" s="77"/>
      <c r="B42" s="1" t="s">
        <v>455</v>
      </c>
    </row>
    <row r="43" spans="1:7" ht="22.5" x14ac:dyDescent="0.3">
      <c r="A43" s="77">
        <v>4</v>
      </c>
      <c r="B43" s="1" t="s">
        <v>384</v>
      </c>
    </row>
    <row r="44" spans="1:7" ht="22.5" x14ac:dyDescent="0.3">
      <c r="A44" s="77"/>
      <c r="B44" s="1" t="s">
        <v>456</v>
      </c>
    </row>
    <row r="45" spans="1:7" ht="22.5" x14ac:dyDescent="0.3">
      <c r="A45" s="77">
        <v>5</v>
      </c>
      <c r="B45" s="1" t="s">
        <v>450</v>
      </c>
      <c r="F45" s="391"/>
      <c r="G45" s="391"/>
    </row>
    <row r="46" spans="1:7" x14ac:dyDescent="0.3">
      <c r="A46" s="7"/>
    </row>
    <row r="47" spans="1:7" x14ac:dyDescent="0.3">
      <c r="A47" s="7"/>
    </row>
    <row r="48" spans="1:7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</sheetData>
  <mergeCells count="5">
    <mergeCell ref="A5:E5"/>
    <mergeCell ref="A3:E3"/>
    <mergeCell ref="A2:E2"/>
    <mergeCell ref="A1:E1"/>
    <mergeCell ref="A4:E4"/>
  </mergeCells>
  <phoneticPr fontId="0" type="noConversion"/>
  <printOptions horizontalCentered="1"/>
  <pageMargins left="0.25" right="0.25" top="0.5" bottom="0.5" header="0.25" footer="0.25"/>
  <pageSetup scale="59" orientation="landscape" r:id="rId1"/>
  <headerFooter scaleWithDoc="0">
    <oddFooter xml:space="preserve">&amp;L&amp;"Times New Roman,Regular"&amp;9Statement BG-Billing Determinants&amp;C&amp;"Times New Roman,Regular"&amp;9Page BG-&amp;P&amp;12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:W219"/>
  <sheetViews>
    <sheetView zoomScale="70" zoomScaleNormal="70" zoomScaleSheetLayoutView="70" zoomScalePageLayoutView="6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U148" sqref="U148"/>
    </sheetView>
  </sheetViews>
  <sheetFormatPr defaultColWidth="9.140625" defaultRowHeight="18.75" x14ac:dyDescent="0.3"/>
  <cols>
    <col min="1" max="1" width="5.5703125" style="1" bestFit="1" customWidth="1"/>
    <col min="2" max="2" width="122.5703125" style="127" customWidth="1"/>
    <col min="3" max="3" width="22.5703125" style="1" bestFit="1" customWidth="1"/>
    <col min="4" max="14" width="16.28515625" style="1" customWidth="1"/>
    <col min="15" max="15" width="18.85546875" style="1" bestFit="1" customWidth="1"/>
    <col min="16" max="16" width="5.5703125" style="1" bestFit="1" customWidth="1"/>
    <col min="17" max="19" width="13" style="1" hidden="1" customWidth="1"/>
    <col min="20" max="20" width="14" style="1" bestFit="1" customWidth="1"/>
    <col min="21" max="21" width="29.28515625" style="1" bestFit="1" customWidth="1"/>
    <col min="22" max="22" width="9.140625" style="1"/>
    <col min="23" max="23" width="14.42578125" style="1" bestFit="1" customWidth="1"/>
    <col min="24" max="16384" width="9.140625" style="1"/>
  </cols>
  <sheetData>
    <row r="1" spans="1:21" x14ac:dyDescent="0.3">
      <c r="A1" s="8" t="s">
        <v>8</v>
      </c>
      <c r="B1" s="437" t="s">
        <v>385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9"/>
      <c r="P1" s="8" t="s">
        <v>8</v>
      </c>
    </row>
    <row r="2" spans="1:21" ht="21.75" x14ac:dyDescent="0.3">
      <c r="A2" s="17" t="s">
        <v>10</v>
      </c>
      <c r="B2" s="440" t="s">
        <v>464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2"/>
      <c r="P2" s="17" t="s">
        <v>10</v>
      </c>
    </row>
    <row r="3" spans="1:21" x14ac:dyDescent="0.3">
      <c r="A3" s="8">
        <v>1</v>
      </c>
      <c r="B3" s="239" t="s">
        <v>386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378"/>
      <c r="P3" s="60">
        <v>1</v>
      </c>
    </row>
    <row r="4" spans="1:21" x14ac:dyDescent="0.3">
      <c r="A4" s="11">
        <f>A3+1</f>
        <v>2</v>
      </c>
      <c r="B4" s="239" t="s">
        <v>387</v>
      </c>
      <c r="O4" s="127"/>
      <c r="P4" s="61">
        <f>P3+1</f>
        <v>2</v>
      </c>
    </row>
    <row r="5" spans="1:21" x14ac:dyDescent="0.3">
      <c r="A5" s="11">
        <f t="shared" ref="A5:A6" si="0">A4+1</f>
        <v>3</v>
      </c>
      <c r="B5" s="239"/>
      <c r="O5" s="127"/>
      <c r="P5" s="61">
        <f t="shared" ref="P5:P73" si="1">P4+1</f>
        <v>3</v>
      </c>
    </row>
    <row r="6" spans="1:21" x14ac:dyDescent="0.3">
      <c r="A6" s="11">
        <f t="shared" si="0"/>
        <v>4</v>
      </c>
      <c r="B6" s="291" t="s">
        <v>327</v>
      </c>
      <c r="O6" s="127"/>
      <c r="P6" s="61">
        <f t="shared" si="1"/>
        <v>4</v>
      </c>
    </row>
    <row r="7" spans="1:21" x14ac:dyDescent="0.3">
      <c r="A7" s="11">
        <f t="shared" ref="A7:A73" si="2">A6+1</f>
        <v>5</v>
      </c>
      <c r="B7" s="291" t="s">
        <v>388</v>
      </c>
      <c r="C7" s="226">
        <v>46023</v>
      </c>
      <c r="D7" s="226">
        <v>46054</v>
      </c>
      <c r="E7" s="226">
        <v>46082</v>
      </c>
      <c r="F7" s="226">
        <v>46113</v>
      </c>
      <c r="G7" s="226">
        <v>46143</v>
      </c>
      <c r="H7" s="226">
        <v>46174</v>
      </c>
      <c r="I7" s="226">
        <v>46204</v>
      </c>
      <c r="J7" s="226">
        <v>46235</v>
      </c>
      <c r="K7" s="226">
        <v>46266</v>
      </c>
      <c r="L7" s="226">
        <v>46296</v>
      </c>
      <c r="M7" s="226">
        <v>46327</v>
      </c>
      <c r="N7" s="226">
        <v>46357</v>
      </c>
      <c r="O7" s="229" t="s">
        <v>61</v>
      </c>
      <c r="P7" s="61">
        <f t="shared" si="1"/>
        <v>5</v>
      </c>
    </row>
    <row r="8" spans="1:21" x14ac:dyDescent="0.3">
      <c r="A8" s="11">
        <f t="shared" si="2"/>
        <v>6</v>
      </c>
      <c r="B8" s="236" t="s">
        <v>17</v>
      </c>
      <c r="C8" s="228">
        <f>'[3]C. 2026 Forecast Sales'!B8</f>
        <v>565866.7545167394</v>
      </c>
      <c r="D8" s="228">
        <f>'[3]C. 2026 Forecast Sales'!C8</f>
        <v>474945.65281434939</v>
      </c>
      <c r="E8" s="228">
        <f>'[3]C. 2026 Forecast Sales'!D8</f>
        <v>415713.04223156243</v>
      </c>
      <c r="F8" s="228">
        <f>'[3]C. 2026 Forecast Sales'!E8</f>
        <v>339697.35059226031</v>
      </c>
      <c r="G8" s="228">
        <f>'[3]C. 2026 Forecast Sales'!F8</f>
        <v>312119.36205995828</v>
      </c>
      <c r="H8" s="228">
        <f>'[3]C. 2026 Forecast Sales'!G8</f>
        <v>335919.48072164389</v>
      </c>
      <c r="I8" s="228">
        <f>'[3]C. 2026 Forecast Sales'!H8</f>
        <v>439256.6727740927</v>
      </c>
      <c r="J8" s="228">
        <f>'[3]C. 2026 Forecast Sales'!I8</f>
        <v>587388.49004375737</v>
      </c>
      <c r="K8" s="228">
        <f>'[3]C. 2026 Forecast Sales'!J8</f>
        <v>663180.16079624335</v>
      </c>
      <c r="L8" s="228">
        <f>'[3]C. 2026 Forecast Sales'!K8</f>
        <v>486365.56356523017</v>
      </c>
      <c r="M8" s="228">
        <f>'[3]C. 2026 Forecast Sales'!L8</f>
        <v>418337.1072421071</v>
      </c>
      <c r="N8" s="228">
        <f>'[3]C. 2026 Forecast Sales'!M8</f>
        <v>490455.11967941705</v>
      </c>
      <c r="O8" s="320">
        <f>SUM(C8:N8)</f>
        <v>5529244.7570373621</v>
      </c>
      <c r="P8" s="61">
        <f t="shared" si="1"/>
        <v>6</v>
      </c>
      <c r="T8" s="216"/>
    </row>
    <row r="9" spans="1:21" x14ac:dyDescent="0.3">
      <c r="A9" s="11">
        <f t="shared" si="2"/>
        <v>7</v>
      </c>
      <c r="B9" s="236" t="s">
        <v>20</v>
      </c>
      <c r="C9" s="228">
        <f>'[3]C. 2026 Forecast Sales'!B9</f>
        <v>201410.8846648258</v>
      </c>
      <c r="D9" s="228">
        <f>'[3]C. 2026 Forecast Sales'!C9</f>
        <v>193878.03431133719</v>
      </c>
      <c r="E9" s="228">
        <f>'[3]C. 2026 Forecast Sales'!D9</f>
        <v>189903.29863903418</v>
      </c>
      <c r="F9" s="228">
        <f>'[3]C. 2026 Forecast Sales'!E9</f>
        <v>188108.26087251215</v>
      </c>
      <c r="G9" s="228">
        <f>'[3]C. 2026 Forecast Sales'!F9</f>
        <v>187866.12535447706</v>
      </c>
      <c r="H9" s="228">
        <f>'[3]C. 2026 Forecast Sales'!G9</f>
        <v>194140.30301661658</v>
      </c>
      <c r="I9" s="228">
        <f>'[3]C. 2026 Forecast Sales'!H9</f>
        <v>217323.56930803531</v>
      </c>
      <c r="J9" s="228">
        <f>'[3]C. 2026 Forecast Sales'!I9</f>
        <v>229243.87939853666</v>
      </c>
      <c r="K9" s="228">
        <f>'[3]C. 2026 Forecast Sales'!J9</f>
        <v>239317.96571833527</v>
      </c>
      <c r="L9" s="228">
        <f>'[3]C. 2026 Forecast Sales'!K9</f>
        <v>211348.57679099374</v>
      </c>
      <c r="M9" s="228">
        <f>'[3]C. 2026 Forecast Sales'!L9</f>
        <v>195315.56105681779</v>
      </c>
      <c r="N9" s="228">
        <f>'[3]C. 2026 Forecast Sales'!M9</f>
        <v>194243.9979147311</v>
      </c>
      <c r="O9" s="320">
        <f t="shared" ref="O9:O13" si="3">SUM(C9:N9)</f>
        <v>2442100.4570462527</v>
      </c>
      <c r="P9" s="61">
        <f t="shared" si="1"/>
        <v>7</v>
      </c>
      <c r="T9" s="216"/>
    </row>
    <row r="10" spans="1:21" x14ac:dyDescent="0.3">
      <c r="A10" s="11">
        <f t="shared" si="2"/>
        <v>8</v>
      </c>
      <c r="B10" s="236" t="s">
        <v>389</v>
      </c>
      <c r="C10" s="228">
        <f>'[3]C. 2026 Forecast Sales'!B10</f>
        <v>0</v>
      </c>
      <c r="D10" s="228">
        <f>'[3]C. 2026 Forecast Sales'!C10</f>
        <v>0</v>
      </c>
      <c r="E10" s="228">
        <f>'[3]C. 2026 Forecast Sales'!D10</f>
        <v>0</v>
      </c>
      <c r="F10" s="228">
        <f>'[3]C. 2026 Forecast Sales'!E10</f>
        <v>0</v>
      </c>
      <c r="G10" s="228">
        <f>'[3]C. 2026 Forecast Sales'!F10</f>
        <v>0</v>
      </c>
      <c r="H10" s="228">
        <f>'[3]C. 2026 Forecast Sales'!G10</f>
        <v>0</v>
      </c>
      <c r="I10" s="228">
        <f>'[3]C. 2026 Forecast Sales'!H10</f>
        <v>0</v>
      </c>
      <c r="J10" s="228">
        <f>'[3]C. 2026 Forecast Sales'!I10</f>
        <v>0</v>
      </c>
      <c r="K10" s="228">
        <f>'[3]C. 2026 Forecast Sales'!J10</f>
        <v>0</v>
      </c>
      <c r="L10" s="228">
        <f>'[3]C. 2026 Forecast Sales'!K10</f>
        <v>0</v>
      </c>
      <c r="M10" s="228">
        <f>'[3]C. 2026 Forecast Sales'!L10</f>
        <v>0</v>
      </c>
      <c r="N10" s="228">
        <f>'[3]C. 2026 Forecast Sales'!M10</f>
        <v>0</v>
      </c>
      <c r="O10" s="320">
        <f t="shared" si="3"/>
        <v>0</v>
      </c>
      <c r="P10" s="61">
        <f t="shared" si="1"/>
        <v>8</v>
      </c>
      <c r="T10" s="216"/>
      <c r="U10" s="216"/>
    </row>
    <row r="11" spans="1:21" x14ac:dyDescent="0.3">
      <c r="A11" s="11">
        <f t="shared" si="2"/>
        <v>9</v>
      </c>
      <c r="B11" s="236" t="s">
        <v>390</v>
      </c>
      <c r="C11" s="228">
        <f>'[3]C. 2026 Forecast Sales'!B11</f>
        <v>624623.34396358684</v>
      </c>
      <c r="D11" s="228">
        <f>'[3]C. 2026 Forecast Sales'!C11</f>
        <v>598275.54000922793</v>
      </c>
      <c r="E11" s="228">
        <f>'[3]C. 2026 Forecast Sales'!D11</f>
        <v>591888.33811396465</v>
      </c>
      <c r="F11" s="228">
        <f>'[3]C. 2026 Forecast Sales'!E11</f>
        <v>593322.4069488364</v>
      </c>
      <c r="G11" s="228">
        <f>'[3]C. 2026 Forecast Sales'!F11</f>
        <v>603056.33649390168</v>
      </c>
      <c r="H11" s="228">
        <f>'[3]C. 2026 Forecast Sales'!G11</f>
        <v>633872.26914044889</v>
      </c>
      <c r="I11" s="228">
        <f>'[3]C. 2026 Forecast Sales'!H11</f>
        <v>704820.31099111389</v>
      </c>
      <c r="J11" s="228">
        <f>'[3]C. 2026 Forecast Sales'!I11</f>
        <v>732706.68919207831</v>
      </c>
      <c r="K11" s="228">
        <f>'[3]C. 2026 Forecast Sales'!J11</f>
        <v>765160.86600524245</v>
      </c>
      <c r="L11" s="228">
        <f>'[3]C. 2026 Forecast Sales'!K11</f>
        <v>700464.73635272053</v>
      </c>
      <c r="M11" s="228">
        <f>'[3]C. 2026 Forecast Sales'!L11</f>
        <v>635921.14628863835</v>
      </c>
      <c r="N11" s="228">
        <f>'[3]C. 2026 Forecast Sales'!M11</f>
        <v>657229.98612820031</v>
      </c>
      <c r="O11" s="320">
        <f t="shared" si="3"/>
        <v>7841341.9696279597</v>
      </c>
      <c r="P11" s="61">
        <f t="shared" si="1"/>
        <v>9</v>
      </c>
      <c r="T11" s="216"/>
    </row>
    <row r="12" spans="1:21" x14ac:dyDescent="0.3">
      <c r="A12" s="11">
        <f t="shared" si="2"/>
        <v>10</v>
      </c>
      <c r="B12" s="236" t="s">
        <v>391</v>
      </c>
      <c r="C12" s="228">
        <f>'[3]C. 2026 Forecast Sales'!B12</f>
        <v>94174.387488365741</v>
      </c>
      <c r="D12" s="228">
        <f>'[3]C. 2026 Forecast Sales'!C12</f>
        <v>82713.76973696315</v>
      </c>
      <c r="E12" s="228">
        <f>'[3]C. 2026 Forecast Sales'!D12</f>
        <v>90955.385218737327</v>
      </c>
      <c r="F12" s="228">
        <f>'[3]C. 2026 Forecast Sales'!E12</f>
        <v>93511.227406458245</v>
      </c>
      <c r="G12" s="228">
        <f>'[3]C. 2026 Forecast Sales'!F12</f>
        <v>90384.275919060892</v>
      </c>
      <c r="H12" s="228">
        <f>'[3]C. 2026 Forecast Sales'!G12</f>
        <v>89745.277421217557</v>
      </c>
      <c r="I12" s="228">
        <f>'[3]C. 2026 Forecast Sales'!H12</f>
        <v>101669.34585700449</v>
      </c>
      <c r="J12" s="228">
        <f>'[3]C. 2026 Forecast Sales'!I12</f>
        <v>101261.82916729401</v>
      </c>
      <c r="K12" s="228">
        <f>'[3]C. 2026 Forecast Sales'!J12</f>
        <v>101856.00715929084</v>
      </c>
      <c r="L12" s="228">
        <f>'[3]C. 2026 Forecast Sales'!K12</f>
        <v>96071.838125213282</v>
      </c>
      <c r="M12" s="228">
        <f>'[3]C. 2026 Forecast Sales'!L12</f>
        <v>92182.107097293367</v>
      </c>
      <c r="N12" s="228">
        <f>'[3]C. 2026 Forecast Sales'!M12</f>
        <v>106479.83468417113</v>
      </c>
      <c r="O12" s="320">
        <f t="shared" si="3"/>
        <v>1141005.28528107</v>
      </c>
      <c r="P12" s="61">
        <f t="shared" si="1"/>
        <v>10</v>
      </c>
      <c r="T12" s="216"/>
    </row>
    <row r="13" spans="1:21" x14ac:dyDescent="0.3">
      <c r="A13" s="11">
        <f t="shared" si="2"/>
        <v>11</v>
      </c>
      <c r="B13" s="236" t="s">
        <v>26</v>
      </c>
      <c r="C13" s="228">
        <f>'[3]C. 2026 Forecast Sales'!B13</f>
        <v>216.72</v>
      </c>
      <c r="D13" s="228">
        <f>'[3]C. 2026 Forecast Sales'!C13</f>
        <v>453.59</v>
      </c>
      <c r="E13" s="228">
        <f>'[3]C. 2026 Forecast Sales'!D13</f>
        <v>352.39</v>
      </c>
      <c r="F13" s="228">
        <f>'[3]C. 2026 Forecast Sales'!E13</f>
        <v>1098.01</v>
      </c>
      <c r="G13" s="228">
        <f>'[3]C. 2026 Forecast Sales'!F13</f>
        <v>195.56</v>
      </c>
      <c r="H13" s="228">
        <f>'[3]C. 2026 Forecast Sales'!G13</f>
        <v>0</v>
      </c>
      <c r="I13" s="228">
        <f>'[3]C. 2026 Forecast Sales'!H13</f>
        <v>0</v>
      </c>
      <c r="J13" s="228">
        <f>'[3]C. 2026 Forecast Sales'!I13</f>
        <v>0</v>
      </c>
      <c r="K13" s="228">
        <f>'[3]C. 2026 Forecast Sales'!J13</f>
        <v>102.32</v>
      </c>
      <c r="L13" s="228">
        <f>'[3]C. 2026 Forecast Sales'!K13</f>
        <v>747.3</v>
      </c>
      <c r="M13" s="228">
        <f>'[3]C. 2026 Forecast Sales'!L13</f>
        <v>703.62</v>
      </c>
      <c r="N13" s="228">
        <f>'[3]C. 2026 Forecast Sales'!M13</f>
        <v>339.3</v>
      </c>
      <c r="O13" s="320">
        <f t="shared" si="3"/>
        <v>4208.8100000000004</v>
      </c>
      <c r="P13" s="61">
        <f t="shared" si="1"/>
        <v>11</v>
      </c>
      <c r="T13" s="216"/>
    </row>
    <row r="14" spans="1:21" x14ac:dyDescent="0.3">
      <c r="A14" s="11">
        <f t="shared" si="2"/>
        <v>12</v>
      </c>
      <c r="B14" s="236" t="s">
        <v>392</v>
      </c>
      <c r="C14" s="228">
        <f>'[3]C. 2026 Forecast Sales'!B14</f>
        <v>8770.8981289841504</v>
      </c>
      <c r="D14" s="228">
        <f>'[3]C. 2026 Forecast Sales'!C14</f>
        <v>8598.1977953569913</v>
      </c>
      <c r="E14" s="228">
        <f>'[3]C. 2026 Forecast Sales'!D14</f>
        <v>8121.460102189486</v>
      </c>
      <c r="F14" s="228">
        <f>'[3]C. 2026 Forecast Sales'!E14</f>
        <v>8972.6457992273154</v>
      </c>
      <c r="G14" s="228">
        <f>'[3]C. 2026 Forecast Sales'!F14</f>
        <v>13494.394209383001</v>
      </c>
      <c r="H14" s="228">
        <f>'[3]C. 2026 Forecast Sales'!G14</f>
        <v>15277.102085518412</v>
      </c>
      <c r="I14" s="228">
        <f>'[3]C. 2026 Forecast Sales'!H14</f>
        <v>17674.212425930997</v>
      </c>
      <c r="J14" s="228">
        <f>'[3]C. 2026 Forecast Sales'!I14</f>
        <v>19350.930552889986</v>
      </c>
      <c r="K14" s="228">
        <f>'[3]C. 2026 Forecast Sales'!J14</f>
        <v>18944.80013235228</v>
      </c>
      <c r="L14" s="228">
        <f>'[3]C. 2026 Forecast Sales'!K14</f>
        <v>17483.777143699219</v>
      </c>
      <c r="M14" s="228">
        <f>'[3]C. 2026 Forecast Sales'!L14</f>
        <v>14421.116292368242</v>
      </c>
      <c r="N14" s="228">
        <f>'[3]C. 2026 Forecast Sales'!M14</f>
        <v>13285.180217291201</v>
      </c>
      <c r="O14" s="230">
        <f t="shared" ref="O14:O17" si="4">SUM(C14:N14)</f>
        <v>164394.71488519129</v>
      </c>
      <c r="P14" s="61">
        <f t="shared" si="1"/>
        <v>12</v>
      </c>
      <c r="T14" s="216"/>
      <c r="U14" s="84"/>
    </row>
    <row r="15" spans="1:21" x14ac:dyDescent="0.3">
      <c r="A15" s="11">
        <f t="shared" si="2"/>
        <v>13</v>
      </c>
      <c r="B15" s="236" t="s">
        <v>393</v>
      </c>
      <c r="C15" s="228">
        <f>'[3]C. 2026 Forecast Sales'!B15</f>
        <v>16096.194488099385</v>
      </c>
      <c r="D15" s="228">
        <f>'[3]C. 2026 Forecast Sales'!C15</f>
        <v>16324.789675258995</v>
      </c>
      <c r="E15" s="228">
        <f>'[3]C. 2026 Forecast Sales'!D15</f>
        <v>15210.058425003275</v>
      </c>
      <c r="F15" s="228">
        <f>'[3]C. 2026 Forecast Sales'!E15</f>
        <v>15790.788262185775</v>
      </c>
      <c r="G15" s="228">
        <f>'[3]C. 2026 Forecast Sales'!F15</f>
        <v>18980.076654593213</v>
      </c>
      <c r="H15" s="228">
        <f>'[3]C. 2026 Forecast Sales'!G15</f>
        <v>19791.045536760012</v>
      </c>
      <c r="I15" s="228">
        <f>'[3]C. 2026 Forecast Sales'!H15</f>
        <v>21824.505864378167</v>
      </c>
      <c r="J15" s="228">
        <f>'[3]C. 2026 Forecast Sales'!I15</f>
        <v>21947.825423344755</v>
      </c>
      <c r="K15" s="228">
        <f>'[3]C. 2026 Forecast Sales'!J15</f>
        <v>21857.831109899176</v>
      </c>
      <c r="L15" s="228">
        <f>'[3]C. 2026 Forecast Sales'!K15</f>
        <v>21118.8242638708</v>
      </c>
      <c r="M15" s="228">
        <f>'[3]C. 2026 Forecast Sales'!L15</f>
        <v>19755.426797113778</v>
      </c>
      <c r="N15" s="228">
        <f>'[3]C. 2026 Forecast Sales'!M15</f>
        <v>18182.7154746778</v>
      </c>
      <c r="O15" s="230">
        <f t="shared" si="4"/>
        <v>226880.08197518514</v>
      </c>
      <c r="P15" s="61">
        <f t="shared" si="1"/>
        <v>13</v>
      </c>
      <c r="T15" s="216"/>
    </row>
    <row r="16" spans="1:21" x14ac:dyDescent="0.3">
      <c r="A16" s="11">
        <f t="shared" si="2"/>
        <v>14</v>
      </c>
      <c r="B16" s="236" t="s">
        <v>394</v>
      </c>
      <c r="C16" s="228">
        <f>'[3]C. 2026 Forecast Sales'!B16</f>
        <v>7050.0413726688057</v>
      </c>
      <c r="D16" s="228">
        <f>'[3]C. 2026 Forecast Sales'!C16</f>
        <v>6963.6393231486991</v>
      </c>
      <c r="E16" s="228">
        <f>'[3]C. 2026 Forecast Sales'!D16</f>
        <v>6821.3843778897572</v>
      </c>
      <c r="F16" s="228">
        <f>'[3]C. 2026 Forecast Sales'!E16</f>
        <v>6696.4339907789936</v>
      </c>
      <c r="G16" s="228">
        <f>'[3]C. 2026 Forecast Sales'!F16</f>
        <v>6687.4349307582761</v>
      </c>
      <c r="H16" s="228">
        <f>'[3]C. 2026 Forecast Sales'!G16</f>
        <v>6721.2374505943089</v>
      </c>
      <c r="I16" s="228">
        <f>'[3]C. 2026 Forecast Sales'!H16</f>
        <v>6678.7223135911072</v>
      </c>
      <c r="J16" s="228">
        <f>'[3]C. 2026 Forecast Sales'!I16</f>
        <v>6838.7799659992625</v>
      </c>
      <c r="K16" s="228">
        <f>'[3]C. 2026 Forecast Sales'!J16</f>
        <v>6753.5915071859908</v>
      </c>
      <c r="L16" s="228">
        <f>'[3]C. 2026 Forecast Sales'!K16</f>
        <v>6782.6486053437784</v>
      </c>
      <c r="M16" s="228">
        <f>'[3]C. 2026 Forecast Sales'!L16</f>
        <v>7119.9366196114333</v>
      </c>
      <c r="N16" s="228">
        <f>'[3]C. 2026 Forecast Sales'!M16</f>
        <v>7138.9094377961856</v>
      </c>
      <c r="O16" s="230">
        <f t="shared" si="4"/>
        <v>82252.759895366587</v>
      </c>
      <c r="P16" s="61">
        <f t="shared" si="1"/>
        <v>14</v>
      </c>
      <c r="T16" s="216"/>
    </row>
    <row r="17" spans="1:23" ht="20.25" x14ac:dyDescent="0.4">
      <c r="A17" s="11">
        <f t="shared" si="2"/>
        <v>15</v>
      </c>
      <c r="B17" s="292" t="s">
        <v>375</v>
      </c>
      <c r="C17" s="420">
        <f>'[3]C. 2026 Forecast Sales'!B17</f>
        <v>7.5685555555555553</v>
      </c>
      <c r="D17" s="420">
        <f>'[3]C. 2026 Forecast Sales'!C17</f>
        <v>7.5685555555555553</v>
      </c>
      <c r="E17" s="420">
        <f>'[3]C. 2026 Forecast Sales'!D17</f>
        <v>7.5685555555555553</v>
      </c>
      <c r="F17" s="420">
        <f>'[3]C. 2026 Forecast Sales'!E17</f>
        <v>7.5685555555555553</v>
      </c>
      <c r="G17" s="420">
        <f>'[3]C. 2026 Forecast Sales'!F17</f>
        <v>7.5685555555555553</v>
      </c>
      <c r="H17" s="420">
        <f>'[3]C. 2026 Forecast Sales'!G17</f>
        <v>7.5685555555555553</v>
      </c>
      <c r="I17" s="420">
        <f>'[3]C. 2026 Forecast Sales'!H17</f>
        <v>7.5685555555555553</v>
      </c>
      <c r="J17" s="420">
        <f>'[3]C. 2026 Forecast Sales'!I17</f>
        <v>7.5685555555555553</v>
      </c>
      <c r="K17" s="420">
        <f>'[3]C. 2026 Forecast Sales'!J17</f>
        <v>7.5685555555555553</v>
      </c>
      <c r="L17" s="420">
        <f>'[3]C. 2026 Forecast Sales'!K17</f>
        <v>7.5685555555555553</v>
      </c>
      <c r="M17" s="420">
        <f>'[3]C. 2026 Forecast Sales'!L17</f>
        <v>7.5685555555555553</v>
      </c>
      <c r="N17" s="420">
        <f>'[3]C. 2026 Forecast Sales'!M17</f>
        <v>7.5685555555555553</v>
      </c>
      <c r="O17" s="231">
        <f t="shared" si="4"/>
        <v>90.822666666666635</v>
      </c>
      <c r="P17" s="61">
        <f t="shared" si="1"/>
        <v>15</v>
      </c>
      <c r="T17" s="216"/>
    </row>
    <row r="18" spans="1:23" x14ac:dyDescent="0.3">
      <c r="A18" s="11">
        <f t="shared" si="2"/>
        <v>16</v>
      </c>
      <c r="B18" s="293" t="s">
        <v>395</v>
      </c>
      <c r="C18" s="228">
        <f>'[3]C. 2026 Forecast Sales'!B18</f>
        <v>1518216.7931788256</v>
      </c>
      <c r="D18" s="228">
        <f>'[3]C. 2026 Forecast Sales'!C18</f>
        <v>1382160.7822211981</v>
      </c>
      <c r="E18" s="228">
        <f>'[3]C. 2026 Forecast Sales'!D18</f>
        <v>1318972.9256639367</v>
      </c>
      <c r="F18" s="228">
        <f>'[3]C. 2026 Forecast Sales'!E18</f>
        <v>1247204.6924278149</v>
      </c>
      <c r="G18" s="228">
        <f>'[3]C. 2026 Forecast Sales'!F18</f>
        <v>1232791.134177688</v>
      </c>
      <c r="H18" s="228">
        <f>'[3]C. 2026 Forecast Sales'!G18</f>
        <v>1295474.2839283554</v>
      </c>
      <c r="I18" s="228">
        <f>'[3]C. 2026 Forecast Sales'!H18</f>
        <v>1509254.9080897018</v>
      </c>
      <c r="J18" s="228">
        <f>'[3]C. 2026 Forecast Sales'!I18</f>
        <v>1698745.9922994561</v>
      </c>
      <c r="K18" s="228">
        <f>'[3]C. 2026 Forecast Sales'!J18</f>
        <v>1817181.1109841049</v>
      </c>
      <c r="L18" s="228">
        <f>'[3]C. 2026 Forecast Sales'!K18</f>
        <v>1540390.8334026269</v>
      </c>
      <c r="M18" s="228">
        <f>'[3]C. 2026 Forecast Sales'!L18</f>
        <v>1383763.5899495056</v>
      </c>
      <c r="N18" s="228">
        <f>'[3]C. 2026 Forecast Sales'!M18</f>
        <v>1487362.6120918402</v>
      </c>
      <c r="O18" s="232">
        <f t="shared" ref="O18" si="5">SUM(O8:O17)</f>
        <v>17431519.658415049</v>
      </c>
      <c r="P18" s="61">
        <f t="shared" si="1"/>
        <v>16</v>
      </c>
      <c r="U18" s="216"/>
    </row>
    <row r="19" spans="1:23" x14ac:dyDescent="0.3">
      <c r="A19" s="11">
        <f t="shared" si="2"/>
        <v>17</v>
      </c>
      <c r="E19" s="84"/>
      <c r="F19" s="290"/>
      <c r="G19" s="290"/>
      <c r="H19" s="290"/>
      <c r="K19" s="84"/>
      <c r="L19" s="84"/>
      <c r="M19" s="84"/>
      <c r="N19" s="84"/>
      <c r="O19" s="132"/>
      <c r="P19" s="61">
        <f t="shared" si="1"/>
        <v>17</v>
      </c>
      <c r="U19" s="324"/>
    </row>
    <row r="20" spans="1:23" x14ac:dyDescent="0.3">
      <c r="A20" s="11">
        <f t="shared" si="2"/>
        <v>18</v>
      </c>
      <c r="B20" s="326"/>
      <c r="C20" s="379"/>
      <c r="D20" s="379"/>
      <c r="E20" s="379"/>
      <c r="F20" s="379"/>
      <c r="G20" s="379"/>
      <c r="H20" s="379"/>
      <c r="I20" s="379"/>
      <c r="J20" s="379"/>
      <c r="K20" s="379"/>
      <c r="L20" s="379"/>
      <c r="M20" s="379"/>
      <c r="N20" s="379"/>
      <c r="O20" s="227"/>
      <c r="P20" s="61">
        <f t="shared" si="1"/>
        <v>18</v>
      </c>
    </row>
    <row r="21" spans="1:23" x14ac:dyDescent="0.3">
      <c r="A21" s="11">
        <f t="shared" si="2"/>
        <v>19</v>
      </c>
      <c r="B21" s="329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9"/>
      <c r="P21" s="61">
        <f t="shared" si="1"/>
        <v>19</v>
      </c>
    </row>
    <row r="22" spans="1:23" x14ac:dyDescent="0.3">
      <c r="A22" s="11">
        <f t="shared" si="2"/>
        <v>20</v>
      </c>
      <c r="B22" s="239" t="s">
        <v>396</v>
      </c>
      <c r="G22" s="87"/>
      <c r="H22" s="87"/>
      <c r="O22" s="127"/>
      <c r="P22" s="61">
        <f t="shared" si="1"/>
        <v>20</v>
      </c>
    </row>
    <row r="23" spans="1:23" x14ac:dyDescent="0.3">
      <c r="A23" s="11">
        <f t="shared" si="2"/>
        <v>21</v>
      </c>
      <c r="B23" s="239" t="s">
        <v>397</v>
      </c>
      <c r="G23" s="87"/>
      <c r="H23" s="87"/>
      <c r="O23" s="127"/>
      <c r="P23" s="61">
        <f t="shared" si="1"/>
        <v>21</v>
      </c>
    </row>
    <row r="24" spans="1:23" x14ac:dyDescent="0.3">
      <c r="A24" s="11">
        <f t="shared" si="2"/>
        <v>22</v>
      </c>
      <c r="B24" s="239" t="s">
        <v>364</v>
      </c>
      <c r="O24" s="127"/>
      <c r="P24" s="61">
        <f t="shared" si="1"/>
        <v>22</v>
      </c>
    </row>
    <row r="25" spans="1:23" x14ac:dyDescent="0.3">
      <c r="A25" s="11">
        <f t="shared" si="2"/>
        <v>23</v>
      </c>
      <c r="O25" s="127"/>
      <c r="P25" s="61">
        <f t="shared" si="1"/>
        <v>23</v>
      </c>
      <c r="W25" s="325"/>
    </row>
    <row r="26" spans="1:23" x14ac:dyDescent="0.3">
      <c r="A26" s="11">
        <f t="shared" si="2"/>
        <v>24</v>
      </c>
      <c r="B26" s="239" t="s">
        <v>398</v>
      </c>
      <c r="C26" s="226">
        <f>C7</f>
        <v>46023</v>
      </c>
      <c r="D26" s="226">
        <f>D7</f>
        <v>46054</v>
      </c>
      <c r="E26" s="226">
        <f t="shared" ref="E26:N26" si="6">E7</f>
        <v>46082</v>
      </c>
      <c r="F26" s="226">
        <f t="shared" si="6"/>
        <v>46113</v>
      </c>
      <c r="G26" s="226">
        <f t="shared" si="6"/>
        <v>46143</v>
      </c>
      <c r="H26" s="226">
        <f t="shared" si="6"/>
        <v>46174</v>
      </c>
      <c r="I26" s="226">
        <f t="shared" si="6"/>
        <v>46204</v>
      </c>
      <c r="J26" s="226">
        <f t="shared" si="6"/>
        <v>46235</v>
      </c>
      <c r="K26" s="226">
        <f t="shared" si="6"/>
        <v>46266</v>
      </c>
      <c r="L26" s="226">
        <f t="shared" si="6"/>
        <v>46296</v>
      </c>
      <c r="M26" s="226">
        <f t="shared" si="6"/>
        <v>46327</v>
      </c>
      <c r="N26" s="226">
        <f t="shared" si="6"/>
        <v>46357</v>
      </c>
      <c r="O26" s="169" t="s">
        <v>61</v>
      </c>
      <c r="P26" s="61">
        <f t="shared" si="1"/>
        <v>24</v>
      </c>
    </row>
    <row r="27" spans="1:23" x14ac:dyDescent="0.3">
      <c r="A27" s="11">
        <f t="shared" si="2"/>
        <v>25</v>
      </c>
      <c r="B27" s="235" t="s">
        <v>399</v>
      </c>
      <c r="C27" s="228">
        <f>C10</f>
        <v>0</v>
      </c>
      <c r="D27" s="228">
        <f t="shared" ref="D27:N27" si="7">D10</f>
        <v>0</v>
      </c>
      <c r="E27" s="228">
        <f t="shared" si="7"/>
        <v>0</v>
      </c>
      <c r="F27" s="228">
        <f t="shared" si="7"/>
        <v>0</v>
      </c>
      <c r="G27" s="228">
        <f t="shared" si="7"/>
        <v>0</v>
      </c>
      <c r="H27" s="228">
        <f t="shared" si="7"/>
        <v>0</v>
      </c>
      <c r="I27" s="228">
        <f t="shared" si="7"/>
        <v>0</v>
      </c>
      <c r="J27" s="228">
        <f t="shared" si="7"/>
        <v>0</v>
      </c>
      <c r="K27" s="228">
        <f t="shared" si="7"/>
        <v>0</v>
      </c>
      <c r="L27" s="228">
        <f t="shared" si="7"/>
        <v>0</v>
      </c>
      <c r="M27" s="228">
        <f t="shared" si="7"/>
        <v>0</v>
      </c>
      <c r="N27" s="228">
        <f t="shared" si="7"/>
        <v>0</v>
      </c>
      <c r="O27" s="230">
        <f>SUM(C27:N27)</f>
        <v>0</v>
      </c>
      <c r="P27" s="61">
        <f t="shared" si="1"/>
        <v>25</v>
      </c>
    </row>
    <row r="28" spans="1:23" x14ac:dyDescent="0.3">
      <c r="A28" s="11">
        <f t="shared" si="2"/>
        <v>26</v>
      </c>
      <c r="B28" s="236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2"/>
      <c r="P28" s="61">
        <f t="shared" si="1"/>
        <v>26</v>
      </c>
    </row>
    <row r="29" spans="1:23" x14ac:dyDescent="0.3">
      <c r="A29" s="11">
        <f t="shared" si="2"/>
        <v>27</v>
      </c>
      <c r="B29" s="235" t="s">
        <v>400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2"/>
      <c r="P29" s="61">
        <f t="shared" si="1"/>
        <v>27</v>
      </c>
    </row>
    <row r="30" spans="1:23" x14ac:dyDescent="0.3">
      <c r="A30" s="11">
        <f t="shared" si="2"/>
        <v>28</v>
      </c>
      <c r="B30" s="237" t="s">
        <v>401</v>
      </c>
      <c r="C30" s="160">
        <f>'[3]C. 2026 Forecast Sales'!B38</f>
        <v>0</v>
      </c>
      <c r="D30" s="160">
        <f>'[3]C. 2026 Forecast Sales'!C38</f>
        <v>0</v>
      </c>
      <c r="E30" s="160">
        <f>'[3]C. 2026 Forecast Sales'!D38</f>
        <v>0</v>
      </c>
      <c r="F30" s="160">
        <f>'[3]C. 2026 Forecast Sales'!E38</f>
        <v>0</v>
      </c>
      <c r="G30" s="160">
        <f>'[3]C. 2026 Forecast Sales'!F38</f>
        <v>0</v>
      </c>
      <c r="H30" s="160">
        <f>'[3]C. 2026 Forecast Sales'!G38</f>
        <v>0</v>
      </c>
      <c r="I30" s="160">
        <f>'[3]C. 2026 Forecast Sales'!H38</f>
        <v>0</v>
      </c>
      <c r="J30" s="160">
        <f>'[3]C. 2026 Forecast Sales'!I38</f>
        <v>0</v>
      </c>
      <c r="K30" s="160">
        <f>'[3]C. 2026 Forecast Sales'!J38</f>
        <v>0</v>
      </c>
      <c r="L30" s="160">
        <f>'[3]C. 2026 Forecast Sales'!K38</f>
        <v>0</v>
      </c>
      <c r="M30" s="160">
        <f>'[3]C. 2026 Forecast Sales'!L38</f>
        <v>0</v>
      </c>
      <c r="N30" s="160">
        <f>'[3]C. 2026 Forecast Sales'!M38</f>
        <v>0</v>
      </c>
      <c r="O30" s="230">
        <f>IFERROR(O35/$O$27,0)</f>
        <v>0</v>
      </c>
      <c r="P30" s="61">
        <f t="shared" si="1"/>
        <v>28</v>
      </c>
    </row>
    <row r="31" spans="1:23" x14ac:dyDescent="0.3">
      <c r="A31" s="11">
        <f t="shared" si="2"/>
        <v>29</v>
      </c>
      <c r="B31" s="237" t="s">
        <v>402</v>
      </c>
      <c r="C31" s="160">
        <f>'[3]C. 2026 Forecast Sales'!B39</f>
        <v>0</v>
      </c>
      <c r="D31" s="160">
        <f>'[3]C. 2026 Forecast Sales'!C39</f>
        <v>0</v>
      </c>
      <c r="E31" s="160">
        <f>'[3]C. 2026 Forecast Sales'!D39</f>
        <v>0</v>
      </c>
      <c r="F31" s="160">
        <f>'[3]C. 2026 Forecast Sales'!E39</f>
        <v>0</v>
      </c>
      <c r="G31" s="160">
        <f>'[3]C. 2026 Forecast Sales'!F39</f>
        <v>0</v>
      </c>
      <c r="H31" s="160">
        <f>'[3]C. 2026 Forecast Sales'!G39</f>
        <v>0</v>
      </c>
      <c r="I31" s="160">
        <f>'[3]C. 2026 Forecast Sales'!H39</f>
        <v>0</v>
      </c>
      <c r="J31" s="160">
        <f>'[3]C. 2026 Forecast Sales'!I39</f>
        <v>0</v>
      </c>
      <c r="K31" s="160">
        <f>'[3]C. 2026 Forecast Sales'!J39</f>
        <v>0</v>
      </c>
      <c r="L31" s="160">
        <f>'[3]C. 2026 Forecast Sales'!K39</f>
        <v>0</v>
      </c>
      <c r="M31" s="160">
        <f>'[3]C. 2026 Forecast Sales'!L39</f>
        <v>0</v>
      </c>
      <c r="N31" s="160">
        <f>'[3]C. 2026 Forecast Sales'!M39</f>
        <v>0</v>
      </c>
      <c r="O31" s="230">
        <f>IFERROR(O36/$O$27,0)</f>
        <v>0</v>
      </c>
      <c r="P31" s="61">
        <f t="shared" si="1"/>
        <v>29</v>
      </c>
    </row>
    <row r="32" spans="1:23" x14ac:dyDescent="0.3">
      <c r="A32" s="11">
        <f t="shared" si="2"/>
        <v>30</v>
      </c>
      <c r="B32" s="237" t="s">
        <v>403</v>
      </c>
      <c r="C32" s="160">
        <f>'[3]C. 2026 Forecast Sales'!B40</f>
        <v>0</v>
      </c>
      <c r="D32" s="160">
        <f>'[3]C. 2026 Forecast Sales'!C40</f>
        <v>0</v>
      </c>
      <c r="E32" s="160">
        <f>'[3]C. 2026 Forecast Sales'!D40</f>
        <v>0</v>
      </c>
      <c r="F32" s="160">
        <f>'[3]C. 2026 Forecast Sales'!E40</f>
        <v>0</v>
      </c>
      <c r="G32" s="160">
        <f>'[3]C. 2026 Forecast Sales'!F40</f>
        <v>0</v>
      </c>
      <c r="H32" s="160">
        <f>'[3]C. 2026 Forecast Sales'!G40</f>
        <v>0</v>
      </c>
      <c r="I32" s="160">
        <f>'[3]C. 2026 Forecast Sales'!H40</f>
        <v>0</v>
      </c>
      <c r="J32" s="160">
        <f>'[3]C. 2026 Forecast Sales'!I40</f>
        <v>0</v>
      </c>
      <c r="K32" s="160">
        <f>'[3]C. 2026 Forecast Sales'!J40</f>
        <v>0</v>
      </c>
      <c r="L32" s="160">
        <f>'[3]C. 2026 Forecast Sales'!K40</f>
        <v>0</v>
      </c>
      <c r="M32" s="160">
        <f>'[3]C. 2026 Forecast Sales'!L40</f>
        <v>0</v>
      </c>
      <c r="N32" s="160">
        <f>'[3]C. 2026 Forecast Sales'!M40</f>
        <v>0</v>
      </c>
      <c r="O32" s="230">
        <f>IFERROR(O37/$O$27,0)</f>
        <v>0</v>
      </c>
      <c r="P32" s="61">
        <f t="shared" si="1"/>
        <v>30</v>
      </c>
    </row>
    <row r="33" spans="1:16" x14ac:dyDescent="0.3">
      <c r="A33" s="11">
        <f t="shared" si="2"/>
        <v>31</v>
      </c>
      <c r="C33" s="160">
        <f>'[3]C. 2026 Forecast Sales'!B41</f>
        <v>0</v>
      </c>
      <c r="D33" s="160">
        <f>'[3]C. 2026 Forecast Sales'!C41</f>
        <v>0</v>
      </c>
      <c r="E33" s="160">
        <f>'[3]C. 2026 Forecast Sales'!D41</f>
        <v>0</v>
      </c>
      <c r="F33" s="160">
        <f>'[3]C. 2026 Forecast Sales'!E41</f>
        <v>0</v>
      </c>
      <c r="G33" s="160">
        <f>'[3]C. 2026 Forecast Sales'!F41</f>
        <v>0</v>
      </c>
      <c r="H33" s="160">
        <f>'[3]C. 2026 Forecast Sales'!G41</f>
        <v>0</v>
      </c>
      <c r="I33" s="160">
        <f>'[3]C. 2026 Forecast Sales'!H41</f>
        <v>0</v>
      </c>
      <c r="J33" s="160">
        <f>'[3]C. 2026 Forecast Sales'!I41</f>
        <v>0</v>
      </c>
      <c r="K33" s="160">
        <f>'[3]C. 2026 Forecast Sales'!J41</f>
        <v>0</v>
      </c>
      <c r="L33" s="160">
        <f>'[3]C. 2026 Forecast Sales'!K41</f>
        <v>0</v>
      </c>
      <c r="M33" s="160">
        <f>'[3]C. 2026 Forecast Sales'!L41</f>
        <v>0</v>
      </c>
      <c r="N33" s="160">
        <f>'[3]C. 2026 Forecast Sales'!M41</f>
        <v>0</v>
      </c>
      <c r="O33" s="230">
        <f>SUM(O30:O32)</f>
        <v>0</v>
      </c>
      <c r="P33" s="61">
        <f t="shared" si="1"/>
        <v>31</v>
      </c>
    </row>
    <row r="34" spans="1:16" x14ac:dyDescent="0.3">
      <c r="A34" s="11">
        <f t="shared" si="2"/>
        <v>32</v>
      </c>
      <c r="B34" s="235" t="s">
        <v>399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  <c r="M34" s="319"/>
      <c r="N34" s="319"/>
      <c r="O34" s="172"/>
      <c r="P34" s="61">
        <f t="shared" si="1"/>
        <v>32</v>
      </c>
    </row>
    <row r="35" spans="1:16" x14ac:dyDescent="0.3">
      <c r="A35" s="11">
        <f t="shared" si="2"/>
        <v>33</v>
      </c>
      <c r="B35" s="127" t="s">
        <v>404</v>
      </c>
      <c r="C35" s="84">
        <f>C27*C30</f>
        <v>0</v>
      </c>
      <c r="D35" s="84">
        <f>D27*D30</f>
        <v>0</v>
      </c>
      <c r="E35" s="84">
        <f t="shared" ref="E35:N35" si="8">E27*E30</f>
        <v>0</v>
      </c>
      <c r="F35" s="84">
        <f t="shared" si="8"/>
        <v>0</v>
      </c>
      <c r="G35" s="84">
        <f t="shared" si="8"/>
        <v>0</v>
      </c>
      <c r="H35" s="84">
        <f t="shared" si="8"/>
        <v>0</v>
      </c>
      <c r="I35" s="84">
        <f t="shared" si="8"/>
        <v>0</v>
      </c>
      <c r="J35" s="84">
        <f t="shared" si="8"/>
        <v>0</v>
      </c>
      <c r="K35" s="84">
        <f t="shared" si="8"/>
        <v>0</v>
      </c>
      <c r="L35" s="84">
        <f t="shared" si="8"/>
        <v>0</v>
      </c>
      <c r="M35" s="84">
        <f t="shared" si="8"/>
        <v>0</v>
      </c>
      <c r="N35" s="84">
        <f t="shared" si="8"/>
        <v>0</v>
      </c>
      <c r="O35" s="128">
        <f>SUM(C35:N35)</f>
        <v>0</v>
      </c>
      <c r="P35" s="61">
        <f t="shared" si="1"/>
        <v>33</v>
      </c>
    </row>
    <row r="36" spans="1:16" x14ac:dyDescent="0.3">
      <c r="A36" s="11">
        <f t="shared" si="2"/>
        <v>34</v>
      </c>
      <c r="B36" s="127" t="s">
        <v>405</v>
      </c>
      <c r="C36" s="84">
        <f>C27*C31</f>
        <v>0</v>
      </c>
      <c r="D36" s="84">
        <f>D27*D31</f>
        <v>0</v>
      </c>
      <c r="E36" s="84">
        <f t="shared" ref="E36:N36" si="9">E27*E31</f>
        <v>0</v>
      </c>
      <c r="F36" s="84">
        <f t="shared" si="9"/>
        <v>0</v>
      </c>
      <c r="G36" s="84">
        <f t="shared" si="9"/>
        <v>0</v>
      </c>
      <c r="H36" s="84">
        <f t="shared" si="9"/>
        <v>0</v>
      </c>
      <c r="I36" s="84">
        <f t="shared" si="9"/>
        <v>0</v>
      </c>
      <c r="J36" s="84">
        <f t="shared" si="9"/>
        <v>0</v>
      </c>
      <c r="K36" s="84">
        <f t="shared" si="9"/>
        <v>0</v>
      </c>
      <c r="L36" s="84">
        <f t="shared" si="9"/>
        <v>0</v>
      </c>
      <c r="M36" s="84">
        <f t="shared" si="9"/>
        <v>0</v>
      </c>
      <c r="N36" s="84">
        <f t="shared" si="9"/>
        <v>0</v>
      </c>
      <c r="O36" s="128">
        <f>SUM(C36:N36)</f>
        <v>0</v>
      </c>
      <c r="P36" s="61">
        <f t="shared" si="1"/>
        <v>34</v>
      </c>
    </row>
    <row r="37" spans="1:16" x14ac:dyDescent="0.3">
      <c r="A37" s="11">
        <f t="shared" si="2"/>
        <v>35</v>
      </c>
      <c r="B37" s="127" t="s">
        <v>406</v>
      </c>
      <c r="C37" s="85">
        <f>C27*C32</f>
        <v>0</v>
      </c>
      <c r="D37" s="85">
        <f>D27*D32</f>
        <v>0</v>
      </c>
      <c r="E37" s="85">
        <f t="shared" ref="E37:N37" si="10">E27*E32</f>
        <v>0</v>
      </c>
      <c r="F37" s="85">
        <f t="shared" si="10"/>
        <v>0</v>
      </c>
      <c r="G37" s="85">
        <f t="shared" si="10"/>
        <v>0</v>
      </c>
      <c r="H37" s="85">
        <f t="shared" si="10"/>
        <v>0</v>
      </c>
      <c r="I37" s="85">
        <f t="shared" si="10"/>
        <v>0</v>
      </c>
      <c r="J37" s="85">
        <f t="shared" si="10"/>
        <v>0</v>
      </c>
      <c r="K37" s="85">
        <f t="shared" si="10"/>
        <v>0</v>
      </c>
      <c r="L37" s="85">
        <f t="shared" si="10"/>
        <v>0</v>
      </c>
      <c r="M37" s="85">
        <f t="shared" si="10"/>
        <v>0</v>
      </c>
      <c r="N37" s="85">
        <f t="shared" si="10"/>
        <v>0</v>
      </c>
      <c r="O37" s="131">
        <f>SUM(C37:N37)</f>
        <v>0</v>
      </c>
      <c r="P37" s="61">
        <f t="shared" si="1"/>
        <v>35</v>
      </c>
    </row>
    <row r="38" spans="1:16" x14ac:dyDescent="0.3">
      <c r="A38" s="11">
        <f t="shared" si="2"/>
        <v>36</v>
      </c>
      <c r="C38" s="84">
        <f>SUM(C35:C37)</f>
        <v>0</v>
      </c>
      <c r="D38" s="84">
        <f>SUM(D35:D37)</f>
        <v>0</v>
      </c>
      <c r="E38" s="84">
        <f t="shared" ref="E38:N38" si="11">SUM(E35:E37)</f>
        <v>0</v>
      </c>
      <c r="F38" s="84">
        <f t="shared" si="11"/>
        <v>0</v>
      </c>
      <c r="G38" s="84">
        <f t="shared" si="11"/>
        <v>0</v>
      </c>
      <c r="H38" s="84">
        <f t="shared" si="11"/>
        <v>0</v>
      </c>
      <c r="I38" s="84">
        <f t="shared" si="11"/>
        <v>0</v>
      </c>
      <c r="J38" s="84">
        <f t="shared" si="11"/>
        <v>0</v>
      </c>
      <c r="K38" s="84">
        <f t="shared" si="11"/>
        <v>0</v>
      </c>
      <c r="L38" s="84">
        <f t="shared" si="11"/>
        <v>0</v>
      </c>
      <c r="M38" s="84">
        <f t="shared" si="11"/>
        <v>0</v>
      </c>
      <c r="N38" s="84">
        <f t="shared" si="11"/>
        <v>0</v>
      </c>
      <c r="O38" s="132">
        <f>SUM(O35:O37)</f>
        <v>0</v>
      </c>
      <c r="P38" s="61">
        <f t="shared" si="1"/>
        <v>36</v>
      </c>
    </row>
    <row r="39" spans="1:16" x14ac:dyDescent="0.3">
      <c r="A39" s="11">
        <f t="shared" si="2"/>
        <v>37</v>
      </c>
      <c r="B39" s="235" t="s">
        <v>407</v>
      </c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172"/>
      <c r="P39" s="61">
        <f t="shared" si="1"/>
        <v>37</v>
      </c>
    </row>
    <row r="40" spans="1:16" x14ac:dyDescent="0.3">
      <c r="A40" s="11">
        <f t="shared" si="2"/>
        <v>38</v>
      </c>
      <c r="B40" s="237" t="s">
        <v>401</v>
      </c>
      <c r="C40" s="385">
        <f>'[3]C. 2026 Forecast Sales'!B48</f>
        <v>0</v>
      </c>
      <c r="D40" s="385">
        <f>'[3]C. 2026 Forecast Sales'!C48</f>
        <v>0</v>
      </c>
      <c r="E40" s="385">
        <f>'[3]C. 2026 Forecast Sales'!D48</f>
        <v>0</v>
      </c>
      <c r="F40" s="385">
        <f>'[3]C. 2026 Forecast Sales'!E48</f>
        <v>0</v>
      </c>
      <c r="G40" s="385">
        <f>'[3]C. 2026 Forecast Sales'!F48</f>
        <v>0</v>
      </c>
      <c r="H40" s="385">
        <f>'[3]C. 2026 Forecast Sales'!G48</f>
        <v>0</v>
      </c>
      <c r="I40" s="385">
        <f>'[3]C. 2026 Forecast Sales'!H48</f>
        <v>0</v>
      </c>
      <c r="J40" s="385">
        <f>'[3]C. 2026 Forecast Sales'!I48</f>
        <v>0</v>
      </c>
      <c r="K40" s="385">
        <f>'[3]C. 2026 Forecast Sales'!J48</f>
        <v>0</v>
      </c>
      <c r="L40" s="385">
        <f>'[3]C. 2026 Forecast Sales'!K48</f>
        <v>0</v>
      </c>
      <c r="M40" s="385">
        <f>'[3]C. 2026 Forecast Sales'!L48</f>
        <v>0</v>
      </c>
      <c r="N40" s="385">
        <f>'[3]C. 2026 Forecast Sales'!M48</f>
        <v>0</v>
      </c>
      <c r="O40" s="163">
        <f>IFERROR(O45/O35,0)</f>
        <v>0</v>
      </c>
      <c r="P40" s="61">
        <f t="shared" si="1"/>
        <v>38</v>
      </c>
    </row>
    <row r="41" spans="1:16" x14ac:dyDescent="0.3">
      <c r="A41" s="11">
        <f t="shared" si="2"/>
        <v>39</v>
      </c>
      <c r="B41" s="237" t="s">
        <v>402</v>
      </c>
      <c r="C41" s="385">
        <f>'[3]C. 2026 Forecast Sales'!B49</f>
        <v>0</v>
      </c>
      <c r="D41" s="385">
        <f>'[3]C. 2026 Forecast Sales'!C49</f>
        <v>0</v>
      </c>
      <c r="E41" s="385">
        <f>'[3]C. 2026 Forecast Sales'!D49</f>
        <v>0</v>
      </c>
      <c r="F41" s="385">
        <f>'[3]C. 2026 Forecast Sales'!E49</f>
        <v>0</v>
      </c>
      <c r="G41" s="385">
        <f>'[3]C. 2026 Forecast Sales'!F49</f>
        <v>0</v>
      </c>
      <c r="H41" s="385">
        <f>'[3]C. 2026 Forecast Sales'!G49</f>
        <v>0</v>
      </c>
      <c r="I41" s="385">
        <f>'[3]C. 2026 Forecast Sales'!H49</f>
        <v>0</v>
      </c>
      <c r="J41" s="385">
        <f>'[3]C. 2026 Forecast Sales'!I49</f>
        <v>0</v>
      </c>
      <c r="K41" s="385">
        <f>'[3]C. 2026 Forecast Sales'!J49</f>
        <v>0</v>
      </c>
      <c r="L41" s="385">
        <f>'[3]C. 2026 Forecast Sales'!K49</f>
        <v>0</v>
      </c>
      <c r="M41" s="385">
        <f>'[3]C. 2026 Forecast Sales'!L49</f>
        <v>0</v>
      </c>
      <c r="N41" s="385">
        <f>'[3]C. 2026 Forecast Sales'!M49</f>
        <v>0</v>
      </c>
      <c r="O41" s="249">
        <f>IFERROR(O46/O36,0)</f>
        <v>0</v>
      </c>
      <c r="P41" s="61">
        <f t="shared" si="1"/>
        <v>39</v>
      </c>
    </row>
    <row r="42" spans="1:16" x14ac:dyDescent="0.3">
      <c r="A42" s="11">
        <f t="shared" si="2"/>
        <v>40</v>
      </c>
      <c r="B42" s="237" t="s">
        <v>403</v>
      </c>
      <c r="C42" s="385">
        <f>'[3]C. 2026 Forecast Sales'!B50</f>
        <v>0</v>
      </c>
      <c r="D42" s="385">
        <f>'[3]C. 2026 Forecast Sales'!C50</f>
        <v>0</v>
      </c>
      <c r="E42" s="385">
        <f>'[3]C. 2026 Forecast Sales'!D50</f>
        <v>0</v>
      </c>
      <c r="F42" s="385">
        <f>'[3]C. 2026 Forecast Sales'!E50</f>
        <v>0</v>
      </c>
      <c r="G42" s="385">
        <f>'[3]C. 2026 Forecast Sales'!F50</f>
        <v>0</v>
      </c>
      <c r="H42" s="385">
        <f>'[3]C. 2026 Forecast Sales'!G50</f>
        <v>0</v>
      </c>
      <c r="I42" s="385">
        <f>'[3]C. 2026 Forecast Sales'!H50</f>
        <v>0</v>
      </c>
      <c r="J42" s="385">
        <f>'[3]C. 2026 Forecast Sales'!I50</f>
        <v>0</v>
      </c>
      <c r="K42" s="385">
        <f>'[3]C. 2026 Forecast Sales'!J50</f>
        <v>0</v>
      </c>
      <c r="L42" s="385">
        <f>'[3]C. 2026 Forecast Sales'!K50</f>
        <v>0</v>
      </c>
      <c r="M42" s="385">
        <f>'[3]C. 2026 Forecast Sales'!L50</f>
        <v>0</v>
      </c>
      <c r="N42" s="385">
        <f>'[3]C. 2026 Forecast Sales'!M50</f>
        <v>0</v>
      </c>
      <c r="O42" s="163">
        <f>IFERROR(O47/O37,0)</f>
        <v>0</v>
      </c>
      <c r="P42" s="61">
        <f t="shared" si="1"/>
        <v>40</v>
      </c>
    </row>
    <row r="43" spans="1:16" x14ac:dyDescent="0.3">
      <c r="A43" s="11">
        <f t="shared" si="2"/>
        <v>41</v>
      </c>
      <c r="C43" s="385"/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172"/>
      <c r="P43" s="61">
        <f t="shared" si="1"/>
        <v>41</v>
      </c>
    </row>
    <row r="44" spans="1:16" x14ac:dyDescent="0.3">
      <c r="A44" s="11">
        <f t="shared" si="2"/>
        <v>42</v>
      </c>
      <c r="B44" s="235" t="s">
        <v>408</v>
      </c>
      <c r="C44" s="319"/>
      <c r="D44" s="319"/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172"/>
      <c r="P44" s="61">
        <f t="shared" si="1"/>
        <v>42</v>
      </c>
    </row>
    <row r="45" spans="1:16" x14ac:dyDescent="0.3">
      <c r="A45" s="11">
        <f t="shared" si="2"/>
        <v>43</v>
      </c>
      <c r="B45" s="127" t="s">
        <v>409</v>
      </c>
      <c r="C45" s="83">
        <f t="shared" ref="C45:N47" si="12">C35*C40</f>
        <v>0</v>
      </c>
      <c r="D45" s="83">
        <f t="shared" si="12"/>
        <v>0</v>
      </c>
      <c r="E45" s="83">
        <f t="shared" si="12"/>
        <v>0</v>
      </c>
      <c r="F45" s="83">
        <f t="shared" si="12"/>
        <v>0</v>
      </c>
      <c r="G45" s="83">
        <f t="shared" si="12"/>
        <v>0</v>
      </c>
      <c r="H45" s="83">
        <f t="shared" si="12"/>
        <v>0</v>
      </c>
      <c r="I45" s="83">
        <f t="shared" si="12"/>
        <v>0</v>
      </c>
      <c r="J45" s="83">
        <f t="shared" si="12"/>
        <v>0</v>
      </c>
      <c r="K45" s="83">
        <f t="shared" si="12"/>
        <v>0</v>
      </c>
      <c r="L45" s="83">
        <f t="shared" si="12"/>
        <v>0</v>
      </c>
      <c r="M45" s="83">
        <f t="shared" si="12"/>
        <v>0</v>
      </c>
      <c r="N45" s="83">
        <f t="shared" si="12"/>
        <v>0</v>
      </c>
      <c r="O45" s="135">
        <f>SUM(C45:N45)</f>
        <v>0</v>
      </c>
      <c r="P45" s="61">
        <f t="shared" si="1"/>
        <v>43</v>
      </c>
    </row>
    <row r="46" spans="1:16" x14ac:dyDescent="0.3">
      <c r="A46" s="11">
        <f t="shared" si="2"/>
        <v>44</v>
      </c>
      <c r="B46" s="127" t="s">
        <v>410</v>
      </c>
      <c r="C46" s="83">
        <f t="shared" si="12"/>
        <v>0</v>
      </c>
      <c r="D46" s="83">
        <f t="shared" si="12"/>
        <v>0</v>
      </c>
      <c r="E46" s="83">
        <f t="shared" si="12"/>
        <v>0</v>
      </c>
      <c r="F46" s="83">
        <f t="shared" si="12"/>
        <v>0</v>
      </c>
      <c r="G46" s="83">
        <f t="shared" si="12"/>
        <v>0</v>
      </c>
      <c r="H46" s="83">
        <f t="shared" si="12"/>
        <v>0</v>
      </c>
      <c r="I46" s="83">
        <f t="shared" si="12"/>
        <v>0</v>
      </c>
      <c r="J46" s="83">
        <f t="shared" si="12"/>
        <v>0</v>
      </c>
      <c r="K46" s="83">
        <f t="shared" si="12"/>
        <v>0</v>
      </c>
      <c r="L46" s="83">
        <f t="shared" si="12"/>
        <v>0</v>
      </c>
      <c r="M46" s="83">
        <f t="shared" si="12"/>
        <v>0</v>
      </c>
      <c r="N46" s="83">
        <f t="shared" si="12"/>
        <v>0</v>
      </c>
      <c r="O46" s="135">
        <f>SUM(C46:N46)</f>
        <v>0</v>
      </c>
      <c r="P46" s="61">
        <f t="shared" si="1"/>
        <v>44</v>
      </c>
    </row>
    <row r="47" spans="1:16" x14ac:dyDescent="0.3">
      <c r="A47" s="11">
        <f t="shared" si="2"/>
        <v>45</v>
      </c>
      <c r="B47" s="127" t="s">
        <v>411</v>
      </c>
      <c r="C47" s="86">
        <f t="shared" si="12"/>
        <v>0</v>
      </c>
      <c r="D47" s="86">
        <f t="shared" si="12"/>
        <v>0</v>
      </c>
      <c r="E47" s="86">
        <f t="shared" si="12"/>
        <v>0</v>
      </c>
      <c r="F47" s="86">
        <f t="shared" si="12"/>
        <v>0</v>
      </c>
      <c r="G47" s="86">
        <f t="shared" si="12"/>
        <v>0</v>
      </c>
      <c r="H47" s="86">
        <f t="shared" si="12"/>
        <v>0</v>
      </c>
      <c r="I47" s="86">
        <f t="shared" si="12"/>
        <v>0</v>
      </c>
      <c r="J47" s="86">
        <f t="shared" si="12"/>
        <v>0</v>
      </c>
      <c r="K47" s="86">
        <f t="shared" si="12"/>
        <v>0</v>
      </c>
      <c r="L47" s="86">
        <f t="shared" si="12"/>
        <v>0</v>
      </c>
      <c r="M47" s="86">
        <f t="shared" si="12"/>
        <v>0</v>
      </c>
      <c r="N47" s="86">
        <f t="shared" si="12"/>
        <v>0</v>
      </c>
      <c r="O47" s="136">
        <f>SUM(C47:N47)</f>
        <v>0</v>
      </c>
      <c r="P47" s="61">
        <f t="shared" si="1"/>
        <v>45</v>
      </c>
    </row>
    <row r="48" spans="1:16" x14ac:dyDescent="0.3">
      <c r="A48" s="11">
        <f t="shared" si="2"/>
        <v>46</v>
      </c>
      <c r="C48" s="83">
        <f>SUM(C45:C47)</f>
        <v>0</v>
      </c>
      <c r="D48" s="83">
        <f>SUM(D45:D47)</f>
        <v>0</v>
      </c>
      <c r="E48" s="83">
        <f t="shared" ref="E48:N48" si="13">SUM(E45:E47)</f>
        <v>0</v>
      </c>
      <c r="F48" s="83">
        <f t="shared" si="13"/>
        <v>0</v>
      </c>
      <c r="G48" s="83">
        <f t="shared" si="13"/>
        <v>0</v>
      </c>
      <c r="H48" s="83">
        <f t="shared" si="13"/>
        <v>0</v>
      </c>
      <c r="I48" s="83">
        <f t="shared" si="13"/>
        <v>0</v>
      </c>
      <c r="J48" s="83">
        <f t="shared" si="13"/>
        <v>0</v>
      </c>
      <c r="K48" s="83">
        <f t="shared" si="13"/>
        <v>0</v>
      </c>
      <c r="L48" s="83">
        <f t="shared" si="13"/>
        <v>0</v>
      </c>
      <c r="M48" s="83">
        <f t="shared" si="13"/>
        <v>0</v>
      </c>
      <c r="N48" s="83">
        <f t="shared" si="13"/>
        <v>0</v>
      </c>
      <c r="O48" s="137">
        <f>SUM(O45:O47)</f>
        <v>0</v>
      </c>
      <c r="P48" s="61">
        <f t="shared" si="1"/>
        <v>46</v>
      </c>
    </row>
    <row r="49" spans="1:16" x14ac:dyDescent="0.3">
      <c r="A49" s="11">
        <f t="shared" si="2"/>
        <v>47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33"/>
      <c r="P49" s="61">
        <f t="shared" si="1"/>
        <v>47</v>
      </c>
    </row>
    <row r="50" spans="1:16" x14ac:dyDescent="0.3">
      <c r="A50" s="11">
        <f t="shared" si="2"/>
        <v>48</v>
      </c>
      <c r="B50" s="326"/>
      <c r="C50" s="379"/>
      <c r="D50" s="379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227"/>
      <c r="P50" s="61">
        <f t="shared" si="1"/>
        <v>48</v>
      </c>
    </row>
    <row r="51" spans="1:16" x14ac:dyDescent="0.3">
      <c r="A51" s="17">
        <f t="shared" si="2"/>
        <v>49</v>
      </c>
      <c r="B51" s="329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9"/>
      <c r="P51" s="61">
        <f t="shared" si="1"/>
        <v>49</v>
      </c>
    </row>
    <row r="52" spans="1:16" x14ac:dyDescent="0.3">
      <c r="A52" s="8">
        <f t="shared" si="2"/>
        <v>50</v>
      </c>
      <c r="B52" s="239" t="s">
        <v>412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33"/>
      <c r="P52" s="61">
        <f t="shared" si="1"/>
        <v>50</v>
      </c>
    </row>
    <row r="53" spans="1:16" x14ac:dyDescent="0.3">
      <c r="A53" s="11">
        <f t="shared" si="2"/>
        <v>51</v>
      </c>
      <c r="B53" s="239" t="s">
        <v>413</v>
      </c>
      <c r="C53" s="88">
        <f>C26</f>
        <v>46023</v>
      </c>
      <c r="D53" s="88">
        <f t="shared" ref="D53:N53" si="14">D26</f>
        <v>46054</v>
      </c>
      <c r="E53" s="88">
        <f t="shared" si="14"/>
        <v>46082</v>
      </c>
      <c r="F53" s="88">
        <f t="shared" si="14"/>
        <v>46113</v>
      </c>
      <c r="G53" s="88">
        <f t="shared" si="14"/>
        <v>46143</v>
      </c>
      <c r="H53" s="88">
        <f t="shared" si="14"/>
        <v>46174</v>
      </c>
      <c r="I53" s="88">
        <f t="shared" si="14"/>
        <v>46204</v>
      </c>
      <c r="J53" s="88">
        <f t="shared" si="14"/>
        <v>46235</v>
      </c>
      <c r="K53" s="88">
        <f t="shared" si="14"/>
        <v>46266</v>
      </c>
      <c r="L53" s="88">
        <f t="shared" si="14"/>
        <v>46296</v>
      </c>
      <c r="M53" s="88">
        <f t="shared" si="14"/>
        <v>46327</v>
      </c>
      <c r="N53" s="88">
        <f t="shared" si="14"/>
        <v>46357</v>
      </c>
      <c r="O53" s="129" t="s">
        <v>61</v>
      </c>
      <c r="P53" s="61">
        <f t="shared" si="1"/>
        <v>51</v>
      </c>
    </row>
    <row r="54" spans="1:16" x14ac:dyDescent="0.3">
      <c r="A54" s="11">
        <f t="shared" si="2"/>
        <v>52</v>
      </c>
      <c r="B54" s="235" t="s">
        <v>399</v>
      </c>
      <c r="C54" s="2">
        <f t="shared" ref="C54:N54" si="15">C11</f>
        <v>624623.34396358684</v>
      </c>
      <c r="D54" s="2">
        <f t="shared" si="15"/>
        <v>598275.54000922793</v>
      </c>
      <c r="E54" s="2">
        <f t="shared" si="15"/>
        <v>591888.33811396465</v>
      </c>
      <c r="F54" s="2">
        <f t="shared" si="15"/>
        <v>593322.4069488364</v>
      </c>
      <c r="G54" s="2">
        <f t="shared" si="15"/>
        <v>603056.33649390168</v>
      </c>
      <c r="H54" s="2">
        <f t="shared" si="15"/>
        <v>633872.26914044889</v>
      </c>
      <c r="I54" s="2">
        <f t="shared" si="15"/>
        <v>704820.31099111389</v>
      </c>
      <c r="J54" s="2">
        <f t="shared" si="15"/>
        <v>732706.68919207831</v>
      </c>
      <c r="K54" s="2">
        <f t="shared" si="15"/>
        <v>765160.86600524245</v>
      </c>
      <c r="L54" s="2">
        <f t="shared" si="15"/>
        <v>700464.73635272053</v>
      </c>
      <c r="M54" s="2">
        <f t="shared" si="15"/>
        <v>635921.14628863835</v>
      </c>
      <c r="N54" s="2">
        <f t="shared" si="15"/>
        <v>657229.98612820031</v>
      </c>
      <c r="O54" s="128">
        <f>SUM(C54:N54)</f>
        <v>7841341.9696279597</v>
      </c>
      <c r="P54" s="61">
        <f t="shared" si="1"/>
        <v>52</v>
      </c>
    </row>
    <row r="55" spans="1:16" x14ac:dyDescent="0.3">
      <c r="A55" s="11">
        <f t="shared" si="2"/>
        <v>53</v>
      </c>
      <c r="B55" s="23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133"/>
      <c r="P55" s="61">
        <f t="shared" si="1"/>
        <v>53</v>
      </c>
    </row>
    <row r="56" spans="1:16" x14ac:dyDescent="0.3">
      <c r="A56" s="11">
        <f t="shared" si="2"/>
        <v>54</v>
      </c>
      <c r="B56" s="235" t="s">
        <v>400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33"/>
      <c r="P56" s="61">
        <f t="shared" si="1"/>
        <v>54</v>
      </c>
    </row>
    <row r="57" spans="1:16" x14ac:dyDescent="0.3">
      <c r="A57" s="11">
        <f t="shared" si="2"/>
        <v>55</v>
      </c>
      <c r="B57" s="237" t="s">
        <v>401</v>
      </c>
      <c r="C57" s="160">
        <f>'[3]C. 2026 Forecast Sales'!B64</f>
        <v>0.74135771480741097</v>
      </c>
      <c r="D57" s="160">
        <f>'[3]C. 2026 Forecast Sales'!C64</f>
        <v>0.74135771480741097</v>
      </c>
      <c r="E57" s="160">
        <f>'[3]C. 2026 Forecast Sales'!D64</f>
        <v>0.74135771480741097</v>
      </c>
      <c r="F57" s="160">
        <f>'[3]C. 2026 Forecast Sales'!E64</f>
        <v>0.74135771480741097</v>
      </c>
      <c r="G57" s="160">
        <f>'[3]C. 2026 Forecast Sales'!F64</f>
        <v>0.74135771480741097</v>
      </c>
      <c r="H57" s="160">
        <f>'[3]C. 2026 Forecast Sales'!G64</f>
        <v>0.73649434752213505</v>
      </c>
      <c r="I57" s="160">
        <f>'[3]C. 2026 Forecast Sales'!H64</f>
        <v>0.73649434752213505</v>
      </c>
      <c r="J57" s="160">
        <f>'[3]C. 2026 Forecast Sales'!I64</f>
        <v>0.73649434752213505</v>
      </c>
      <c r="K57" s="160">
        <f>'[3]C. 2026 Forecast Sales'!J64</f>
        <v>0.73649434752213505</v>
      </c>
      <c r="L57" s="160">
        <f>'[3]C. 2026 Forecast Sales'!K64</f>
        <v>0.73649434752213505</v>
      </c>
      <c r="M57" s="160">
        <f>'[3]C. 2026 Forecast Sales'!L64</f>
        <v>0.74135771480741097</v>
      </c>
      <c r="N57" s="160">
        <f>'[3]C. 2026 Forecast Sales'!M64</f>
        <v>0.74135771480741097</v>
      </c>
      <c r="O57" s="161">
        <f>O62/O54</f>
        <v>0.73916397665458322</v>
      </c>
      <c r="P57" s="61">
        <f t="shared" si="1"/>
        <v>55</v>
      </c>
    </row>
    <row r="58" spans="1:16" x14ac:dyDescent="0.3">
      <c r="A58" s="11">
        <f t="shared" si="2"/>
        <v>56</v>
      </c>
      <c r="B58" s="237" t="s">
        <v>402</v>
      </c>
      <c r="C58" s="160">
        <f>'[3]C. 2026 Forecast Sales'!B65</f>
        <v>0.234987239387941</v>
      </c>
      <c r="D58" s="160">
        <f>'[3]C. 2026 Forecast Sales'!C65</f>
        <v>0.234987239387941</v>
      </c>
      <c r="E58" s="160">
        <f>'[3]C. 2026 Forecast Sales'!D65</f>
        <v>0.234987239387941</v>
      </c>
      <c r="F58" s="160">
        <f>'[3]C. 2026 Forecast Sales'!E65</f>
        <v>0.234987239387941</v>
      </c>
      <c r="G58" s="160">
        <f>'[3]C. 2026 Forecast Sales'!F65</f>
        <v>0.234987239387941</v>
      </c>
      <c r="H58" s="160">
        <f>'[3]C. 2026 Forecast Sales'!G65</f>
        <v>0.238622663573579</v>
      </c>
      <c r="I58" s="160">
        <f>'[3]C. 2026 Forecast Sales'!H65</f>
        <v>0.238622663573579</v>
      </c>
      <c r="J58" s="160">
        <f>'[3]C. 2026 Forecast Sales'!I65</f>
        <v>0.238622663573579</v>
      </c>
      <c r="K58" s="160">
        <f>'[3]C. 2026 Forecast Sales'!J65</f>
        <v>0.238622663573579</v>
      </c>
      <c r="L58" s="160">
        <f>'[3]C. 2026 Forecast Sales'!K65</f>
        <v>0.238622663573579</v>
      </c>
      <c r="M58" s="160">
        <f>'[3]C. 2026 Forecast Sales'!L65</f>
        <v>0.234987239387941</v>
      </c>
      <c r="N58" s="160">
        <f>'[3]C. 2026 Forecast Sales'!M65</f>
        <v>0.234987239387941</v>
      </c>
      <c r="O58" s="161">
        <f>O63/O54</f>
        <v>0.23662708443149605</v>
      </c>
      <c r="P58" s="61">
        <f t="shared" si="1"/>
        <v>56</v>
      </c>
    </row>
    <row r="59" spans="1:16" x14ac:dyDescent="0.3">
      <c r="A59" s="11">
        <f t="shared" si="2"/>
        <v>57</v>
      </c>
      <c r="B59" s="237" t="s">
        <v>403</v>
      </c>
      <c r="C59" s="160">
        <f>'[3]C. 2026 Forecast Sales'!B66</f>
        <v>2.36550458046474E-2</v>
      </c>
      <c r="D59" s="160">
        <f>'[3]C. 2026 Forecast Sales'!C66</f>
        <v>2.36550458046474E-2</v>
      </c>
      <c r="E59" s="160">
        <f>'[3]C. 2026 Forecast Sales'!D66</f>
        <v>2.36550458046474E-2</v>
      </c>
      <c r="F59" s="160">
        <f>'[3]C. 2026 Forecast Sales'!E66</f>
        <v>2.36550458046474E-2</v>
      </c>
      <c r="G59" s="160">
        <f>'[3]C. 2026 Forecast Sales'!F66</f>
        <v>2.36550458046474E-2</v>
      </c>
      <c r="H59" s="160">
        <f>'[3]C. 2026 Forecast Sales'!G66</f>
        <v>2.4882988904284899E-2</v>
      </c>
      <c r="I59" s="160">
        <f>'[3]C. 2026 Forecast Sales'!H66</f>
        <v>2.4882988904284899E-2</v>
      </c>
      <c r="J59" s="160">
        <f>'[3]C. 2026 Forecast Sales'!I66</f>
        <v>2.4882988904284899E-2</v>
      </c>
      <c r="K59" s="160">
        <f>'[3]C. 2026 Forecast Sales'!J66</f>
        <v>2.4882988904284899E-2</v>
      </c>
      <c r="L59" s="160">
        <f>'[3]C. 2026 Forecast Sales'!K66</f>
        <v>2.4882988904284899E-2</v>
      </c>
      <c r="M59" s="160">
        <f>'[3]C. 2026 Forecast Sales'!L66</f>
        <v>2.36550458046474E-2</v>
      </c>
      <c r="N59" s="160">
        <f>'[3]C. 2026 Forecast Sales'!M66</f>
        <v>2.36550458046474E-2</v>
      </c>
      <c r="O59" s="162">
        <f>O64/O54</f>
        <v>2.4208938913920085E-2</v>
      </c>
      <c r="P59" s="61">
        <f t="shared" si="1"/>
        <v>57</v>
      </c>
    </row>
    <row r="60" spans="1:16" x14ac:dyDescent="0.3">
      <c r="A60" s="11">
        <f t="shared" si="2"/>
        <v>58</v>
      </c>
      <c r="C60" s="160">
        <f>'[3]C. 2026 Forecast Sales'!B67</f>
        <v>0.99999999999999933</v>
      </c>
      <c r="D60" s="160">
        <f>'[3]C. 2026 Forecast Sales'!C67</f>
        <v>0.99999999999999933</v>
      </c>
      <c r="E60" s="160">
        <f>'[3]C. 2026 Forecast Sales'!D67</f>
        <v>0.99999999999999933</v>
      </c>
      <c r="F60" s="160">
        <f>'[3]C. 2026 Forecast Sales'!E67</f>
        <v>0.99999999999999933</v>
      </c>
      <c r="G60" s="160">
        <f>'[3]C. 2026 Forecast Sales'!F67</f>
        <v>0.99999999999999933</v>
      </c>
      <c r="H60" s="160">
        <f>'[3]C. 2026 Forecast Sales'!G67</f>
        <v>0.99999999999999889</v>
      </c>
      <c r="I60" s="160">
        <f>'[3]C. 2026 Forecast Sales'!H67</f>
        <v>0.99999999999999889</v>
      </c>
      <c r="J60" s="160">
        <f>'[3]C. 2026 Forecast Sales'!I67</f>
        <v>0.99999999999999889</v>
      </c>
      <c r="K60" s="160">
        <f>'[3]C. 2026 Forecast Sales'!J67</f>
        <v>0.99999999999999889</v>
      </c>
      <c r="L60" s="160">
        <f>'[3]C. 2026 Forecast Sales'!K67</f>
        <v>0.99999999999999889</v>
      </c>
      <c r="M60" s="160">
        <f>'[3]C. 2026 Forecast Sales'!L67</f>
        <v>0.99999999999999933</v>
      </c>
      <c r="N60" s="160">
        <f>'[3]C. 2026 Forecast Sales'!M67</f>
        <v>0.99999999999999933</v>
      </c>
      <c r="O60" s="161">
        <f>SUM(O57:O59)</f>
        <v>0.99999999999999933</v>
      </c>
      <c r="P60" s="61">
        <f t="shared" si="1"/>
        <v>58</v>
      </c>
    </row>
    <row r="61" spans="1:16" x14ac:dyDescent="0.3">
      <c r="A61" s="11">
        <f t="shared" si="2"/>
        <v>59</v>
      </c>
      <c r="B61" s="235" t="s">
        <v>399</v>
      </c>
      <c r="O61" s="133"/>
      <c r="P61" s="61">
        <f t="shared" si="1"/>
        <v>59</v>
      </c>
    </row>
    <row r="62" spans="1:16" x14ac:dyDescent="0.3">
      <c r="A62" s="11">
        <f t="shared" si="2"/>
        <v>60</v>
      </c>
      <c r="B62" s="127" t="s">
        <v>404</v>
      </c>
      <c r="C62" s="84">
        <f t="shared" ref="C62:N62" si="16">C54*C57</f>
        <v>463069.33489620819</v>
      </c>
      <c r="D62" s="84">
        <f t="shared" si="16"/>
        <v>443536.18716641096</v>
      </c>
      <c r="E62" s="84">
        <f t="shared" si="16"/>
        <v>438800.98576532502</v>
      </c>
      <c r="F62" s="84">
        <f t="shared" si="16"/>
        <v>439864.14375962206</v>
      </c>
      <c r="G62" s="84">
        <f t="shared" si="16"/>
        <v>447080.46752324805</v>
      </c>
      <c r="H62" s="84">
        <f t="shared" si="16"/>
        <v>466843.34327297006</v>
      </c>
      <c r="I62" s="84">
        <f t="shared" si="16"/>
        <v>519096.17506374873</v>
      </c>
      <c r="J62" s="84">
        <f t="shared" si="16"/>
        <v>539634.33498162357</v>
      </c>
      <c r="K62" s="84">
        <f t="shared" si="16"/>
        <v>563536.65275800286</v>
      </c>
      <c r="L62" s="84">
        <f t="shared" si="16"/>
        <v>515888.31896236126</v>
      </c>
      <c r="M62" s="84">
        <f t="shared" si="16"/>
        <v>471445.04781025421</v>
      </c>
      <c r="N62" s="84">
        <f t="shared" si="16"/>
        <v>487242.52061890898</v>
      </c>
      <c r="O62" s="128">
        <f>SUM(C62:N62)</f>
        <v>5796037.5125786848</v>
      </c>
      <c r="P62" s="61">
        <f t="shared" si="1"/>
        <v>60</v>
      </c>
    </row>
    <row r="63" spans="1:16" x14ac:dyDescent="0.3">
      <c r="A63" s="11">
        <f t="shared" si="2"/>
        <v>61</v>
      </c>
      <c r="B63" s="127" t="s">
        <v>414</v>
      </c>
      <c r="C63" s="84">
        <f t="shared" ref="C63:N63" si="17">C54*C58</f>
        <v>146778.51525526759</v>
      </c>
      <c r="D63" s="84">
        <f t="shared" si="17"/>
        <v>140587.11754009812</v>
      </c>
      <c r="E63" s="84">
        <f t="shared" si="17"/>
        <v>139086.20659931676</v>
      </c>
      <c r="F63" s="84">
        <f t="shared" si="17"/>
        <v>139423.19447591557</v>
      </c>
      <c r="G63" s="84">
        <f t="shared" si="17"/>
        <v>141710.54370810717</v>
      </c>
      <c r="H63" s="84">
        <f t="shared" si="17"/>
        <v>151256.28922772245</v>
      </c>
      <c r="I63" s="84">
        <f t="shared" si="17"/>
        <v>168186.09994945789</v>
      </c>
      <c r="J63" s="84">
        <f t="shared" si="17"/>
        <v>174840.42179319222</v>
      </c>
      <c r="K63" s="84">
        <f t="shared" si="17"/>
        <v>182584.72390843733</v>
      </c>
      <c r="L63" s="84">
        <f t="shared" si="17"/>
        <v>167146.76112785094</v>
      </c>
      <c r="M63" s="84">
        <f t="shared" si="17"/>
        <v>149433.3546347821</v>
      </c>
      <c r="N63" s="84">
        <f t="shared" si="17"/>
        <v>154440.66008324054</v>
      </c>
      <c r="O63" s="128">
        <f>SUM(C63:N63)</f>
        <v>1855473.8883033888</v>
      </c>
      <c r="P63" s="61">
        <f t="shared" si="1"/>
        <v>61</v>
      </c>
    </row>
    <row r="64" spans="1:16" x14ac:dyDescent="0.3">
      <c r="A64" s="11">
        <f t="shared" si="2"/>
        <v>62</v>
      </c>
      <c r="B64" s="127" t="s">
        <v>406</v>
      </c>
      <c r="C64" s="85">
        <f t="shared" ref="C64:N64" si="18">C54*C59</f>
        <v>14775.493812110675</v>
      </c>
      <c r="D64" s="85">
        <f t="shared" si="18"/>
        <v>14152.235302718445</v>
      </c>
      <c r="E64" s="85">
        <f t="shared" si="18"/>
        <v>14001.145749322461</v>
      </c>
      <c r="F64" s="85">
        <f t="shared" si="18"/>
        <v>14035.068713298369</v>
      </c>
      <c r="G64" s="85">
        <f t="shared" si="18"/>
        <v>14265.325262546099</v>
      </c>
      <c r="H64" s="85">
        <f t="shared" si="18"/>
        <v>15772.636639755681</v>
      </c>
      <c r="I64" s="85">
        <f t="shared" si="18"/>
        <v>17538.035977906518</v>
      </c>
      <c r="J64" s="85">
        <f t="shared" si="18"/>
        <v>18231.932417261807</v>
      </c>
      <c r="K64" s="85">
        <f t="shared" si="18"/>
        <v>19039.489338801472</v>
      </c>
      <c r="L64" s="85">
        <f t="shared" si="18"/>
        <v>17429.656262507593</v>
      </c>
      <c r="M64" s="85">
        <f t="shared" si="18"/>
        <v>15042.74384360162</v>
      </c>
      <c r="N64" s="85">
        <f t="shared" si="18"/>
        <v>15546.805426050354</v>
      </c>
      <c r="O64" s="131">
        <f>SUM(C64:N64)</f>
        <v>189830.56874588109</v>
      </c>
      <c r="P64" s="61">
        <f t="shared" si="1"/>
        <v>62</v>
      </c>
    </row>
    <row r="65" spans="1:21" x14ac:dyDescent="0.3">
      <c r="A65" s="11">
        <f t="shared" si="2"/>
        <v>63</v>
      </c>
      <c r="B65" s="238"/>
      <c r="C65" s="84">
        <f t="shared" ref="C65:O65" si="19">SUM(C62:C64)</f>
        <v>624623.34396358638</v>
      </c>
      <c r="D65" s="84">
        <f t="shared" si="19"/>
        <v>598275.54000922758</v>
      </c>
      <c r="E65" s="84">
        <f t="shared" si="19"/>
        <v>591888.3381139643</v>
      </c>
      <c r="F65" s="84">
        <f t="shared" si="19"/>
        <v>593322.40694883605</v>
      </c>
      <c r="G65" s="84">
        <f t="shared" si="19"/>
        <v>603056.33649390133</v>
      </c>
      <c r="H65" s="84">
        <f t="shared" si="19"/>
        <v>633872.26914044819</v>
      </c>
      <c r="I65" s="84">
        <f t="shared" si="19"/>
        <v>704820.31099111319</v>
      </c>
      <c r="J65" s="84">
        <f t="shared" si="19"/>
        <v>732706.68919207749</v>
      </c>
      <c r="K65" s="84">
        <f t="shared" si="19"/>
        <v>765160.86600524164</v>
      </c>
      <c r="L65" s="84">
        <f t="shared" si="19"/>
        <v>700464.73635271972</v>
      </c>
      <c r="M65" s="84">
        <f t="shared" si="19"/>
        <v>635921.146288638</v>
      </c>
      <c r="N65" s="84">
        <f t="shared" si="19"/>
        <v>657229.98612819985</v>
      </c>
      <c r="O65" s="132">
        <f t="shared" si="19"/>
        <v>7841341.969627955</v>
      </c>
      <c r="P65" s="61">
        <f t="shared" si="1"/>
        <v>63</v>
      </c>
    </row>
    <row r="66" spans="1:21" x14ac:dyDescent="0.3">
      <c r="A66" s="11">
        <f t="shared" si="2"/>
        <v>64</v>
      </c>
      <c r="B66" s="235" t="s">
        <v>415</v>
      </c>
      <c r="O66" s="133"/>
      <c r="P66" s="61">
        <f t="shared" si="1"/>
        <v>64</v>
      </c>
    </row>
    <row r="67" spans="1:21" x14ac:dyDescent="0.3">
      <c r="A67" s="11">
        <f t="shared" si="2"/>
        <v>65</v>
      </c>
      <c r="B67" s="237" t="s">
        <v>401</v>
      </c>
      <c r="C67" s="385">
        <f>'[3]C. 2026 Forecast Sales'!B74</f>
        <v>2.62507935042859E-3</v>
      </c>
      <c r="D67" s="385">
        <f>'[3]C. 2026 Forecast Sales'!C74</f>
        <v>2.62507935042859E-3</v>
      </c>
      <c r="E67" s="385">
        <f>'[3]C. 2026 Forecast Sales'!D74</f>
        <v>2.62507935042859E-3</v>
      </c>
      <c r="F67" s="385">
        <f>'[3]C. 2026 Forecast Sales'!E74</f>
        <v>2.62507935042859E-3</v>
      </c>
      <c r="G67" s="385">
        <f>'[3]C. 2026 Forecast Sales'!F74</f>
        <v>2.62507935042859E-3</v>
      </c>
      <c r="H67" s="385">
        <f>'[3]C. 2026 Forecast Sales'!G74</f>
        <v>2.6250685943222198E-3</v>
      </c>
      <c r="I67" s="385">
        <f>'[3]C. 2026 Forecast Sales'!H74</f>
        <v>2.6250685943222198E-3</v>
      </c>
      <c r="J67" s="385">
        <f>'[3]C. 2026 Forecast Sales'!I74</f>
        <v>2.6250685943222198E-3</v>
      </c>
      <c r="K67" s="385">
        <f>'[3]C. 2026 Forecast Sales'!J74</f>
        <v>2.6250685943222198E-3</v>
      </c>
      <c r="L67" s="385">
        <f>'[3]C. 2026 Forecast Sales'!K74</f>
        <v>2.6250685943222198E-3</v>
      </c>
      <c r="M67" s="385">
        <f>'[3]C. 2026 Forecast Sales'!L74</f>
        <v>2.62507935042859E-3</v>
      </c>
      <c r="N67" s="385">
        <f>'[3]C. 2026 Forecast Sales'!M74</f>
        <v>2.62507935042859E-3</v>
      </c>
      <c r="O67" s="163">
        <f>O72/O62</f>
        <v>2.6250745161526907E-3</v>
      </c>
      <c r="P67" s="61">
        <f t="shared" si="1"/>
        <v>65</v>
      </c>
    </row>
    <row r="68" spans="1:21" x14ac:dyDescent="0.3">
      <c r="A68" s="11">
        <f t="shared" si="2"/>
        <v>66</v>
      </c>
      <c r="B68" s="237" t="s">
        <v>402</v>
      </c>
      <c r="C68" s="385">
        <f>'[3]C. 2026 Forecast Sales'!B75</f>
        <v>2.1106876682580799E-3</v>
      </c>
      <c r="D68" s="385">
        <f>'[3]C. 2026 Forecast Sales'!C75</f>
        <v>2.1106876682580799E-3</v>
      </c>
      <c r="E68" s="385">
        <f>'[3]C. 2026 Forecast Sales'!D75</f>
        <v>2.1106876682580799E-3</v>
      </c>
      <c r="F68" s="385">
        <f>'[3]C. 2026 Forecast Sales'!E75</f>
        <v>2.1106876682580799E-3</v>
      </c>
      <c r="G68" s="385">
        <f>'[3]C. 2026 Forecast Sales'!F75</f>
        <v>2.1106876682580799E-3</v>
      </c>
      <c r="H68" s="385">
        <f>'[3]C. 2026 Forecast Sales'!G75</f>
        <v>2.0974007090810002E-3</v>
      </c>
      <c r="I68" s="385">
        <f>'[3]C. 2026 Forecast Sales'!H75</f>
        <v>2.0974007090810002E-3</v>
      </c>
      <c r="J68" s="385">
        <f>'[3]C. 2026 Forecast Sales'!I75</f>
        <v>2.0974007090810002E-3</v>
      </c>
      <c r="K68" s="385">
        <f>'[3]C. 2026 Forecast Sales'!J75</f>
        <v>2.0974007090810002E-3</v>
      </c>
      <c r="L68" s="385">
        <f>'[3]C. 2026 Forecast Sales'!K75</f>
        <v>2.0974007090810002E-3</v>
      </c>
      <c r="M68" s="385">
        <f>'[3]C. 2026 Forecast Sales'!L75</f>
        <v>2.1106876682580799E-3</v>
      </c>
      <c r="N68" s="385">
        <f>'[3]C. 2026 Forecast Sales'!M75</f>
        <v>2.1106876682580799E-3</v>
      </c>
      <c r="O68" s="163">
        <f>O73/O63</f>
        <v>2.1046437225218421E-3</v>
      </c>
      <c r="P68" s="61">
        <f t="shared" si="1"/>
        <v>66</v>
      </c>
    </row>
    <row r="69" spans="1:21" x14ac:dyDescent="0.3">
      <c r="A69" s="11">
        <f t="shared" si="2"/>
        <v>67</v>
      </c>
      <c r="B69" s="237" t="s">
        <v>403</v>
      </c>
      <c r="C69" s="385">
        <f>'[3]C. 2026 Forecast Sales'!B76</f>
        <v>1.22816455760107E-3</v>
      </c>
      <c r="D69" s="385">
        <f>'[3]C. 2026 Forecast Sales'!C76</f>
        <v>1.22816455760107E-3</v>
      </c>
      <c r="E69" s="385">
        <f>'[3]C. 2026 Forecast Sales'!D76</f>
        <v>1.22816455760107E-3</v>
      </c>
      <c r="F69" s="385">
        <f>'[3]C. 2026 Forecast Sales'!E76</f>
        <v>1.22816455760107E-3</v>
      </c>
      <c r="G69" s="385">
        <f>'[3]C. 2026 Forecast Sales'!F76</f>
        <v>1.22816455760107E-3</v>
      </c>
      <c r="H69" s="385">
        <f>'[3]C. 2026 Forecast Sales'!G76</f>
        <v>1.2187773237198501E-3</v>
      </c>
      <c r="I69" s="385">
        <f>'[3]C. 2026 Forecast Sales'!H76</f>
        <v>1.2187773237198501E-3</v>
      </c>
      <c r="J69" s="385">
        <f>'[3]C. 2026 Forecast Sales'!I76</f>
        <v>1.2187773237198501E-3</v>
      </c>
      <c r="K69" s="385">
        <f>'[3]C. 2026 Forecast Sales'!J76</f>
        <v>1.2187773237198501E-3</v>
      </c>
      <c r="L69" s="385">
        <f>'[3]C. 2026 Forecast Sales'!K76</f>
        <v>1.2187773237198501E-3</v>
      </c>
      <c r="M69" s="385">
        <f>'[3]C. 2026 Forecast Sales'!L76</f>
        <v>1.22816455760107E-3</v>
      </c>
      <c r="N69" s="385">
        <f>'[3]C. 2026 Forecast Sales'!M76</f>
        <v>1.22816455760107E-3</v>
      </c>
      <c r="O69" s="163">
        <f>O74/O64</f>
        <v>1.2238123244861607E-3</v>
      </c>
      <c r="P69" s="61">
        <f t="shared" si="1"/>
        <v>67</v>
      </c>
    </row>
    <row r="70" spans="1:21" x14ac:dyDescent="0.3">
      <c r="A70" s="11">
        <f t="shared" si="2"/>
        <v>68</v>
      </c>
      <c r="C70" s="388"/>
      <c r="D70" s="388"/>
      <c r="E70" s="388"/>
      <c r="F70" s="388"/>
      <c r="G70" s="388"/>
      <c r="H70" s="388"/>
      <c r="I70" s="388"/>
      <c r="J70" s="388"/>
      <c r="K70" s="388"/>
      <c r="L70" s="388"/>
      <c r="M70" s="388"/>
      <c r="N70" s="388"/>
      <c r="O70" s="133"/>
      <c r="P70" s="61">
        <f t="shared" si="1"/>
        <v>68</v>
      </c>
    </row>
    <row r="71" spans="1:21" x14ac:dyDescent="0.3">
      <c r="A71" s="11">
        <f t="shared" si="2"/>
        <v>69</v>
      </c>
      <c r="B71" s="235" t="s">
        <v>416</v>
      </c>
      <c r="O71" s="133"/>
      <c r="P71" s="61">
        <f t="shared" si="1"/>
        <v>69</v>
      </c>
    </row>
    <row r="72" spans="1:21" x14ac:dyDescent="0.3">
      <c r="A72" s="11">
        <f t="shared" si="2"/>
        <v>70</v>
      </c>
      <c r="B72" s="127" t="s">
        <v>409</v>
      </c>
      <c r="C72" s="83">
        <f>C62*C67</f>
        <v>1215.5937488527375</v>
      </c>
      <c r="D72" s="83">
        <f t="shared" ref="C72:N74" si="20">D62*D67</f>
        <v>1164.3176860983756</v>
      </c>
      <c r="E72" s="83">
        <f t="shared" si="20"/>
        <v>1151.8874066802643</v>
      </c>
      <c r="F72" s="83">
        <f t="shared" si="20"/>
        <v>1154.6782807773366</v>
      </c>
      <c r="G72" s="83">
        <f t="shared" si="20"/>
        <v>1173.6217032752384</v>
      </c>
      <c r="H72" s="83">
        <f t="shared" si="20"/>
        <v>1225.495798894261</v>
      </c>
      <c r="I72" s="83">
        <f t="shared" si="20"/>
        <v>1362.6630665926359</v>
      </c>
      <c r="J72" s="83">
        <f t="shared" si="20"/>
        <v>1416.5771451782166</v>
      </c>
      <c r="K72" s="83">
        <f t="shared" si="20"/>
        <v>1479.3223689044994</v>
      </c>
      <c r="L72" s="83">
        <f t="shared" si="20"/>
        <v>1354.2422242857785</v>
      </c>
      <c r="M72" s="83">
        <f t="shared" si="20"/>
        <v>1237.5806598685176</v>
      </c>
      <c r="N72" s="83">
        <f t="shared" si="20"/>
        <v>1279.0502795274745</v>
      </c>
      <c r="O72" s="135">
        <f>SUM(C72:N72)</f>
        <v>15215.030368935337</v>
      </c>
      <c r="P72" s="61">
        <f t="shared" si="1"/>
        <v>70</v>
      </c>
    </row>
    <row r="73" spans="1:21" x14ac:dyDescent="0.3">
      <c r="A73" s="11">
        <f t="shared" si="2"/>
        <v>71</v>
      </c>
      <c r="B73" s="127" t="s">
        <v>410</v>
      </c>
      <c r="C73" s="83">
        <f t="shared" si="20"/>
        <v>309.80360211452376</v>
      </c>
      <c r="D73" s="83">
        <f t="shared" si="20"/>
        <v>296.7354953078343</v>
      </c>
      <c r="E73" s="83">
        <f t="shared" si="20"/>
        <v>293.56754109397349</v>
      </c>
      <c r="F73" s="83">
        <f t="shared" si="20"/>
        <v>294.27881724946303</v>
      </c>
      <c r="G73" s="83">
        <f t="shared" si="20"/>
        <v>299.10669706684945</v>
      </c>
      <c r="H73" s="83">
        <f t="shared" si="20"/>
        <v>317.24504827918594</v>
      </c>
      <c r="I73" s="83">
        <f t="shared" si="20"/>
        <v>352.75364529156093</v>
      </c>
      <c r="J73" s="83">
        <f t="shared" si="20"/>
        <v>366.71042464506252</v>
      </c>
      <c r="K73" s="83">
        <f t="shared" si="20"/>
        <v>382.95332939291512</v>
      </c>
      <c r="L73" s="83">
        <f t="shared" si="20"/>
        <v>350.57373531014713</v>
      </c>
      <c r="M73" s="83">
        <f t="shared" si="20"/>
        <v>315.40713885407098</v>
      </c>
      <c r="N73" s="83">
        <f t="shared" si="20"/>
        <v>325.97599671533368</v>
      </c>
      <c r="O73" s="135">
        <f>SUM(C73:N73)</f>
        <v>3905.1114713209208</v>
      </c>
      <c r="P73" s="61">
        <f t="shared" si="1"/>
        <v>71</v>
      </c>
    </row>
    <row r="74" spans="1:21" x14ac:dyDescent="0.3">
      <c r="A74" s="11">
        <f t="shared" ref="A74:A157" si="21">A73+1</f>
        <v>72</v>
      </c>
      <c r="B74" s="127" t="s">
        <v>411</v>
      </c>
      <c r="C74" s="86">
        <f t="shared" si="20"/>
        <v>18.146737821088255</v>
      </c>
      <c r="D74" s="86">
        <f t="shared" si="20"/>
        <v>17.381273809629445</v>
      </c>
      <c r="E74" s="86">
        <f t="shared" si="20"/>
        <v>17.195710975124722</v>
      </c>
      <c r="F74" s="86">
        <f t="shared" si="20"/>
        <v>17.23737395716871</v>
      </c>
      <c r="G74" s="86">
        <f t="shared" si="20"/>
        <v>17.5201668901103</v>
      </c>
      <c r="H74" s="86">
        <f t="shared" si="20"/>
        <v>19.22333187180708</v>
      </c>
      <c r="I74" s="86">
        <f t="shared" si="20"/>
        <v>21.374960552455349</v>
      </c>
      <c r="J74" s="86">
        <f t="shared" si="20"/>
        <v>22.220665797751522</v>
      </c>
      <c r="K74" s="86">
        <f t="shared" si="20"/>
        <v>23.204897861337074</v>
      </c>
      <c r="L74" s="86">
        <f t="shared" si="20"/>
        <v>21.242869812975929</v>
      </c>
      <c r="M74" s="86">
        <f t="shared" si="20"/>
        <v>18.474964837783205</v>
      </c>
      <c r="N74" s="86">
        <f t="shared" si="20"/>
        <v>19.094035408195047</v>
      </c>
      <c r="O74" s="136">
        <f>SUM(C74:N74)</f>
        <v>232.31698959542666</v>
      </c>
      <c r="P74" s="61">
        <f t="shared" ref="P74:P137" si="22">P73+1</f>
        <v>72</v>
      </c>
    </row>
    <row r="75" spans="1:21" x14ac:dyDescent="0.3">
      <c r="A75" s="11">
        <f t="shared" si="21"/>
        <v>73</v>
      </c>
      <c r="C75" s="83">
        <f t="shared" ref="C75:O75" si="23">SUM(C72:C74)</f>
        <v>1543.5440887883494</v>
      </c>
      <c r="D75" s="83">
        <f t="shared" si="23"/>
        <v>1478.4344552158393</v>
      </c>
      <c r="E75" s="83">
        <f t="shared" si="23"/>
        <v>1462.6506587493625</v>
      </c>
      <c r="F75" s="83">
        <f t="shared" si="23"/>
        <v>1466.1944719839682</v>
      </c>
      <c r="G75" s="83">
        <f t="shared" si="23"/>
        <v>1490.248567232198</v>
      </c>
      <c r="H75" s="83">
        <f t="shared" si="23"/>
        <v>1561.964179045254</v>
      </c>
      <c r="I75" s="83">
        <f t="shared" si="23"/>
        <v>1736.7916724366523</v>
      </c>
      <c r="J75" s="83">
        <f t="shared" si="23"/>
        <v>1805.5082356210307</v>
      </c>
      <c r="K75" s="83">
        <f t="shared" si="23"/>
        <v>1885.4805961587515</v>
      </c>
      <c r="L75" s="83">
        <f t="shared" si="23"/>
        <v>1726.0588294089016</v>
      </c>
      <c r="M75" s="83">
        <f t="shared" si="23"/>
        <v>1571.462763560372</v>
      </c>
      <c r="N75" s="83">
        <f t="shared" si="23"/>
        <v>1624.120311651003</v>
      </c>
      <c r="O75" s="137">
        <f t="shared" si="23"/>
        <v>19352.458829851683</v>
      </c>
      <c r="P75" s="61">
        <f t="shared" si="22"/>
        <v>73</v>
      </c>
      <c r="U75" s="83"/>
    </row>
    <row r="76" spans="1:21" ht="21.75" x14ac:dyDescent="0.3">
      <c r="A76" s="11">
        <f t="shared" si="21"/>
        <v>74</v>
      </c>
      <c r="B76" s="235" t="s">
        <v>417</v>
      </c>
      <c r="O76" s="130"/>
      <c r="P76" s="61">
        <f t="shared" si="22"/>
        <v>74</v>
      </c>
    </row>
    <row r="77" spans="1:21" x14ac:dyDescent="0.3">
      <c r="A77" s="11">
        <f t="shared" si="21"/>
        <v>75</v>
      </c>
      <c r="B77" s="237" t="s">
        <v>401</v>
      </c>
      <c r="C77" s="385">
        <f>'[3]C. 2026 Forecast Sales'!B84</f>
        <v>2.4318459450238098E-3</v>
      </c>
      <c r="D77" s="385">
        <f>'[3]C. 2026 Forecast Sales'!C84</f>
        <v>2.4318459450238098E-3</v>
      </c>
      <c r="E77" s="385">
        <f>'[3]C. 2026 Forecast Sales'!D84</f>
        <v>2.4318459450238098E-3</v>
      </c>
      <c r="F77" s="385">
        <f>'[3]C. 2026 Forecast Sales'!E84</f>
        <v>2.4318459450238098E-3</v>
      </c>
      <c r="G77" s="385">
        <f>'[3]C. 2026 Forecast Sales'!F84</f>
        <v>2.4318459450238098E-3</v>
      </c>
      <c r="H77" s="385">
        <f>'[3]C. 2026 Forecast Sales'!G84</f>
        <v>2.4779039437715501E-3</v>
      </c>
      <c r="I77" s="385">
        <f>'[3]C. 2026 Forecast Sales'!H84</f>
        <v>2.4779039437715501E-3</v>
      </c>
      <c r="J77" s="385">
        <f>'[3]C. 2026 Forecast Sales'!I84</f>
        <v>2.4779039437715501E-3</v>
      </c>
      <c r="K77" s="385">
        <f>'[3]C. 2026 Forecast Sales'!J84</f>
        <v>2.4779039437715501E-3</v>
      </c>
      <c r="L77" s="385">
        <f>'[3]C. 2026 Forecast Sales'!K84</f>
        <v>2.4779039437715501E-3</v>
      </c>
      <c r="M77" s="385">
        <f>'[3]C. 2026 Forecast Sales'!L84</f>
        <v>2.4318459450238098E-3</v>
      </c>
      <c r="N77" s="385">
        <f>'[3]C. 2026 Forecast Sales'!M84</f>
        <v>2.4318459450238098E-3</v>
      </c>
      <c r="O77" s="164">
        <f>O82/O62</f>
        <v>2.4525464722997478E-3</v>
      </c>
      <c r="P77" s="61">
        <f t="shared" si="22"/>
        <v>75</v>
      </c>
    </row>
    <row r="78" spans="1:21" x14ac:dyDescent="0.3">
      <c r="A78" s="11">
        <f t="shared" si="21"/>
        <v>76</v>
      </c>
      <c r="B78" s="237" t="s">
        <v>402</v>
      </c>
      <c r="C78" s="385">
        <f>'[3]C. 2026 Forecast Sales'!B85</f>
        <v>2.04653656864236E-3</v>
      </c>
      <c r="D78" s="385">
        <f>'[3]C. 2026 Forecast Sales'!C85</f>
        <v>2.04653656864236E-3</v>
      </c>
      <c r="E78" s="385">
        <f>'[3]C. 2026 Forecast Sales'!D85</f>
        <v>2.04653656864236E-3</v>
      </c>
      <c r="F78" s="385">
        <f>'[3]C. 2026 Forecast Sales'!E85</f>
        <v>2.04653656864236E-3</v>
      </c>
      <c r="G78" s="385">
        <f>'[3]C. 2026 Forecast Sales'!F85</f>
        <v>2.04653656864236E-3</v>
      </c>
      <c r="H78" s="385">
        <f>'[3]C. 2026 Forecast Sales'!G85</f>
        <v>2.0356020413727898E-3</v>
      </c>
      <c r="I78" s="385">
        <f>'[3]C. 2026 Forecast Sales'!H85</f>
        <v>2.0356020413727898E-3</v>
      </c>
      <c r="J78" s="385">
        <f>'[3]C. 2026 Forecast Sales'!I85</f>
        <v>2.0356020413727898E-3</v>
      </c>
      <c r="K78" s="385">
        <f>'[3]C. 2026 Forecast Sales'!J85</f>
        <v>2.0356020413727898E-3</v>
      </c>
      <c r="L78" s="385">
        <f>'[3]C. 2026 Forecast Sales'!K85</f>
        <v>2.0356020413727898E-3</v>
      </c>
      <c r="M78" s="385">
        <f>'[3]C. 2026 Forecast Sales'!L85</f>
        <v>2.04653656864236E-3</v>
      </c>
      <c r="N78" s="385">
        <f>'[3]C. 2026 Forecast Sales'!M85</f>
        <v>2.04653656864236E-3</v>
      </c>
      <c r="O78" s="164">
        <f>O83/O63</f>
        <v>2.0415626924839454E-3</v>
      </c>
      <c r="P78" s="61">
        <f t="shared" si="22"/>
        <v>76</v>
      </c>
    </row>
    <row r="79" spans="1:21" x14ac:dyDescent="0.3">
      <c r="A79" s="11">
        <f t="shared" si="21"/>
        <v>77</v>
      </c>
      <c r="B79" s="237" t="s">
        <v>403</v>
      </c>
      <c r="C79" s="385">
        <f>'[3]C. 2026 Forecast Sales'!B86</f>
        <v>2.9884826284296701E-3</v>
      </c>
      <c r="D79" s="385">
        <f>'[3]C. 2026 Forecast Sales'!C86</f>
        <v>2.9884826284296701E-3</v>
      </c>
      <c r="E79" s="385">
        <f>'[3]C. 2026 Forecast Sales'!D86</f>
        <v>2.9884826284296701E-3</v>
      </c>
      <c r="F79" s="385">
        <f>'[3]C. 2026 Forecast Sales'!E86</f>
        <v>2.9884826284296701E-3</v>
      </c>
      <c r="G79" s="385">
        <f>'[3]C. 2026 Forecast Sales'!F86</f>
        <v>2.9884826284296701E-3</v>
      </c>
      <c r="H79" s="385">
        <f>'[3]C. 2026 Forecast Sales'!G86</f>
        <v>2.54633386718982E-3</v>
      </c>
      <c r="I79" s="385">
        <f>'[3]C. 2026 Forecast Sales'!H86</f>
        <v>2.54633386718982E-3</v>
      </c>
      <c r="J79" s="385">
        <f>'[3]C. 2026 Forecast Sales'!I86</f>
        <v>2.54633386718982E-3</v>
      </c>
      <c r="K79" s="385">
        <f>'[3]C. 2026 Forecast Sales'!J86</f>
        <v>2.54633386718982E-3</v>
      </c>
      <c r="L79" s="385">
        <f>'[3]C. 2026 Forecast Sales'!K86</f>
        <v>2.54633386718982E-3</v>
      </c>
      <c r="M79" s="385">
        <f>'[3]C. 2026 Forecast Sales'!L86</f>
        <v>2.9884826284296701E-3</v>
      </c>
      <c r="N79" s="385">
        <f>'[3]C. 2026 Forecast Sales'!M86</f>
        <v>2.9884826284296701E-3</v>
      </c>
      <c r="O79" s="164">
        <f>O84/O64</f>
        <v>2.783487791320721E-3</v>
      </c>
      <c r="P79" s="61">
        <f t="shared" si="22"/>
        <v>77</v>
      </c>
    </row>
    <row r="80" spans="1:21" x14ac:dyDescent="0.3">
      <c r="A80" s="11">
        <f t="shared" si="21"/>
        <v>78</v>
      </c>
      <c r="B80" s="237"/>
      <c r="C80" s="83"/>
      <c r="D80" s="83"/>
      <c r="E80" s="83"/>
      <c r="F80" s="83"/>
      <c r="G80" s="389"/>
      <c r="H80" s="83"/>
      <c r="I80" s="83"/>
      <c r="J80" s="83"/>
      <c r="K80" s="83"/>
      <c r="L80" s="83"/>
      <c r="M80" s="83"/>
      <c r="N80" s="83"/>
      <c r="O80" s="133"/>
      <c r="P80" s="61">
        <f t="shared" si="22"/>
        <v>78</v>
      </c>
    </row>
    <row r="81" spans="1:21" ht="21.75" x14ac:dyDescent="0.3">
      <c r="A81" s="11">
        <f t="shared" si="21"/>
        <v>79</v>
      </c>
      <c r="B81" s="235" t="s">
        <v>418</v>
      </c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133"/>
      <c r="P81" s="61">
        <f t="shared" si="22"/>
        <v>79</v>
      </c>
    </row>
    <row r="82" spans="1:21" x14ac:dyDescent="0.3">
      <c r="A82" s="11">
        <f t="shared" si="21"/>
        <v>80</v>
      </c>
      <c r="B82" s="127" t="s">
        <v>409</v>
      </c>
      <c r="C82" s="83">
        <f>C62*C77</f>
        <v>1126.1132843322166</v>
      </c>
      <c r="D82" s="83">
        <f t="shared" ref="C82:N84" si="24">D62*D77</f>
        <v>1078.611678231958</v>
      </c>
      <c r="E82" s="83">
        <f t="shared" si="24"/>
        <v>1067.0963979058561</v>
      </c>
      <c r="F82" s="83">
        <f t="shared" si="24"/>
        <v>1069.6818343632071</v>
      </c>
      <c r="G82" s="83">
        <f t="shared" si="24"/>
        <v>1087.2308220457599</v>
      </c>
      <c r="H82" s="83">
        <f t="shared" si="24"/>
        <v>1156.792961419588</v>
      </c>
      <c r="I82" s="83">
        <f t="shared" si="24"/>
        <v>1286.2704593871899</v>
      </c>
      <c r="J82" s="83">
        <f t="shared" si="24"/>
        <v>1337.1620468455028</v>
      </c>
      <c r="K82" s="83">
        <f t="shared" si="24"/>
        <v>1396.3896943288739</v>
      </c>
      <c r="L82" s="83">
        <f t="shared" si="24"/>
        <v>1278.3217001025102</v>
      </c>
      <c r="M82" s="83">
        <f t="shared" si="24"/>
        <v>1146.4817278189228</v>
      </c>
      <c r="N82" s="83">
        <f t="shared" si="24"/>
        <v>1184.8987480102739</v>
      </c>
      <c r="O82" s="135">
        <f>SUM(C82:N82)</f>
        <v>14215.051354791858</v>
      </c>
      <c r="P82" s="61">
        <f t="shared" si="22"/>
        <v>80</v>
      </c>
    </row>
    <row r="83" spans="1:21" x14ac:dyDescent="0.3">
      <c r="A83" s="11">
        <f t="shared" si="21"/>
        <v>81</v>
      </c>
      <c r="B83" s="127" t="s">
        <v>410</v>
      </c>
      <c r="C83" s="83">
        <f t="shared" si="24"/>
        <v>300.38759896093563</v>
      </c>
      <c r="D83" s="83">
        <f t="shared" si="24"/>
        <v>287.71667712583252</v>
      </c>
      <c r="E83" s="83">
        <f t="shared" si="24"/>
        <v>284.64500799924809</v>
      </c>
      <c r="F83" s="83">
        <f t="shared" si="24"/>
        <v>285.33466601189673</v>
      </c>
      <c r="G83" s="83">
        <f t="shared" si="24"/>
        <v>290.01580986083286</v>
      </c>
      <c r="H83" s="83">
        <f t="shared" si="24"/>
        <v>307.89761112242491</v>
      </c>
      <c r="I83" s="83">
        <f t="shared" si="24"/>
        <v>342.35996838764453</v>
      </c>
      <c r="J83" s="83">
        <f t="shared" si="24"/>
        <v>355.9055195167017</v>
      </c>
      <c r="K83" s="83">
        <f t="shared" si="24"/>
        <v>371.66983671150223</v>
      </c>
      <c r="L83" s="83">
        <f t="shared" si="24"/>
        <v>340.24428816070343</v>
      </c>
      <c r="M83" s="83">
        <f t="shared" si="24"/>
        <v>305.82082483498385</v>
      </c>
      <c r="N83" s="83">
        <f t="shared" si="24"/>
        <v>316.06845854561618</v>
      </c>
      <c r="O83" s="135">
        <f>SUM(C83:N83)</f>
        <v>3788.0662672383223</v>
      </c>
      <c r="P83" s="61">
        <f t="shared" si="22"/>
        <v>81</v>
      </c>
    </row>
    <row r="84" spans="1:21" x14ac:dyDescent="0.3">
      <c r="A84" s="11">
        <f t="shared" si="21"/>
        <v>82</v>
      </c>
      <c r="B84" s="127" t="s">
        <v>411</v>
      </c>
      <c r="C84" s="86">
        <f t="shared" si="24"/>
        <v>44.156306583962838</v>
      </c>
      <c r="D84" s="86">
        <f t="shared" si="24"/>
        <v>42.293709355623186</v>
      </c>
      <c r="E84" s="86">
        <f t="shared" si="24"/>
        <v>41.842180849962091</v>
      </c>
      <c r="F84" s="86">
        <f t="shared" si="24"/>
        <v>41.943559038508937</v>
      </c>
      <c r="G84" s="86">
        <f t="shared" si="24"/>
        <v>42.631676736017937</v>
      </c>
      <c r="H84" s="86">
        <f t="shared" si="24"/>
        <v>40.16239885068893</v>
      </c>
      <c r="I84" s="86">
        <f t="shared" si="24"/>
        <v>44.657694974536902</v>
      </c>
      <c r="J84" s="86">
        <f t="shared" si="24"/>
        <v>46.424586978389698</v>
      </c>
      <c r="K84" s="86">
        <f t="shared" si="24"/>
        <v>48.480896517389702</v>
      </c>
      <c r="L84" s="86">
        <f t="shared" si="24"/>
        <v>44.381724034700227</v>
      </c>
      <c r="M84" s="86">
        <f t="shared" si="24"/>
        <v>44.954978660520808</v>
      </c>
      <c r="N84" s="86">
        <f t="shared" si="24"/>
        <v>46.46135794332762</v>
      </c>
      <c r="O84" s="136">
        <f>SUM(C84:N84)</f>
        <v>528.39107052362885</v>
      </c>
      <c r="P84" s="61">
        <f t="shared" si="22"/>
        <v>82</v>
      </c>
    </row>
    <row r="85" spans="1:21" x14ac:dyDescent="0.3">
      <c r="A85" s="11">
        <f t="shared" si="21"/>
        <v>83</v>
      </c>
      <c r="C85" s="83">
        <f t="shared" ref="C85:O85" si="25">SUM(C82:C84)</f>
        <v>1470.6571898771149</v>
      </c>
      <c r="D85" s="83">
        <f t="shared" si="25"/>
        <v>1408.6220647134137</v>
      </c>
      <c r="E85" s="83">
        <f t="shared" si="25"/>
        <v>1393.5835867550661</v>
      </c>
      <c r="F85" s="83">
        <f t="shared" si="25"/>
        <v>1396.960059413613</v>
      </c>
      <c r="G85" s="83">
        <f t="shared" si="25"/>
        <v>1419.8783086426106</v>
      </c>
      <c r="H85" s="83">
        <f t="shared" si="25"/>
        <v>1504.8529713927019</v>
      </c>
      <c r="I85" s="83">
        <f t="shared" si="25"/>
        <v>1673.2881227493715</v>
      </c>
      <c r="J85" s="83">
        <f t="shared" si="25"/>
        <v>1739.4921533405943</v>
      </c>
      <c r="K85" s="83">
        <f t="shared" si="25"/>
        <v>1816.540427557766</v>
      </c>
      <c r="L85" s="83">
        <f t="shared" si="25"/>
        <v>1662.947712297914</v>
      </c>
      <c r="M85" s="83">
        <f t="shared" si="25"/>
        <v>1497.2575313144273</v>
      </c>
      <c r="N85" s="83">
        <f t="shared" si="25"/>
        <v>1547.4285644992178</v>
      </c>
      <c r="O85" s="137">
        <f t="shared" si="25"/>
        <v>18531.508692553809</v>
      </c>
      <c r="P85" s="61">
        <f t="shared" si="22"/>
        <v>83</v>
      </c>
      <c r="U85" s="83"/>
    </row>
    <row r="86" spans="1:21" ht="21.75" x14ac:dyDescent="0.3">
      <c r="A86" s="11">
        <f t="shared" si="21"/>
        <v>84</v>
      </c>
      <c r="B86" s="235" t="s">
        <v>419</v>
      </c>
      <c r="O86" s="130"/>
      <c r="P86" s="61">
        <f t="shared" si="22"/>
        <v>84</v>
      </c>
      <c r="U86" s="83"/>
    </row>
    <row r="87" spans="1:21" x14ac:dyDescent="0.3">
      <c r="A87" s="11">
        <f t="shared" si="21"/>
        <v>85</v>
      </c>
      <c r="B87" s="237" t="s">
        <v>401</v>
      </c>
      <c r="C87" s="385">
        <f>'[3]C. 2026 Forecast Sales'!B95</f>
        <v>2.2809262336616399E-3</v>
      </c>
      <c r="D87" s="385">
        <f>'[3]C. 2026 Forecast Sales'!C95</f>
        <v>2.2809262336616399E-3</v>
      </c>
      <c r="E87" s="385">
        <f>'[3]C. 2026 Forecast Sales'!D95</f>
        <v>2.2809262336616399E-3</v>
      </c>
      <c r="F87" s="385">
        <f>'[3]C. 2026 Forecast Sales'!E95</f>
        <v>2.2809262336616399E-3</v>
      </c>
      <c r="G87" s="385">
        <f>'[3]C. 2026 Forecast Sales'!F95</f>
        <v>2.2809262336616399E-3</v>
      </c>
      <c r="H87" s="385">
        <f>'[3]C. 2026 Forecast Sales'!G95</f>
        <v>2.66665113284539E-3</v>
      </c>
      <c r="I87" s="385">
        <f>'[3]C. 2026 Forecast Sales'!H95</f>
        <v>2.66665113284539E-3</v>
      </c>
      <c r="J87" s="385">
        <f>'[3]C. 2026 Forecast Sales'!I95</f>
        <v>2.66665113284539E-3</v>
      </c>
      <c r="K87" s="385">
        <f>'[3]C. 2026 Forecast Sales'!J95</f>
        <v>2.66665113284539E-3</v>
      </c>
      <c r="L87" s="385">
        <f>'[3]C. 2026 Forecast Sales'!K95</f>
        <v>2.66665113284539E-3</v>
      </c>
      <c r="M87" s="385">
        <f>'[3]C. 2026 Forecast Sales'!L95</f>
        <v>2.2809262336616399E-3</v>
      </c>
      <c r="N87" s="385">
        <f>'[3]C. 2026 Forecast Sales'!M95</f>
        <v>2.2809262336616399E-3</v>
      </c>
      <c r="O87" s="246">
        <f>O92/O62</f>
        <v>2.4542882774684946E-3</v>
      </c>
      <c r="P87" s="61">
        <f t="shared" si="22"/>
        <v>85</v>
      </c>
      <c r="U87" s="83"/>
    </row>
    <row r="88" spans="1:21" x14ac:dyDescent="0.3">
      <c r="A88" s="11">
        <f t="shared" si="21"/>
        <v>86</v>
      </c>
      <c r="B88" s="237" t="s">
        <v>402</v>
      </c>
      <c r="C88" s="385">
        <f>'[3]C. 2026 Forecast Sales'!B96</f>
        <v>1.9725401325032198E-3</v>
      </c>
      <c r="D88" s="385">
        <f>'[3]C. 2026 Forecast Sales'!C96</f>
        <v>1.9725401325032198E-3</v>
      </c>
      <c r="E88" s="385">
        <f>'[3]C. 2026 Forecast Sales'!D96</f>
        <v>1.9725401325032198E-3</v>
      </c>
      <c r="F88" s="385">
        <f>'[3]C. 2026 Forecast Sales'!E96</f>
        <v>1.9725401325032198E-3</v>
      </c>
      <c r="G88" s="385">
        <f>'[3]C. 2026 Forecast Sales'!F96</f>
        <v>1.9725401325032198E-3</v>
      </c>
      <c r="H88" s="385">
        <f>'[3]C. 2026 Forecast Sales'!G96</f>
        <v>2.14303440313226E-3</v>
      </c>
      <c r="I88" s="385">
        <f>'[3]C. 2026 Forecast Sales'!H96</f>
        <v>2.14303440313226E-3</v>
      </c>
      <c r="J88" s="385">
        <f>'[3]C. 2026 Forecast Sales'!I96</f>
        <v>2.14303440313226E-3</v>
      </c>
      <c r="K88" s="385">
        <f>'[3]C. 2026 Forecast Sales'!J96</f>
        <v>2.14303440313226E-3</v>
      </c>
      <c r="L88" s="385">
        <f>'[3]C. 2026 Forecast Sales'!K96</f>
        <v>2.14303440313226E-3</v>
      </c>
      <c r="M88" s="385">
        <f>'[3]C. 2026 Forecast Sales'!L96</f>
        <v>1.9725401325032198E-3</v>
      </c>
      <c r="N88" s="385">
        <f>'[3]C. 2026 Forecast Sales'!M96</f>
        <v>1.9725401325032198E-3</v>
      </c>
      <c r="O88" s="246">
        <f>O93/O63</f>
        <v>2.0500942294405348E-3</v>
      </c>
      <c r="P88" s="61">
        <f t="shared" si="22"/>
        <v>86</v>
      </c>
      <c r="U88" s="83"/>
    </row>
    <row r="89" spans="1:21" x14ac:dyDescent="0.3">
      <c r="A89" s="11">
        <f t="shared" si="21"/>
        <v>87</v>
      </c>
      <c r="B89" s="237" t="s">
        <v>403</v>
      </c>
      <c r="C89" s="385">
        <f>'[3]C. 2026 Forecast Sales'!B97</f>
        <v>2.7077072157385799E-3</v>
      </c>
      <c r="D89" s="385">
        <f>'[3]C. 2026 Forecast Sales'!C97</f>
        <v>2.7077072157385799E-3</v>
      </c>
      <c r="E89" s="385">
        <f>'[3]C. 2026 Forecast Sales'!D97</f>
        <v>2.7077072157385799E-3</v>
      </c>
      <c r="F89" s="385">
        <f>'[3]C. 2026 Forecast Sales'!E97</f>
        <v>2.7077072157385799E-3</v>
      </c>
      <c r="G89" s="385">
        <f>'[3]C. 2026 Forecast Sales'!F97</f>
        <v>2.7077072157385799E-3</v>
      </c>
      <c r="H89" s="385">
        <f>'[3]C. 2026 Forecast Sales'!G97</f>
        <v>2.8826273232633302E-3</v>
      </c>
      <c r="I89" s="385">
        <f>'[3]C. 2026 Forecast Sales'!H97</f>
        <v>2.8826273232633302E-3</v>
      </c>
      <c r="J89" s="385">
        <f>'[3]C. 2026 Forecast Sales'!I97</f>
        <v>2.8826273232633302E-3</v>
      </c>
      <c r="K89" s="385">
        <f>'[3]C. 2026 Forecast Sales'!J97</f>
        <v>2.8826273232633302E-3</v>
      </c>
      <c r="L89" s="385">
        <f>'[3]C. 2026 Forecast Sales'!K97</f>
        <v>2.8826273232633302E-3</v>
      </c>
      <c r="M89" s="385">
        <f>'[3]C. 2026 Forecast Sales'!L97</f>
        <v>2.7077072157385799E-3</v>
      </c>
      <c r="N89" s="385">
        <f>'[3]C. 2026 Forecast Sales'!M97</f>
        <v>2.7077072157385799E-3</v>
      </c>
      <c r="O89" s="246">
        <f>O94/O64</f>
        <v>2.7888059817931673E-3</v>
      </c>
      <c r="P89" s="61">
        <f t="shared" si="22"/>
        <v>87</v>
      </c>
      <c r="U89" s="83"/>
    </row>
    <row r="90" spans="1:21" x14ac:dyDescent="0.3">
      <c r="A90" s="11">
        <f t="shared" si="21"/>
        <v>88</v>
      </c>
      <c r="B90" s="237"/>
      <c r="C90" s="83"/>
      <c r="D90" s="83"/>
      <c r="E90" s="83"/>
      <c r="F90" s="83"/>
      <c r="G90" s="389"/>
      <c r="H90" s="83"/>
      <c r="I90" s="83"/>
      <c r="J90" s="83"/>
      <c r="K90" s="83"/>
      <c r="L90" s="83"/>
      <c r="M90" s="83"/>
      <c r="N90" s="83"/>
      <c r="O90" s="133"/>
      <c r="P90" s="61">
        <f t="shared" si="22"/>
        <v>88</v>
      </c>
      <c r="U90" s="83"/>
    </row>
    <row r="91" spans="1:21" ht="21.75" x14ac:dyDescent="0.3">
      <c r="A91" s="11">
        <f t="shared" si="21"/>
        <v>89</v>
      </c>
      <c r="B91" s="235" t="s">
        <v>420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133"/>
      <c r="P91" s="61">
        <f t="shared" si="22"/>
        <v>89</v>
      </c>
      <c r="U91" s="83"/>
    </row>
    <row r="92" spans="1:21" x14ac:dyDescent="0.3">
      <c r="A92" s="11">
        <f t="shared" si="21"/>
        <v>90</v>
      </c>
      <c r="B92" s="127" t="s">
        <v>409</v>
      </c>
      <c r="C92" s="83">
        <f>C62*C87</f>
        <v>1056.2269939690088</v>
      </c>
      <c r="D92" s="83">
        <f t="shared" ref="D92:N92" si="26">D62*D87</f>
        <v>1011.6733248861259</v>
      </c>
      <c r="E92" s="83">
        <f t="shared" si="26"/>
        <v>1000.8726797887176</v>
      </c>
      <c r="F92" s="83">
        <f t="shared" si="26"/>
        <v>1003.2976647484369</v>
      </c>
      <c r="G92" s="83">
        <f t="shared" si="26"/>
        <v>1019.7575669314873</v>
      </c>
      <c r="H92" s="83">
        <f t="shared" si="26"/>
        <v>1244.9083302001948</v>
      </c>
      <c r="I92" s="83">
        <f t="shared" si="26"/>
        <v>1384.2484032894545</v>
      </c>
      <c r="J92" s="83">
        <f t="shared" si="26"/>
        <v>1439.0165107010152</v>
      </c>
      <c r="K92" s="83">
        <f t="shared" si="26"/>
        <v>1502.7556534770274</v>
      </c>
      <c r="L92" s="83">
        <f t="shared" si="26"/>
        <v>1375.6941701826845</v>
      </c>
      <c r="M92" s="83">
        <f t="shared" si="26"/>
        <v>1075.3313772802749</v>
      </c>
      <c r="N92" s="83">
        <f t="shared" si="26"/>
        <v>1111.364247435092</v>
      </c>
      <c r="O92" s="135">
        <f>SUM(C92:N92)</f>
        <v>14225.146922889518</v>
      </c>
      <c r="P92" s="61">
        <f t="shared" si="22"/>
        <v>90</v>
      </c>
      <c r="U92" s="83"/>
    </row>
    <row r="93" spans="1:21" x14ac:dyDescent="0.3">
      <c r="A93" s="11">
        <f t="shared" si="21"/>
        <v>91</v>
      </c>
      <c r="B93" s="127" t="s">
        <v>410</v>
      </c>
      <c r="C93" s="83">
        <f t="shared" ref="C93:N94" si="27">C63*C88</f>
        <v>289.52651193025139</v>
      </c>
      <c r="D93" s="83">
        <f t="shared" si="27"/>
        <v>277.3137314607909</v>
      </c>
      <c r="E93" s="83">
        <f t="shared" si="27"/>
        <v>274.35312439478651</v>
      </c>
      <c r="F93" s="83">
        <f t="shared" si="27"/>
        <v>275.0178465055447</v>
      </c>
      <c r="G93" s="83">
        <f t="shared" si="27"/>
        <v>279.52973466309305</v>
      </c>
      <c r="H93" s="83">
        <f t="shared" si="27"/>
        <v>324.14743150513266</v>
      </c>
      <c r="I93" s="83">
        <f t="shared" si="27"/>
        <v>360.42859832032912</v>
      </c>
      <c r="J93" s="83">
        <f t="shared" si="27"/>
        <v>374.68903896096629</v>
      </c>
      <c r="K93" s="83">
        <f t="shared" si="27"/>
        <v>391.28534482218646</v>
      </c>
      <c r="L93" s="83">
        <f t="shared" si="27"/>
        <v>358.20125946911446</v>
      </c>
      <c r="M93" s="83">
        <f t="shared" si="27"/>
        <v>294.7632891516937</v>
      </c>
      <c r="N93" s="83">
        <f t="shared" si="27"/>
        <v>304.64040010448002</v>
      </c>
      <c r="O93" s="135">
        <f>SUM(C93:N93)</f>
        <v>3803.8963112883694</v>
      </c>
      <c r="P93" s="61">
        <f t="shared" si="22"/>
        <v>91</v>
      </c>
      <c r="U93" s="83"/>
    </row>
    <row r="94" spans="1:21" x14ac:dyDescent="0.3">
      <c r="A94" s="11">
        <f t="shared" si="21"/>
        <v>92</v>
      </c>
      <c r="B94" s="127" t="s">
        <v>411</v>
      </c>
      <c r="C94" s="86">
        <f t="shared" si="27"/>
        <v>40.007711211152817</v>
      </c>
      <c r="D94" s="86">
        <f t="shared" si="27"/>
        <v>38.320109648001001</v>
      </c>
      <c r="E94" s="86">
        <f t="shared" si="27"/>
        <v>37.911003374047972</v>
      </c>
      <c r="F94" s="86">
        <f t="shared" si="27"/>
        <v>38.002856828384779</v>
      </c>
      <c r="G94" s="86">
        <f t="shared" si="27"/>
        <v>38.626324148253929</v>
      </c>
      <c r="H94" s="86">
        <f t="shared" si="27"/>
        <v>45.466633337664049</v>
      </c>
      <c r="I94" s="86">
        <f t="shared" si="27"/>
        <v>50.555621706288647</v>
      </c>
      <c r="J94" s="86">
        <f t="shared" si="27"/>
        <v>52.555866541889337</v>
      </c>
      <c r="K94" s="86">
        <f t="shared" si="27"/>
        <v>54.883752189009996</v>
      </c>
      <c r="L94" s="86">
        <f t="shared" si="27"/>
        <v>50.243203377392206</v>
      </c>
      <c r="M94" s="86">
        <f t="shared" si="27"/>
        <v>40.731346049827209</v>
      </c>
      <c r="N94" s="86">
        <f t="shared" si="27"/>
        <v>42.096197233800254</v>
      </c>
      <c r="O94" s="136">
        <f>SUM(C94:N94)</f>
        <v>529.40062564571224</v>
      </c>
      <c r="P94" s="61">
        <f t="shared" si="22"/>
        <v>92</v>
      </c>
      <c r="U94" s="83"/>
    </row>
    <row r="95" spans="1:21" x14ac:dyDescent="0.3">
      <c r="A95" s="11">
        <f t="shared" si="21"/>
        <v>93</v>
      </c>
      <c r="C95" s="83">
        <f t="shared" ref="C95:O95" si="28">SUM(C92:C94)</f>
        <v>1385.7612171104131</v>
      </c>
      <c r="D95" s="83">
        <f t="shared" si="28"/>
        <v>1327.3071659949178</v>
      </c>
      <c r="E95" s="83">
        <f t="shared" si="28"/>
        <v>1313.1368075575522</v>
      </c>
      <c r="F95" s="83">
        <f t="shared" si="28"/>
        <v>1316.3183680823663</v>
      </c>
      <c r="G95" s="83">
        <f t="shared" si="28"/>
        <v>1337.9136257428343</v>
      </c>
      <c r="H95" s="83">
        <f t="shared" si="28"/>
        <v>1614.5223950429913</v>
      </c>
      <c r="I95" s="83">
        <f t="shared" si="28"/>
        <v>1795.232623316072</v>
      </c>
      <c r="J95" s="83">
        <f t="shared" si="28"/>
        <v>1866.2614162038708</v>
      </c>
      <c r="K95" s="83">
        <f t="shared" si="28"/>
        <v>1948.9247504882239</v>
      </c>
      <c r="L95" s="83">
        <f t="shared" si="28"/>
        <v>1784.1386330291912</v>
      </c>
      <c r="M95" s="83">
        <f t="shared" si="28"/>
        <v>1410.8260124817957</v>
      </c>
      <c r="N95" s="83">
        <f t="shared" si="28"/>
        <v>1458.1008447733723</v>
      </c>
      <c r="O95" s="137">
        <f t="shared" si="28"/>
        <v>18558.443859823597</v>
      </c>
      <c r="P95" s="61">
        <f t="shared" si="22"/>
        <v>93</v>
      </c>
      <c r="U95" s="83"/>
    </row>
    <row r="96" spans="1:21" x14ac:dyDescent="0.3">
      <c r="A96" s="11">
        <f t="shared" si="21"/>
        <v>94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133"/>
      <c r="P96" s="61">
        <f t="shared" si="22"/>
        <v>94</v>
      </c>
      <c r="U96" s="83"/>
    </row>
    <row r="97" spans="1:16" x14ac:dyDescent="0.3">
      <c r="A97" s="11">
        <f t="shared" si="21"/>
        <v>95</v>
      </c>
      <c r="B97" s="326"/>
      <c r="C97" s="379"/>
      <c r="D97" s="379"/>
      <c r="E97" s="379"/>
      <c r="F97" s="379"/>
      <c r="G97" s="379"/>
      <c r="H97" s="379"/>
      <c r="I97" s="379"/>
      <c r="J97" s="379"/>
      <c r="K97" s="379"/>
      <c r="L97" s="379"/>
      <c r="M97" s="379"/>
      <c r="N97" s="379"/>
      <c r="O97" s="227"/>
      <c r="P97" s="61">
        <f t="shared" si="22"/>
        <v>95</v>
      </c>
    </row>
    <row r="98" spans="1:16" x14ac:dyDescent="0.3">
      <c r="A98" s="11">
        <f t="shared" si="21"/>
        <v>96</v>
      </c>
      <c r="B98" s="329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9"/>
      <c r="P98" s="61">
        <f t="shared" si="22"/>
        <v>96</v>
      </c>
    </row>
    <row r="99" spans="1:16" x14ac:dyDescent="0.3">
      <c r="A99" s="11">
        <f t="shared" si="21"/>
        <v>97</v>
      </c>
      <c r="B99" s="239" t="s">
        <v>421</v>
      </c>
      <c r="C99" s="88">
        <f>C53</f>
        <v>46023</v>
      </c>
      <c r="D99" s="88">
        <f t="shared" ref="D99:N99" si="29">D53</f>
        <v>46054</v>
      </c>
      <c r="E99" s="88">
        <f t="shared" si="29"/>
        <v>46082</v>
      </c>
      <c r="F99" s="88">
        <f t="shared" si="29"/>
        <v>46113</v>
      </c>
      <c r="G99" s="88">
        <f t="shared" si="29"/>
        <v>46143</v>
      </c>
      <c r="H99" s="88">
        <f t="shared" si="29"/>
        <v>46174</v>
      </c>
      <c r="I99" s="88">
        <f t="shared" si="29"/>
        <v>46204</v>
      </c>
      <c r="J99" s="88">
        <f t="shared" si="29"/>
        <v>46235</v>
      </c>
      <c r="K99" s="88">
        <f t="shared" si="29"/>
        <v>46266</v>
      </c>
      <c r="L99" s="88">
        <f t="shared" si="29"/>
        <v>46296</v>
      </c>
      <c r="M99" s="88">
        <f t="shared" si="29"/>
        <v>46327</v>
      </c>
      <c r="N99" s="88">
        <f t="shared" si="29"/>
        <v>46357</v>
      </c>
      <c r="O99" s="129" t="s">
        <v>61</v>
      </c>
      <c r="P99" s="61">
        <f t="shared" si="22"/>
        <v>97</v>
      </c>
    </row>
    <row r="100" spans="1:16" x14ac:dyDescent="0.3">
      <c r="A100" s="11">
        <f t="shared" si="21"/>
        <v>98</v>
      </c>
      <c r="B100" s="235" t="s">
        <v>399</v>
      </c>
      <c r="C100" s="2">
        <f t="shared" ref="C100:N100" si="30">C12</f>
        <v>94174.387488365741</v>
      </c>
      <c r="D100" s="2">
        <f t="shared" si="30"/>
        <v>82713.76973696315</v>
      </c>
      <c r="E100" s="2">
        <f t="shared" si="30"/>
        <v>90955.385218737327</v>
      </c>
      <c r="F100" s="2">
        <f t="shared" si="30"/>
        <v>93511.227406458245</v>
      </c>
      <c r="G100" s="2">
        <f t="shared" si="30"/>
        <v>90384.275919060892</v>
      </c>
      <c r="H100" s="2">
        <f t="shared" si="30"/>
        <v>89745.277421217557</v>
      </c>
      <c r="I100" s="2">
        <f t="shared" si="30"/>
        <v>101669.34585700449</v>
      </c>
      <c r="J100" s="2">
        <f t="shared" si="30"/>
        <v>101261.82916729401</v>
      </c>
      <c r="K100" s="2">
        <f t="shared" si="30"/>
        <v>101856.00715929084</v>
      </c>
      <c r="L100" s="2">
        <f t="shared" si="30"/>
        <v>96071.838125213282</v>
      </c>
      <c r="M100" s="2">
        <f t="shared" si="30"/>
        <v>92182.107097293367</v>
      </c>
      <c r="N100" s="2">
        <f t="shared" si="30"/>
        <v>106479.83468417113</v>
      </c>
      <c r="O100" s="128">
        <f>SUM(C100:N100)</f>
        <v>1141005.28528107</v>
      </c>
      <c r="P100" s="61">
        <f t="shared" si="22"/>
        <v>98</v>
      </c>
    </row>
    <row r="101" spans="1:16" x14ac:dyDescent="0.3">
      <c r="A101" s="11">
        <f t="shared" si="21"/>
        <v>99</v>
      </c>
      <c r="B101" s="236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33"/>
      <c r="P101" s="61">
        <f t="shared" si="22"/>
        <v>99</v>
      </c>
    </row>
    <row r="102" spans="1:16" x14ac:dyDescent="0.3">
      <c r="A102" s="11">
        <f t="shared" si="21"/>
        <v>100</v>
      </c>
      <c r="B102" s="235" t="s">
        <v>400</v>
      </c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133"/>
      <c r="P102" s="61">
        <f t="shared" si="22"/>
        <v>100</v>
      </c>
    </row>
    <row r="103" spans="1:16" x14ac:dyDescent="0.3">
      <c r="A103" s="11">
        <f t="shared" si="21"/>
        <v>101</v>
      </c>
      <c r="B103" s="237" t="s">
        <v>401</v>
      </c>
      <c r="C103" s="160">
        <f>'[3]C. 2026 Forecast Sales'!B111</f>
        <v>0</v>
      </c>
      <c r="D103" s="160">
        <f>'[3]C. 2026 Forecast Sales'!C111</f>
        <v>0</v>
      </c>
      <c r="E103" s="160">
        <f>'[3]C. 2026 Forecast Sales'!D111</f>
        <v>0</v>
      </c>
      <c r="F103" s="160">
        <f>'[3]C. 2026 Forecast Sales'!E111</f>
        <v>0</v>
      </c>
      <c r="G103" s="160">
        <f>'[3]C. 2026 Forecast Sales'!F111</f>
        <v>0</v>
      </c>
      <c r="H103" s="160">
        <f>'[3]C. 2026 Forecast Sales'!G111</f>
        <v>0</v>
      </c>
      <c r="I103" s="160">
        <f>'[3]C. 2026 Forecast Sales'!H111</f>
        <v>0</v>
      </c>
      <c r="J103" s="160">
        <f>'[3]C. 2026 Forecast Sales'!I111</f>
        <v>0</v>
      </c>
      <c r="K103" s="160">
        <f>'[3]C. 2026 Forecast Sales'!J111</f>
        <v>0</v>
      </c>
      <c r="L103" s="160">
        <f>'[3]C. 2026 Forecast Sales'!K111</f>
        <v>0</v>
      </c>
      <c r="M103" s="160">
        <f>'[3]C. 2026 Forecast Sales'!L111</f>
        <v>0</v>
      </c>
      <c r="N103" s="160">
        <f>'[3]C. 2026 Forecast Sales'!M111</f>
        <v>0</v>
      </c>
      <c r="O103" s="161">
        <f>O108/O100</f>
        <v>0</v>
      </c>
      <c r="P103" s="61">
        <f t="shared" si="22"/>
        <v>101</v>
      </c>
    </row>
    <row r="104" spans="1:16" x14ac:dyDescent="0.3">
      <c r="A104" s="11">
        <f t="shared" si="21"/>
        <v>102</v>
      </c>
      <c r="B104" s="237" t="s">
        <v>402</v>
      </c>
      <c r="C104" s="160">
        <f>'[3]C. 2026 Forecast Sales'!B112</f>
        <v>0.30777994363928302</v>
      </c>
      <c r="D104" s="160">
        <f>'[3]C. 2026 Forecast Sales'!C112</f>
        <v>0.30777994363928302</v>
      </c>
      <c r="E104" s="160">
        <f>'[3]C. 2026 Forecast Sales'!D112</f>
        <v>0.30777994363928302</v>
      </c>
      <c r="F104" s="160">
        <f>'[3]C. 2026 Forecast Sales'!E112</f>
        <v>0.30777994363928302</v>
      </c>
      <c r="G104" s="160">
        <f>'[3]C. 2026 Forecast Sales'!F112</f>
        <v>0.30777994363928302</v>
      </c>
      <c r="H104" s="160">
        <f>'[3]C. 2026 Forecast Sales'!G112</f>
        <v>0.30322674422573997</v>
      </c>
      <c r="I104" s="160">
        <f>'[3]C. 2026 Forecast Sales'!H112</f>
        <v>0.30322674422573997</v>
      </c>
      <c r="J104" s="160">
        <f>'[3]C. 2026 Forecast Sales'!I112</f>
        <v>0.30322674422573997</v>
      </c>
      <c r="K104" s="160">
        <f>'[3]C. 2026 Forecast Sales'!J112</f>
        <v>0.30322674422573997</v>
      </c>
      <c r="L104" s="160">
        <f>'[3]C. 2026 Forecast Sales'!K112</f>
        <v>0.30322674422573997</v>
      </c>
      <c r="M104" s="160">
        <f>'[3]C. 2026 Forecast Sales'!L112</f>
        <v>0.30777994363928302</v>
      </c>
      <c r="N104" s="160">
        <f>'[3]C. 2026 Forecast Sales'!M112</f>
        <v>0.30777994363928302</v>
      </c>
      <c r="O104" s="161">
        <f>O109/O100</f>
        <v>0.30582217952589796</v>
      </c>
      <c r="P104" s="61">
        <f t="shared" si="22"/>
        <v>102</v>
      </c>
    </row>
    <row r="105" spans="1:16" x14ac:dyDescent="0.3">
      <c r="A105" s="11">
        <f t="shared" si="21"/>
        <v>103</v>
      </c>
      <c r="B105" s="237" t="s">
        <v>403</v>
      </c>
      <c r="C105" s="160">
        <f>'[3]C. 2026 Forecast Sales'!B113</f>
        <v>0.69222005636071604</v>
      </c>
      <c r="D105" s="160">
        <f>'[3]C. 2026 Forecast Sales'!C113</f>
        <v>0.69222005636071604</v>
      </c>
      <c r="E105" s="160">
        <f>'[3]C. 2026 Forecast Sales'!D113</f>
        <v>0.69222005636071604</v>
      </c>
      <c r="F105" s="160">
        <f>'[3]C. 2026 Forecast Sales'!E113</f>
        <v>0.69222005636071604</v>
      </c>
      <c r="G105" s="160">
        <f>'[3]C. 2026 Forecast Sales'!F113</f>
        <v>0.69222005636071604</v>
      </c>
      <c r="H105" s="160">
        <f>'[3]C. 2026 Forecast Sales'!G113</f>
        <v>0.69677325577425897</v>
      </c>
      <c r="I105" s="160">
        <f>'[3]C. 2026 Forecast Sales'!H113</f>
        <v>0.69677325577425897</v>
      </c>
      <c r="J105" s="160">
        <f>'[3]C. 2026 Forecast Sales'!I113</f>
        <v>0.69677325577425897</v>
      </c>
      <c r="K105" s="160">
        <f>'[3]C. 2026 Forecast Sales'!J113</f>
        <v>0.69677325577425897</v>
      </c>
      <c r="L105" s="160">
        <f>'[3]C. 2026 Forecast Sales'!K113</f>
        <v>0.69677325577425897</v>
      </c>
      <c r="M105" s="160">
        <f>'[3]C. 2026 Forecast Sales'!L113</f>
        <v>0.69222005636071604</v>
      </c>
      <c r="N105" s="160">
        <f>'[3]C. 2026 Forecast Sales'!M113</f>
        <v>0.69222005636071604</v>
      </c>
      <c r="O105" s="162">
        <f>O110/O100</f>
        <v>0.69417782047410115</v>
      </c>
      <c r="P105" s="61">
        <f t="shared" si="22"/>
        <v>103</v>
      </c>
    </row>
    <row r="106" spans="1:16" x14ac:dyDescent="0.3">
      <c r="A106" s="11">
        <f t="shared" si="21"/>
        <v>104</v>
      </c>
      <c r="C106" s="160">
        <f>'[3]C. 2026 Forecast Sales'!B114</f>
        <v>0.99999999999999911</v>
      </c>
      <c r="D106" s="160">
        <f>'[3]C. 2026 Forecast Sales'!C114</f>
        <v>0.99999999999999911</v>
      </c>
      <c r="E106" s="160">
        <f>'[3]C. 2026 Forecast Sales'!D114</f>
        <v>0.99999999999999911</v>
      </c>
      <c r="F106" s="160">
        <f>'[3]C. 2026 Forecast Sales'!E114</f>
        <v>0.99999999999999911</v>
      </c>
      <c r="G106" s="160">
        <f>'[3]C. 2026 Forecast Sales'!F114</f>
        <v>0.99999999999999911</v>
      </c>
      <c r="H106" s="160">
        <f>'[3]C. 2026 Forecast Sales'!G114</f>
        <v>0.99999999999999889</v>
      </c>
      <c r="I106" s="160">
        <f>'[3]C. 2026 Forecast Sales'!H114</f>
        <v>0.99999999999999889</v>
      </c>
      <c r="J106" s="160">
        <f>'[3]C. 2026 Forecast Sales'!I114</f>
        <v>0.99999999999999889</v>
      </c>
      <c r="K106" s="160">
        <f>'[3]C. 2026 Forecast Sales'!J114</f>
        <v>0.99999999999999889</v>
      </c>
      <c r="L106" s="160">
        <f>'[3]C. 2026 Forecast Sales'!K114</f>
        <v>0.99999999999999889</v>
      </c>
      <c r="M106" s="160">
        <f>'[3]C. 2026 Forecast Sales'!L114</f>
        <v>0.99999999999999911</v>
      </c>
      <c r="N106" s="160">
        <f>'[3]C. 2026 Forecast Sales'!M114</f>
        <v>0.99999999999999911</v>
      </c>
      <c r="O106" s="161">
        <f>SUM(O103:O105)</f>
        <v>0.99999999999999911</v>
      </c>
      <c r="P106" s="61">
        <f t="shared" si="22"/>
        <v>104</v>
      </c>
    </row>
    <row r="107" spans="1:16" x14ac:dyDescent="0.3">
      <c r="A107" s="11">
        <f t="shared" si="21"/>
        <v>105</v>
      </c>
      <c r="B107" s="235" t="s">
        <v>399</v>
      </c>
      <c r="O107" s="133"/>
      <c r="P107" s="61">
        <f t="shared" si="22"/>
        <v>105</v>
      </c>
    </row>
    <row r="108" spans="1:16" x14ac:dyDescent="0.3">
      <c r="A108" s="11">
        <f t="shared" si="21"/>
        <v>106</v>
      </c>
      <c r="B108" s="127" t="s">
        <v>404</v>
      </c>
      <c r="C108" s="84">
        <f t="shared" ref="C108" si="31">C100*C103</f>
        <v>0</v>
      </c>
      <c r="D108" s="84">
        <f t="shared" ref="D108:N108" si="32">D100*D103</f>
        <v>0</v>
      </c>
      <c r="E108" s="84">
        <f t="shared" si="32"/>
        <v>0</v>
      </c>
      <c r="F108" s="84">
        <f t="shared" si="32"/>
        <v>0</v>
      </c>
      <c r="G108" s="84">
        <f t="shared" si="32"/>
        <v>0</v>
      </c>
      <c r="H108" s="84">
        <f t="shared" si="32"/>
        <v>0</v>
      </c>
      <c r="I108" s="84">
        <f t="shared" si="32"/>
        <v>0</v>
      </c>
      <c r="J108" s="84">
        <f t="shared" si="32"/>
        <v>0</v>
      </c>
      <c r="K108" s="84">
        <f t="shared" si="32"/>
        <v>0</v>
      </c>
      <c r="L108" s="84">
        <f t="shared" si="32"/>
        <v>0</v>
      </c>
      <c r="M108" s="84">
        <f t="shared" si="32"/>
        <v>0</v>
      </c>
      <c r="N108" s="84">
        <f t="shared" si="32"/>
        <v>0</v>
      </c>
      <c r="O108" s="128">
        <f>SUM(C108:N108)</f>
        <v>0</v>
      </c>
      <c r="P108" s="61">
        <f t="shared" si="22"/>
        <v>106</v>
      </c>
    </row>
    <row r="109" spans="1:16" x14ac:dyDescent="0.3">
      <c r="A109" s="11">
        <f t="shared" si="21"/>
        <v>107</v>
      </c>
      <c r="B109" s="127" t="s">
        <v>405</v>
      </c>
      <c r="C109" s="84">
        <f t="shared" ref="C109" si="33">C100*C104</f>
        <v>28984.987673433207</v>
      </c>
      <c r="D109" s="84">
        <f t="shared" ref="D109:N109" si="34">D100*D104</f>
        <v>25457.639387835152</v>
      </c>
      <c r="E109" s="84">
        <f t="shared" si="34"/>
        <v>27994.243336312251</v>
      </c>
      <c r="F109" s="84">
        <f t="shared" si="34"/>
        <v>28780.880300799898</v>
      </c>
      <c r="G109" s="84">
        <f t="shared" si="34"/>
        <v>27818.467348245966</v>
      </c>
      <c r="H109" s="84">
        <f t="shared" si="34"/>
        <v>27213.168282071612</v>
      </c>
      <c r="I109" s="84">
        <f t="shared" si="34"/>
        <v>30828.864731780195</v>
      </c>
      <c r="J109" s="84">
        <f t="shared" si="34"/>
        <v>30705.294772741636</v>
      </c>
      <c r="K109" s="84">
        <f t="shared" si="34"/>
        <v>30885.465430745422</v>
      </c>
      <c r="L109" s="84">
        <f t="shared" si="34"/>
        <v>29131.550686490744</v>
      </c>
      <c r="M109" s="84">
        <f t="shared" si="34"/>
        <v>28371.803726955302</v>
      </c>
      <c r="N109" s="84">
        <f t="shared" si="34"/>
        <v>32772.357517814366</v>
      </c>
      <c r="O109" s="128">
        <f>SUM(C109:N109)</f>
        <v>348944.72319522582</v>
      </c>
      <c r="P109" s="61">
        <f t="shared" si="22"/>
        <v>107</v>
      </c>
    </row>
    <row r="110" spans="1:16" x14ac:dyDescent="0.3">
      <c r="A110" s="11">
        <f t="shared" si="21"/>
        <v>108</v>
      </c>
      <c r="B110" s="127" t="s">
        <v>406</v>
      </c>
      <c r="C110" s="85">
        <f t="shared" ref="C110" si="35">C100*C105</f>
        <v>65189.399814932447</v>
      </c>
      <c r="D110" s="85">
        <f t="shared" ref="D110:N110" si="36">D100*D105</f>
        <v>57256.130349127918</v>
      </c>
      <c r="E110" s="85">
        <f t="shared" si="36"/>
        <v>62961.141882424992</v>
      </c>
      <c r="F110" s="85">
        <f t="shared" si="36"/>
        <v>64730.347105658264</v>
      </c>
      <c r="G110" s="85">
        <f t="shared" si="36"/>
        <v>62565.808570814843</v>
      </c>
      <c r="H110" s="85">
        <f t="shared" si="36"/>
        <v>62532.109139145847</v>
      </c>
      <c r="I110" s="85">
        <f t="shared" si="36"/>
        <v>70840.481125224193</v>
      </c>
      <c r="J110" s="85">
        <f t="shared" si="36"/>
        <v>70556.534394552262</v>
      </c>
      <c r="K110" s="85">
        <f t="shared" si="36"/>
        <v>70970.5417285453</v>
      </c>
      <c r="L110" s="85">
        <f t="shared" si="36"/>
        <v>66940.287438722444</v>
      </c>
      <c r="M110" s="85">
        <f t="shared" si="36"/>
        <v>63810.303370337977</v>
      </c>
      <c r="N110" s="85">
        <f t="shared" si="36"/>
        <v>73707.477166356664</v>
      </c>
      <c r="O110" s="131">
        <f>SUM(C110:N110)</f>
        <v>792060.56208584318</v>
      </c>
      <c r="P110" s="61">
        <f t="shared" si="22"/>
        <v>108</v>
      </c>
    </row>
    <row r="111" spans="1:16" x14ac:dyDescent="0.3">
      <c r="A111" s="11">
        <f t="shared" si="21"/>
        <v>109</v>
      </c>
      <c r="B111" s="238"/>
      <c r="C111" s="84">
        <f t="shared" ref="C111:O111" si="37">SUM(C108:C110)</f>
        <v>94174.387488365654</v>
      </c>
      <c r="D111" s="84">
        <f t="shared" si="37"/>
        <v>82713.769736963062</v>
      </c>
      <c r="E111" s="84">
        <f t="shared" si="37"/>
        <v>90955.385218737239</v>
      </c>
      <c r="F111" s="84">
        <f t="shared" si="37"/>
        <v>93511.227406458158</v>
      </c>
      <c r="G111" s="84">
        <f t="shared" si="37"/>
        <v>90384.275919060805</v>
      </c>
      <c r="H111" s="84">
        <f t="shared" si="37"/>
        <v>89745.277421217455</v>
      </c>
      <c r="I111" s="84">
        <f t="shared" si="37"/>
        <v>101669.34585700439</v>
      </c>
      <c r="J111" s="84">
        <f t="shared" si="37"/>
        <v>101261.82916729389</v>
      </c>
      <c r="K111" s="84">
        <f t="shared" si="37"/>
        <v>101856.00715929072</v>
      </c>
      <c r="L111" s="84">
        <f t="shared" si="37"/>
        <v>96071.838125213195</v>
      </c>
      <c r="M111" s="84">
        <f t="shared" si="37"/>
        <v>92182.107097293279</v>
      </c>
      <c r="N111" s="84">
        <f t="shared" si="37"/>
        <v>106479.83468417103</v>
      </c>
      <c r="O111" s="132">
        <f t="shared" si="37"/>
        <v>1141005.2852810691</v>
      </c>
      <c r="P111" s="61">
        <f t="shared" si="22"/>
        <v>109</v>
      </c>
    </row>
    <row r="112" spans="1:16" x14ac:dyDescent="0.3">
      <c r="A112" s="11">
        <f t="shared" si="21"/>
        <v>110</v>
      </c>
      <c r="B112" s="235" t="s">
        <v>415</v>
      </c>
      <c r="O112" s="134"/>
      <c r="P112" s="61">
        <f t="shared" si="22"/>
        <v>110</v>
      </c>
    </row>
    <row r="113" spans="1:16" x14ac:dyDescent="0.3">
      <c r="A113" s="11">
        <f t="shared" si="21"/>
        <v>111</v>
      </c>
      <c r="B113" s="237" t="s">
        <v>401</v>
      </c>
      <c r="C113" s="385">
        <f>'[3]C. 2026 Forecast Sales'!B121</f>
        <v>0</v>
      </c>
      <c r="D113" s="385">
        <f>'[3]C. 2026 Forecast Sales'!C121</f>
        <v>0</v>
      </c>
      <c r="E113" s="385">
        <f>'[3]C. 2026 Forecast Sales'!D121</f>
        <v>0</v>
      </c>
      <c r="F113" s="385">
        <f>'[3]C. 2026 Forecast Sales'!E121</f>
        <v>0</v>
      </c>
      <c r="G113" s="385">
        <f>'[3]C. 2026 Forecast Sales'!F121</f>
        <v>0</v>
      </c>
      <c r="H113" s="385">
        <f>'[3]C. 2026 Forecast Sales'!G121</f>
        <v>0</v>
      </c>
      <c r="I113" s="385">
        <f>'[3]C. 2026 Forecast Sales'!H121</f>
        <v>0</v>
      </c>
      <c r="J113" s="385">
        <f>'[3]C. 2026 Forecast Sales'!I121</f>
        <v>0</v>
      </c>
      <c r="K113" s="385">
        <f>'[3]C. 2026 Forecast Sales'!J121</f>
        <v>0</v>
      </c>
      <c r="L113" s="385">
        <f>'[3]C. 2026 Forecast Sales'!K121</f>
        <v>0</v>
      </c>
      <c r="M113" s="385">
        <f>'[3]C. 2026 Forecast Sales'!L121</f>
        <v>0</v>
      </c>
      <c r="N113" s="385">
        <f>'[3]C. 2026 Forecast Sales'!M121</f>
        <v>0</v>
      </c>
      <c r="O113" s="163">
        <f>IFERROR(O118/O108,0)</f>
        <v>0</v>
      </c>
      <c r="P113" s="61">
        <f t="shared" si="22"/>
        <v>111</v>
      </c>
    </row>
    <row r="114" spans="1:16" x14ac:dyDescent="0.3">
      <c r="A114" s="11">
        <f t="shared" si="21"/>
        <v>112</v>
      </c>
      <c r="B114" s="237" t="s">
        <v>402</v>
      </c>
      <c r="C114" s="385">
        <f>'[3]C. 2026 Forecast Sales'!B122</f>
        <v>2.2551438150857001E-3</v>
      </c>
      <c r="D114" s="385">
        <f>'[3]C. 2026 Forecast Sales'!C122</f>
        <v>2.2551438150857001E-3</v>
      </c>
      <c r="E114" s="385">
        <f>'[3]C. 2026 Forecast Sales'!D122</f>
        <v>2.2551438150857001E-3</v>
      </c>
      <c r="F114" s="385">
        <f>'[3]C. 2026 Forecast Sales'!E122</f>
        <v>2.2551438150857001E-3</v>
      </c>
      <c r="G114" s="385">
        <f>'[3]C. 2026 Forecast Sales'!F122</f>
        <v>2.2551438150857001E-3</v>
      </c>
      <c r="H114" s="385">
        <f>'[3]C. 2026 Forecast Sales'!G122</f>
        <v>2.2573935969543799E-3</v>
      </c>
      <c r="I114" s="385">
        <f>'[3]C. 2026 Forecast Sales'!H122</f>
        <v>2.2573935969543799E-3</v>
      </c>
      <c r="J114" s="385">
        <f>'[3]C. 2026 Forecast Sales'!I122</f>
        <v>2.2573935969543799E-3</v>
      </c>
      <c r="K114" s="385">
        <f>'[3]C. 2026 Forecast Sales'!J122</f>
        <v>2.2573935969543799E-3</v>
      </c>
      <c r="L114" s="385">
        <f>'[3]C. 2026 Forecast Sales'!K122</f>
        <v>2.2573935969543799E-3</v>
      </c>
      <c r="M114" s="385">
        <f>'[3]C. 2026 Forecast Sales'!L122</f>
        <v>2.2551438150857001E-3</v>
      </c>
      <c r="N114" s="385">
        <f>'[3]C. 2026 Forecast Sales'!M122</f>
        <v>2.2551438150857001E-3</v>
      </c>
      <c r="O114" s="163">
        <f>O119/O109</f>
        <v>2.2561029564664788E-3</v>
      </c>
      <c r="P114" s="61">
        <f t="shared" si="22"/>
        <v>112</v>
      </c>
    </row>
    <row r="115" spans="1:16" x14ac:dyDescent="0.3">
      <c r="A115" s="11">
        <f t="shared" si="21"/>
        <v>113</v>
      </c>
      <c r="B115" s="237" t="s">
        <v>403</v>
      </c>
      <c r="C115" s="385">
        <f>'[3]C. 2026 Forecast Sales'!B123</f>
        <v>1.7307171688804E-3</v>
      </c>
      <c r="D115" s="385">
        <f>'[3]C. 2026 Forecast Sales'!C123</f>
        <v>1.7307171688804E-3</v>
      </c>
      <c r="E115" s="385">
        <f>'[3]C. 2026 Forecast Sales'!D123</f>
        <v>1.7307171688804E-3</v>
      </c>
      <c r="F115" s="385">
        <f>'[3]C. 2026 Forecast Sales'!E123</f>
        <v>1.7307171688804E-3</v>
      </c>
      <c r="G115" s="385">
        <f>'[3]C. 2026 Forecast Sales'!F123</f>
        <v>1.7307171688804E-3</v>
      </c>
      <c r="H115" s="385">
        <f>'[3]C. 2026 Forecast Sales'!G123</f>
        <v>1.7307171688804E-3</v>
      </c>
      <c r="I115" s="385">
        <f>'[3]C. 2026 Forecast Sales'!H123</f>
        <v>1.7307171688804E-3</v>
      </c>
      <c r="J115" s="385">
        <f>'[3]C. 2026 Forecast Sales'!I123</f>
        <v>1.7307171688804E-3</v>
      </c>
      <c r="K115" s="385">
        <f>'[3]C. 2026 Forecast Sales'!J123</f>
        <v>1.7307171688804E-3</v>
      </c>
      <c r="L115" s="385">
        <f>'[3]C. 2026 Forecast Sales'!K123</f>
        <v>1.7307171688804E-3</v>
      </c>
      <c r="M115" s="385">
        <f>'[3]C. 2026 Forecast Sales'!L123</f>
        <v>1.7307171688804E-3</v>
      </c>
      <c r="N115" s="385">
        <f>'[3]C. 2026 Forecast Sales'!M123</f>
        <v>1.7307171688804E-3</v>
      </c>
      <c r="O115" s="163">
        <f>O120/O110</f>
        <v>1.7307171688803998E-3</v>
      </c>
      <c r="P115" s="61">
        <f t="shared" si="22"/>
        <v>113</v>
      </c>
    </row>
    <row r="116" spans="1:16" x14ac:dyDescent="0.3">
      <c r="A116" s="11">
        <f t="shared" si="21"/>
        <v>114</v>
      </c>
      <c r="C116" s="388"/>
      <c r="D116" s="388"/>
      <c r="E116" s="388"/>
      <c r="F116" s="388"/>
      <c r="G116" s="388"/>
      <c r="H116" s="388"/>
      <c r="I116" s="388"/>
      <c r="J116" s="388"/>
      <c r="K116" s="388"/>
      <c r="L116" s="388"/>
      <c r="M116" s="388"/>
      <c r="N116" s="388"/>
      <c r="O116" s="133"/>
      <c r="P116" s="61">
        <f t="shared" si="22"/>
        <v>114</v>
      </c>
    </row>
    <row r="117" spans="1:16" x14ac:dyDescent="0.3">
      <c r="A117" s="11">
        <f t="shared" si="21"/>
        <v>115</v>
      </c>
      <c r="B117" s="235" t="s">
        <v>416</v>
      </c>
      <c r="O117" s="133"/>
      <c r="P117" s="61">
        <f t="shared" si="22"/>
        <v>115</v>
      </c>
    </row>
    <row r="118" spans="1:16" x14ac:dyDescent="0.3">
      <c r="A118" s="11">
        <f t="shared" si="21"/>
        <v>116</v>
      </c>
      <c r="B118" s="127" t="s">
        <v>409</v>
      </c>
      <c r="C118" s="83">
        <f>C108*C113</f>
        <v>0</v>
      </c>
      <c r="D118" s="83">
        <f t="shared" ref="C118:N120" si="38">D108*D113</f>
        <v>0</v>
      </c>
      <c r="E118" s="83">
        <f t="shared" si="38"/>
        <v>0</v>
      </c>
      <c r="F118" s="83">
        <f t="shared" si="38"/>
        <v>0</v>
      </c>
      <c r="G118" s="83">
        <f t="shared" si="38"/>
        <v>0</v>
      </c>
      <c r="H118" s="83">
        <f t="shared" si="38"/>
        <v>0</v>
      </c>
      <c r="I118" s="83">
        <f t="shared" si="38"/>
        <v>0</v>
      </c>
      <c r="J118" s="83">
        <f t="shared" si="38"/>
        <v>0</v>
      </c>
      <c r="K118" s="83">
        <f t="shared" si="38"/>
        <v>0</v>
      </c>
      <c r="L118" s="83">
        <f t="shared" si="38"/>
        <v>0</v>
      </c>
      <c r="M118" s="83">
        <f t="shared" si="38"/>
        <v>0</v>
      </c>
      <c r="N118" s="83">
        <f t="shared" si="38"/>
        <v>0</v>
      </c>
      <c r="O118" s="135">
        <f>SUM(C118:N118)</f>
        <v>0</v>
      </c>
      <c r="P118" s="61">
        <f t="shared" si="22"/>
        <v>116</v>
      </c>
    </row>
    <row r="119" spans="1:16" x14ac:dyDescent="0.3">
      <c r="A119" s="11">
        <f t="shared" si="21"/>
        <v>117</v>
      </c>
      <c r="B119" s="127" t="s">
        <v>410</v>
      </c>
      <c r="C119" s="83">
        <f t="shared" si="38"/>
        <v>65.365315682078148</v>
      </c>
      <c r="D119" s="83">
        <f t="shared" si="38"/>
        <v>57.41063801215855</v>
      </c>
      <c r="E119" s="83">
        <f t="shared" si="38"/>
        <v>63.131044717888649</v>
      </c>
      <c r="F119" s="83">
        <f t="shared" si="38"/>
        <v>64.905024203070752</v>
      </c>
      <c r="G119" s="83">
        <f t="shared" si="38"/>
        <v>62.734644585560389</v>
      </c>
      <c r="H119" s="83">
        <f t="shared" si="38"/>
        <v>61.430831832790481</v>
      </c>
      <c r="I119" s="83">
        <f t="shared" si="38"/>
        <v>69.59288184689332</v>
      </c>
      <c r="J119" s="83">
        <f t="shared" si="38"/>
        <v>69.313935812583765</v>
      </c>
      <c r="K119" s="83">
        <f t="shared" si="38"/>
        <v>69.720651902320569</v>
      </c>
      <c r="L119" s="83">
        <f t="shared" si="38"/>
        <v>65.761375989036182</v>
      </c>
      <c r="M119" s="83">
        <f t="shared" si="38"/>
        <v>63.98249769766867</v>
      </c>
      <c r="N119" s="83">
        <f>N109*N114</f>
        <v>73.906379362076422</v>
      </c>
      <c r="O119" s="135">
        <f>SUM(C119:N119)</f>
        <v>787.25522164412598</v>
      </c>
      <c r="P119" s="61">
        <f t="shared" si="22"/>
        <v>117</v>
      </c>
    </row>
    <row r="120" spans="1:16" x14ac:dyDescent="0.3">
      <c r="A120" s="11">
        <f t="shared" si="21"/>
        <v>118</v>
      </c>
      <c r="B120" s="127" t="s">
        <v>411</v>
      </c>
      <c r="C120" s="86">
        <f t="shared" si="38"/>
        <v>112.82441348871235</v>
      </c>
      <c r="D120" s="86">
        <f t="shared" si="38"/>
        <v>99.094167818889815</v>
      </c>
      <c r="E120" s="86">
        <f t="shared" si="38"/>
        <v>108.96792922822776</v>
      </c>
      <c r="F120" s="86">
        <f t="shared" si="38"/>
        <v>112.02992308335047</v>
      </c>
      <c r="G120" s="86">
        <f t="shared" si="38"/>
        <v>108.28371907839373</v>
      </c>
      <c r="H120" s="86">
        <f t="shared" si="38"/>
        <v>108.22539489342269</v>
      </c>
      <c r="I120" s="86">
        <f t="shared" si="38"/>
        <v>122.60483693517342</v>
      </c>
      <c r="J120" s="86">
        <f t="shared" si="38"/>
        <v>122.11340545335206</v>
      </c>
      <c r="K120" s="86">
        <f t="shared" si="38"/>
        <v>122.82993505433622</v>
      </c>
      <c r="L120" s="86">
        <f t="shared" si="38"/>
        <v>115.85470475998591</v>
      </c>
      <c r="M120" s="86">
        <f t="shared" si="38"/>
        <v>110.43758759451079</v>
      </c>
      <c r="N120" s="86">
        <f t="shared" si="38"/>
        <v>127.56679620667353</v>
      </c>
      <c r="O120" s="136">
        <f>SUM(C120:N120)</f>
        <v>1370.8328135950287</v>
      </c>
      <c r="P120" s="61">
        <f t="shared" si="22"/>
        <v>118</v>
      </c>
    </row>
    <row r="121" spans="1:16" x14ac:dyDescent="0.3">
      <c r="A121" s="11">
        <f t="shared" si="21"/>
        <v>119</v>
      </c>
      <c r="C121" s="83">
        <f t="shared" ref="C121:N121" si="39">SUM(C118:C120)</f>
        <v>178.18972917079049</v>
      </c>
      <c r="D121" s="83">
        <f t="shared" si="39"/>
        <v>156.50480583104837</v>
      </c>
      <c r="E121" s="83">
        <f t="shared" si="39"/>
        <v>172.09897394611642</v>
      </c>
      <c r="F121" s="83">
        <f t="shared" si="39"/>
        <v>176.93494728642122</v>
      </c>
      <c r="G121" s="83">
        <f t="shared" si="39"/>
        <v>171.01836366395412</v>
      </c>
      <c r="H121" s="83">
        <f t="shared" si="39"/>
        <v>169.65622672621316</v>
      </c>
      <c r="I121" s="83">
        <f t="shared" si="39"/>
        <v>192.19771878206674</v>
      </c>
      <c r="J121" s="83">
        <f t="shared" si="39"/>
        <v>191.42734126593581</v>
      </c>
      <c r="K121" s="83">
        <f t="shared" si="39"/>
        <v>192.55058695665679</v>
      </c>
      <c r="L121" s="83">
        <f t="shared" si="39"/>
        <v>181.6160807490221</v>
      </c>
      <c r="M121" s="83">
        <f t="shared" si="39"/>
        <v>174.42008529217946</v>
      </c>
      <c r="N121" s="83">
        <f t="shared" si="39"/>
        <v>201.47317556874995</v>
      </c>
      <c r="O121" s="137">
        <f>SUM(O118:O120)</f>
        <v>2158.0880352391546</v>
      </c>
      <c r="P121" s="61">
        <f t="shared" si="22"/>
        <v>119</v>
      </c>
    </row>
    <row r="122" spans="1:16" ht="21.75" x14ac:dyDescent="0.3">
      <c r="A122" s="11">
        <f t="shared" si="21"/>
        <v>120</v>
      </c>
      <c r="B122" s="235" t="s">
        <v>422</v>
      </c>
      <c r="O122" s="127"/>
      <c r="P122" s="61">
        <f t="shared" si="22"/>
        <v>120</v>
      </c>
    </row>
    <row r="123" spans="1:16" x14ac:dyDescent="0.3">
      <c r="A123" s="11">
        <f t="shared" si="21"/>
        <v>121</v>
      </c>
      <c r="B123" s="237" t="s">
        <v>401</v>
      </c>
      <c r="C123" s="385">
        <f>'[3]C. 2026 Forecast Sales'!B131</f>
        <v>0</v>
      </c>
      <c r="D123" s="385">
        <f>'[3]C. 2026 Forecast Sales'!C131</f>
        <v>0</v>
      </c>
      <c r="E123" s="385">
        <f>'[3]C. 2026 Forecast Sales'!D131</f>
        <v>0</v>
      </c>
      <c r="F123" s="385">
        <f>'[3]C. 2026 Forecast Sales'!E131</f>
        <v>0</v>
      </c>
      <c r="G123" s="385">
        <f>'[3]C. 2026 Forecast Sales'!F131</f>
        <v>0</v>
      </c>
      <c r="H123" s="385">
        <f>'[3]C. 2026 Forecast Sales'!G131</f>
        <v>0</v>
      </c>
      <c r="I123" s="385">
        <f>'[3]C. 2026 Forecast Sales'!H131</f>
        <v>0</v>
      </c>
      <c r="J123" s="385">
        <f>'[3]C. 2026 Forecast Sales'!I131</f>
        <v>0</v>
      </c>
      <c r="K123" s="385">
        <f>'[3]C. 2026 Forecast Sales'!J131</f>
        <v>0</v>
      </c>
      <c r="L123" s="385">
        <f>'[3]C. 2026 Forecast Sales'!K131</f>
        <v>0</v>
      </c>
      <c r="M123" s="385">
        <f>'[3]C. 2026 Forecast Sales'!L131</f>
        <v>0</v>
      </c>
      <c r="N123" s="385">
        <f>'[3]C. 2026 Forecast Sales'!M131</f>
        <v>0</v>
      </c>
      <c r="O123" s="164">
        <v>0</v>
      </c>
      <c r="P123" s="61">
        <f t="shared" si="22"/>
        <v>121</v>
      </c>
    </row>
    <row r="124" spans="1:16" x14ac:dyDescent="0.3">
      <c r="A124" s="11">
        <f t="shared" si="21"/>
        <v>122</v>
      </c>
      <c r="B124" s="237" t="s">
        <v>402</v>
      </c>
      <c r="C124" s="385">
        <f>'[3]C. 2026 Forecast Sales'!B132</f>
        <v>1.4780222973568001E-3</v>
      </c>
      <c r="D124" s="385">
        <f>'[3]C. 2026 Forecast Sales'!C132</f>
        <v>1.4780222973568001E-3</v>
      </c>
      <c r="E124" s="385">
        <f>'[3]C. 2026 Forecast Sales'!D132</f>
        <v>1.4780222973568001E-3</v>
      </c>
      <c r="F124" s="385">
        <f>'[3]C. 2026 Forecast Sales'!E132</f>
        <v>1.4780222973568001E-3</v>
      </c>
      <c r="G124" s="385">
        <f>'[3]C. 2026 Forecast Sales'!F132</f>
        <v>1.4780222973568001E-3</v>
      </c>
      <c r="H124" s="385">
        <f>'[3]C. 2026 Forecast Sales'!G132</f>
        <v>1.55360757415683E-3</v>
      </c>
      <c r="I124" s="385">
        <f>'[3]C. 2026 Forecast Sales'!H132</f>
        <v>1.55360757415683E-3</v>
      </c>
      <c r="J124" s="385">
        <f>'[3]C. 2026 Forecast Sales'!I132</f>
        <v>1.55360757415683E-3</v>
      </c>
      <c r="K124" s="385">
        <f>'[3]C. 2026 Forecast Sales'!J132</f>
        <v>1.55360757415683E-3</v>
      </c>
      <c r="L124" s="385">
        <f>'[3]C. 2026 Forecast Sales'!K132</f>
        <v>1.55360757415683E-3</v>
      </c>
      <c r="M124" s="385">
        <f>'[3]C. 2026 Forecast Sales'!L132</f>
        <v>1.4780222973568001E-3</v>
      </c>
      <c r="N124" s="385">
        <f>'[3]C. 2026 Forecast Sales'!M132</f>
        <v>1.4780222973568001E-3</v>
      </c>
      <c r="O124" s="164">
        <f>O129/O109</f>
        <v>1.5102462954989205E-3</v>
      </c>
      <c r="P124" s="61">
        <f t="shared" si="22"/>
        <v>122</v>
      </c>
    </row>
    <row r="125" spans="1:16" x14ac:dyDescent="0.3">
      <c r="A125" s="11">
        <f t="shared" si="21"/>
        <v>123</v>
      </c>
      <c r="B125" s="237" t="s">
        <v>403</v>
      </c>
      <c r="C125" s="385">
        <f>'[3]C. 2026 Forecast Sales'!B133</f>
        <v>1.4349117898702999E-3</v>
      </c>
      <c r="D125" s="385">
        <f>'[3]C. 2026 Forecast Sales'!C133</f>
        <v>1.4349117898702999E-3</v>
      </c>
      <c r="E125" s="385">
        <f>'[3]C. 2026 Forecast Sales'!D133</f>
        <v>1.4349117898702999E-3</v>
      </c>
      <c r="F125" s="385">
        <f>'[3]C. 2026 Forecast Sales'!E133</f>
        <v>1.4349117898702999E-3</v>
      </c>
      <c r="G125" s="385">
        <f>'[3]C. 2026 Forecast Sales'!F133</f>
        <v>1.4349117898702999E-3</v>
      </c>
      <c r="H125" s="385">
        <f>'[3]C. 2026 Forecast Sales'!G133</f>
        <v>1.3512467049344001E-3</v>
      </c>
      <c r="I125" s="385">
        <f>'[3]C. 2026 Forecast Sales'!H133</f>
        <v>1.3512467049344001E-3</v>
      </c>
      <c r="J125" s="385">
        <f>'[3]C. 2026 Forecast Sales'!I133</f>
        <v>1.3512467049344001E-3</v>
      </c>
      <c r="K125" s="385">
        <f>'[3]C. 2026 Forecast Sales'!J133</f>
        <v>1.3512467049344001E-3</v>
      </c>
      <c r="L125" s="385">
        <f>'[3]C. 2026 Forecast Sales'!K133</f>
        <v>1.3512467049344001E-3</v>
      </c>
      <c r="M125" s="385">
        <f>'[3]C. 2026 Forecast Sales'!L133</f>
        <v>1.4349117898702999E-3</v>
      </c>
      <c r="N125" s="385">
        <f>'[3]C. 2026 Forecast Sales'!M133</f>
        <v>1.4349117898702999E-3</v>
      </c>
      <c r="O125" s="164">
        <f>O130/O110</f>
        <v>1.3988033530406268E-3</v>
      </c>
      <c r="P125" s="61">
        <f t="shared" si="22"/>
        <v>123</v>
      </c>
    </row>
    <row r="126" spans="1:16" x14ac:dyDescent="0.3">
      <c r="A126" s="11">
        <f t="shared" si="21"/>
        <v>124</v>
      </c>
      <c r="B126" s="237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127"/>
      <c r="P126" s="61">
        <f t="shared" si="22"/>
        <v>124</v>
      </c>
    </row>
    <row r="127" spans="1:16" ht="21.75" x14ac:dyDescent="0.3">
      <c r="A127" s="11">
        <f t="shared" si="21"/>
        <v>125</v>
      </c>
      <c r="B127" s="235" t="s">
        <v>423</v>
      </c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127"/>
      <c r="P127" s="61">
        <f t="shared" si="22"/>
        <v>125</v>
      </c>
    </row>
    <row r="128" spans="1:16" x14ac:dyDescent="0.3">
      <c r="A128" s="11">
        <f t="shared" si="21"/>
        <v>126</v>
      </c>
      <c r="B128" s="127" t="s">
        <v>409</v>
      </c>
      <c r="C128" s="83">
        <f t="shared" ref="C128:N130" si="40">C108*C123</f>
        <v>0</v>
      </c>
      <c r="D128" s="83">
        <f t="shared" si="40"/>
        <v>0</v>
      </c>
      <c r="E128" s="83">
        <f t="shared" si="40"/>
        <v>0</v>
      </c>
      <c r="F128" s="83">
        <f t="shared" si="40"/>
        <v>0</v>
      </c>
      <c r="G128" s="83">
        <f t="shared" si="40"/>
        <v>0</v>
      </c>
      <c r="H128" s="83">
        <f t="shared" si="40"/>
        <v>0</v>
      </c>
      <c r="I128" s="83">
        <f t="shared" si="40"/>
        <v>0</v>
      </c>
      <c r="J128" s="83">
        <f t="shared" si="40"/>
        <v>0</v>
      </c>
      <c r="K128" s="83">
        <f t="shared" si="40"/>
        <v>0</v>
      </c>
      <c r="L128" s="83">
        <f t="shared" si="40"/>
        <v>0</v>
      </c>
      <c r="M128" s="83">
        <f t="shared" si="40"/>
        <v>0</v>
      </c>
      <c r="N128" s="83">
        <f t="shared" si="40"/>
        <v>0</v>
      </c>
      <c r="O128" s="135">
        <f>SUM(C128:N128)</f>
        <v>0</v>
      </c>
      <c r="P128" s="61">
        <f t="shared" si="22"/>
        <v>126</v>
      </c>
    </row>
    <row r="129" spans="1:21" x14ac:dyDescent="0.3">
      <c r="A129" s="11">
        <f t="shared" si="21"/>
        <v>127</v>
      </c>
      <c r="B129" s="127" t="s">
        <v>410</v>
      </c>
      <c r="C129" s="83">
        <f t="shared" si="40"/>
        <v>42.84045806994628</v>
      </c>
      <c r="D129" s="83">
        <f t="shared" si="40"/>
        <v>37.626958653289073</v>
      </c>
      <c r="E129" s="83">
        <f t="shared" si="40"/>
        <v>41.376115848701524</v>
      </c>
      <c r="F129" s="83">
        <f t="shared" si="40"/>
        <v>42.538782822139332</v>
      </c>
      <c r="G129" s="83">
        <f t="shared" si="40"/>
        <v>41.116315018999629</v>
      </c>
      <c r="H129" s="83">
        <f t="shared" si="40"/>
        <v>42.278584359830866</v>
      </c>
      <c r="I129" s="83">
        <f t="shared" si="40"/>
        <v>47.895957749950078</v>
      </c>
      <c r="J129" s="83">
        <f t="shared" si="40"/>
        <v>47.703978525649525</v>
      </c>
      <c r="K129" s="83">
        <f t="shared" si="40"/>
        <v>47.983893024565027</v>
      </c>
      <c r="L129" s="83">
        <f t="shared" si="40"/>
        <v>45.258997793465618</v>
      </c>
      <c r="M129" s="83">
        <f t="shared" si="40"/>
        <v>41.9341585246707</v>
      </c>
      <c r="N129" s="83">
        <f>N109*N124</f>
        <v>48.438275148278386</v>
      </c>
      <c r="O129" s="135">
        <f>SUM(C129:N129)</f>
        <v>526.99247553948601</v>
      </c>
      <c r="P129" s="61">
        <f t="shared" si="22"/>
        <v>127</v>
      </c>
    </row>
    <row r="130" spans="1:21" x14ac:dyDescent="0.3">
      <c r="A130" s="11">
        <f t="shared" si="21"/>
        <v>128</v>
      </c>
      <c r="B130" s="127" t="s">
        <v>411</v>
      </c>
      <c r="C130" s="86">
        <f t="shared" si="40"/>
        <v>93.541038369015311</v>
      </c>
      <c r="D130" s="86">
        <f t="shared" si="40"/>
        <v>82.157496480314336</v>
      </c>
      <c r="E130" s="86">
        <f t="shared" si="40"/>
        <v>90.343684790788345</v>
      </c>
      <c r="F130" s="86">
        <f t="shared" si="40"/>
        <v>92.882338224305883</v>
      </c>
      <c r="G130" s="86">
        <f t="shared" si="40"/>
        <v>89.776416361030471</v>
      </c>
      <c r="H130" s="86">
        <f t="shared" si="40"/>
        <v>84.496306426869111</v>
      </c>
      <c r="I130" s="86">
        <f t="shared" si="40"/>
        <v>95.722966696426752</v>
      </c>
      <c r="J130" s="86">
        <f t="shared" si="40"/>
        <v>95.339284612229406</v>
      </c>
      <c r="K130" s="86">
        <f t="shared" si="40"/>
        <v>95.898710658106182</v>
      </c>
      <c r="L130" s="86">
        <f t="shared" si="40"/>
        <v>90.452842828935317</v>
      </c>
      <c r="M130" s="86">
        <f t="shared" si="40"/>
        <v>91.562156621298499</v>
      </c>
      <c r="N130" s="86">
        <f t="shared" si="40"/>
        <v>105.7637279876011</v>
      </c>
      <c r="O130" s="136">
        <f>SUM(C130:N130)</f>
        <v>1107.9369700569209</v>
      </c>
      <c r="P130" s="61">
        <f t="shared" si="22"/>
        <v>128</v>
      </c>
    </row>
    <row r="131" spans="1:21" x14ac:dyDescent="0.3">
      <c r="A131" s="11">
        <f t="shared" si="21"/>
        <v>129</v>
      </c>
      <c r="C131" s="83">
        <f t="shared" ref="C131:O131" si="41">SUM(C128:C130)</f>
        <v>136.38149643896159</v>
      </c>
      <c r="D131" s="83">
        <f t="shared" si="41"/>
        <v>119.78445513360342</v>
      </c>
      <c r="E131" s="83">
        <f t="shared" si="41"/>
        <v>131.71980063948988</v>
      </c>
      <c r="F131" s="83">
        <f t="shared" si="41"/>
        <v>135.42112104644522</v>
      </c>
      <c r="G131" s="83">
        <f t="shared" si="41"/>
        <v>130.89273138003011</v>
      </c>
      <c r="H131" s="83">
        <f t="shared" si="41"/>
        <v>126.77489078669998</v>
      </c>
      <c r="I131" s="83">
        <f t="shared" si="41"/>
        <v>143.61892444637684</v>
      </c>
      <c r="J131" s="83">
        <f t="shared" si="41"/>
        <v>143.04326313787894</v>
      </c>
      <c r="K131" s="83">
        <f t="shared" si="41"/>
        <v>143.8826036826712</v>
      </c>
      <c r="L131" s="83">
        <f t="shared" si="41"/>
        <v>135.71184062240093</v>
      </c>
      <c r="M131" s="83">
        <f t="shared" si="41"/>
        <v>133.49631514596919</v>
      </c>
      <c r="N131" s="83">
        <f t="shared" si="41"/>
        <v>154.20200313587949</v>
      </c>
      <c r="O131" s="137">
        <f t="shared" si="41"/>
        <v>1634.9294455964068</v>
      </c>
      <c r="P131" s="61">
        <f t="shared" si="22"/>
        <v>129</v>
      </c>
      <c r="U131" s="83"/>
    </row>
    <row r="132" spans="1:21" ht="21.75" x14ac:dyDescent="0.3">
      <c r="A132" s="11">
        <f t="shared" si="21"/>
        <v>130</v>
      </c>
      <c r="B132" s="235" t="s">
        <v>424</v>
      </c>
      <c r="O132" s="127"/>
      <c r="P132" s="61">
        <f t="shared" si="22"/>
        <v>130</v>
      </c>
      <c r="U132" s="83"/>
    </row>
    <row r="133" spans="1:21" x14ac:dyDescent="0.3">
      <c r="A133" s="11">
        <f t="shared" si="21"/>
        <v>131</v>
      </c>
      <c r="B133" s="237" t="s">
        <v>401</v>
      </c>
      <c r="C133" s="385">
        <f>'[3]C. 2026 Forecast Sales'!B142</f>
        <v>0</v>
      </c>
      <c r="D133" s="385">
        <f>'[3]C. 2026 Forecast Sales'!C142</f>
        <v>0</v>
      </c>
      <c r="E133" s="385">
        <f>'[3]C. 2026 Forecast Sales'!D142</f>
        <v>0</v>
      </c>
      <c r="F133" s="385">
        <f>'[3]C. 2026 Forecast Sales'!E142</f>
        <v>0</v>
      </c>
      <c r="G133" s="385">
        <f>'[3]C. 2026 Forecast Sales'!F142</f>
        <v>0</v>
      </c>
      <c r="H133" s="385">
        <f>'[3]C. 2026 Forecast Sales'!G142</f>
        <v>0</v>
      </c>
      <c r="I133" s="385">
        <f>'[3]C. 2026 Forecast Sales'!H142</f>
        <v>0</v>
      </c>
      <c r="J133" s="385">
        <f>'[3]C. 2026 Forecast Sales'!I142</f>
        <v>0</v>
      </c>
      <c r="K133" s="385">
        <f>'[3]C. 2026 Forecast Sales'!J142</f>
        <v>0</v>
      </c>
      <c r="L133" s="385">
        <f>'[3]C. 2026 Forecast Sales'!K142</f>
        <v>0</v>
      </c>
      <c r="M133" s="385">
        <f>'[3]C. 2026 Forecast Sales'!L142</f>
        <v>0</v>
      </c>
      <c r="N133" s="385">
        <f>'[3]C. 2026 Forecast Sales'!M142</f>
        <v>0</v>
      </c>
      <c r="O133" s="163">
        <f>IFERROR(O138/O128,0)</f>
        <v>0</v>
      </c>
      <c r="P133" s="61">
        <f t="shared" si="22"/>
        <v>131</v>
      </c>
      <c r="U133" s="83"/>
    </row>
    <row r="134" spans="1:21" x14ac:dyDescent="0.3">
      <c r="A134" s="11">
        <f t="shared" si="21"/>
        <v>132</v>
      </c>
      <c r="B134" s="237" t="s">
        <v>402</v>
      </c>
      <c r="C134" s="385">
        <f>'[3]C. 2026 Forecast Sales'!B143</f>
        <v>1.4873469184060501E-3</v>
      </c>
      <c r="D134" s="385">
        <f>'[3]C. 2026 Forecast Sales'!C143</f>
        <v>1.4873469184060501E-3</v>
      </c>
      <c r="E134" s="385">
        <f>'[3]C. 2026 Forecast Sales'!D143</f>
        <v>1.4873469184060501E-3</v>
      </c>
      <c r="F134" s="385">
        <f>'[3]C. 2026 Forecast Sales'!E143</f>
        <v>1.4873469184060501E-3</v>
      </c>
      <c r="G134" s="385">
        <f>'[3]C. 2026 Forecast Sales'!F143</f>
        <v>1.4873469184060501E-3</v>
      </c>
      <c r="H134" s="385">
        <f>'[3]C. 2026 Forecast Sales'!G143</f>
        <v>1.63018836635535E-3</v>
      </c>
      <c r="I134" s="385">
        <f>'[3]C. 2026 Forecast Sales'!H143</f>
        <v>1.63018836635535E-3</v>
      </c>
      <c r="J134" s="385">
        <f>'[3]C. 2026 Forecast Sales'!I143</f>
        <v>1.63018836635535E-3</v>
      </c>
      <c r="K134" s="385">
        <f>'[3]C. 2026 Forecast Sales'!J143</f>
        <v>1.63018836635535E-3</v>
      </c>
      <c r="L134" s="385">
        <f>'[3]C. 2026 Forecast Sales'!K143</f>
        <v>1.63018836635535E-3</v>
      </c>
      <c r="M134" s="385">
        <f>'[3]C. 2026 Forecast Sales'!L143</f>
        <v>1.4873469184060501E-3</v>
      </c>
      <c r="N134" s="385">
        <f>'[3]C. 2026 Forecast Sales'!M143</f>
        <v>1.4873469184060501E-3</v>
      </c>
      <c r="O134" s="246">
        <f>O139/O109</f>
        <v>1.5482439971521351E-3</v>
      </c>
      <c r="P134" s="61">
        <f t="shared" si="22"/>
        <v>132</v>
      </c>
      <c r="U134" s="83"/>
    </row>
    <row r="135" spans="1:21" x14ac:dyDescent="0.3">
      <c r="A135" s="11">
        <f t="shared" si="21"/>
        <v>133</v>
      </c>
      <c r="B135" s="237" t="s">
        <v>403</v>
      </c>
      <c r="C135" s="385">
        <f>'[3]C. 2026 Forecast Sales'!B144</f>
        <v>1.45258510530909E-3</v>
      </c>
      <c r="D135" s="385">
        <f>'[3]C. 2026 Forecast Sales'!C144</f>
        <v>1.45258510530909E-3</v>
      </c>
      <c r="E135" s="385">
        <f>'[3]C. 2026 Forecast Sales'!D144</f>
        <v>1.45258510530909E-3</v>
      </c>
      <c r="F135" s="385">
        <f>'[3]C. 2026 Forecast Sales'!E144</f>
        <v>1.45258510530909E-3</v>
      </c>
      <c r="G135" s="385">
        <f>'[3]C. 2026 Forecast Sales'!F144</f>
        <v>1.45258510530909E-3</v>
      </c>
      <c r="H135" s="385">
        <f>'[3]C. 2026 Forecast Sales'!G144</f>
        <v>1.4244602307784001E-3</v>
      </c>
      <c r="I135" s="385">
        <f>'[3]C. 2026 Forecast Sales'!H144</f>
        <v>1.4244602307784001E-3</v>
      </c>
      <c r="J135" s="385">
        <f>'[3]C. 2026 Forecast Sales'!I144</f>
        <v>1.4244602307784001E-3</v>
      </c>
      <c r="K135" s="385">
        <f>'[3]C. 2026 Forecast Sales'!J144</f>
        <v>1.4244602307784001E-3</v>
      </c>
      <c r="L135" s="385">
        <f>'[3]C. 2026 Forecast Sales'!K144</f>
        <v>1.4244602307784001E-3</v>
      </c>
      <c r="M135" s="385">
        <f>'[3]C. 2026 Forecast Sales'!L144</f>
        <v>1.45258510530909E-3</v>
      </c>
      <c r="N135" s="385">
        <f>'[3]C. 2026 Forecast Sales'!M144</f>
        <v>1.45258510530909E-3</v>
      </c>
      <c r="O135" s="246">
        <f>O140/O110</f>
        <v>1.4404468847346178E-3</v>
      </c>
      <c r="P135" s="61">
        <f t="shared" si="22"/>
        <v>133</v>
      </c>
      <c r="U135" s="83"/>
    </row>
    <row r="136" spans="1:21" x14ac:dyDescent="0.3">
      <c r="A136" s="11">
        <f t="shared" si="21"/>
        <v>134</v>
      </c>
      <c r="B136" s="237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127"/>
      <c r="P136" s="61">
        <f t="shared" si="22"/>
        <v>134</v>
      </c>
      <c r="U136" s="83"/>
    </row>
    <row r="137" spans="1:21" ht="21.75" x14ac:dyDescent="0.3">
      <c r="A137" s="11">
        <f t="shared" si="21"/>
        <v>135</v>
      </c>
      <c r="B137" s="235" t="s">
        <v>425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127"/>
      <c r="P137" s="61">
        <f t="shared" si="22"/>
        <v>135</v>
      </c>
      <c r="U137" s="83"/>
    </row>
    <row r="138" spans="1:21" x14ac:dyDescent="0.3">
      <c r="A138" s="11">
        <f t="shared" si="21"/>
        <v>136</v>
      </c>
      <c r="B138" s="127" t="s">
        <v>409</v>
      </c>
      <c r="C138" s="83">
        <f>C133*C108</f>
        <v>0</v>
      </c>
      <c r="D138" s="83">
        <f t="shared" ref="D138:N139" si="42">D133*D108</f>
        <v>0</v>
      </c>
      <c r="E138" s="83">
        <f t="shared" si="42"/>
        <v>0</v>
      </c>
      <c r="F138" s="83">
        <f t="shared" si="42"/>
        <v>0</v>
      </c>
      <c r="G138" s="83">
        <f t="shared" si="42"/>
        <v>0</v>
      </c>
      <c r="H138" s="83">
        <f t="shared" si="42"/>
        <v>0</v>
      </c>
      <c r="I138" s="83">
        <f t="shared" si="42"/>
        <v>0</v>
      </c>
      <c r="J138" s="83">
        <f t="shared" si="42"/>
        <v>0</v>
      </c>
      <c r="K138" s="83">
        <f t="shared" si="42"/>
        <v>0</v>
      </c>
      <c r="L138" s="83">
        <f t="shared" si="42"/>
        <v>0</v>
      </c>
      <c r="M138" s="83">
        <f t="shared" si="42"/>
        <v>0</v>
      </c>
      <c r="N138" s="83">
        <f t="shared" si="42"/>
        <v>0</v>
      </c>
      <c r="O138" s="135">
        <f>SUM(C138:N138)</f>
        <v>0</v>
      </c>
      <c r="P138" s="61">
        <f t="shared" ref="P138:P203" si="43">P137+1</f>
        <v>136</v>
      </c>
      <c r="U138" s="83"/>
    </row>
    <row r="139" spans="1:21" x14ac:dyDescent="0.3">
      <c r="A139" s="11">
        <f t="shared" si="21"/>
        <v>137</v>
      </c>
      <c r="B139" s="127" t="s">
        <v>410</v>
      </c>
      <c r="C139" s="83">
        <f>C134*C109</f>
        <v>43.110732096118227</v>
      </c>
      <c r="D139" s="83">
        <f t="shared" si="42"/>
        <v>37.864341493389098</v>
      </c>
      <c r="E139" s="83">
        <f t="shared" si="42"/>
        <v>41.63715155937313</v>
      </c>
      <c r="F139" s="83">
        <f t="shared" si="42"/>
        <v>42.807153624408116</v>
      </c>
      <c r="G139" s="83">
        <f t="shared" si="42"/>
        <v>41.375711685192961</v>
      </c>
      <c r="H139" s="83">
        <f t="shared" si="42"/>
        <v>44.362590345103548</v>
      </c>
      <c r="I139" s="83">
        <f t="shared" si="42"/>
        <v>50.256856633690823</v>
      </c>
      <c r="J139" s="83">
        <f t="shared" si="42"/>
        <v>50.055414324035155</v>
      </c>
      <c r="K139" s="83">
        <f t="shared" si="42"/>
        <v>50.349126434671518</v>
      </c>
      <c r="L139" s="83">
        <f t="shared" si="42"/>
        <v>47.489915023008422</v>
      </c>
      <c r="M139" s="83">
        <f t="shared" si="42"/>
        <v>42.198714842908252</v>
      </c>
      <c r="N139" s="83">
        <f t="shared" si="42"/>
        <v>48.743864963022546</v>
      </c>
      <c r="O139" s="135">
        <f>SUM(C139:N139)</f>
        <v>540.25157302492175</v>
      </c>
      <c r="P139" s="61">
        <f t="shared" si="43"/>
        <v>137</v>
      </c>
      <c r="U139" s="83"/>
    </row>
    <row r="140" spans="1:21" x14ac:dyDescent="0.3">
      <c r="A140" s="11">
        <f t="shared" si="21"/>
        <v>138</v>
      </c>
      <c r="B140" s="127" t="s">
        <v>411</v>
      </c>
      <c r="C140" s="86">
        <f>C135*C110</f>
        <v>94.693151195210021</v>
      </c>
      <c r="D140" s="86">
        <f t="shared" ref="D140:N140" si="44">D135*D110</f>
        <v>83.169402132778956</v>
      </c>
      <c r="E140" s="86">
        <f t="shared" si="44"/>
        <v>91.456416911662856</v>
      </c>
      <c r="F140" s="86">
        <f t="shared" si="44"/>
        <v>94.026338067166549</v>
      </c>
      <c r="G140" s="86">
        <f t="shared" si="44"/>
        <v>90.882161631585447</v>
      </c>
      <c r="H140" s="86">
        <f t="shared" si="44"/>
        <v>89.074502615407795</v>
      </c>
      <c r="I140" s="86">
        <f t="shared" si="44"/>
        <v>100.90944809208975</v>
      </c>
      <c r="J140" s="86">
        <f t="shared" si="44"/>
        <v>100.50497726658804</v>
      </c>
      <c r="K140" s="86">
        <f t="shared" si="44"/>
        <v>101.09471424911172</v>
      </c>
      <c r="L140" s="86">
        <f t="shared" si="44"/>
        <v>95.353777293335014</v>
      </c>
      <c r="M140" s="86">
        <f t="shared" si="44"/>
        <v>92.689896241007361</v>
      </c>
      <c r="N140" s="86">
        <f t="shared" si="44"/>
        <v>107.06638348175954</v>
      </c>
      <c r="O140" s="136">
        <f>SUM(C140:N140)</f>
        <v>1140.9211691777032</v>
      </c>
      <c r="P140" s="61">
        <f t="shared" si="43"/>
        <v>138</v>
      </c>
      <c r="U140" s="83"/>
    </row>
    <row r="141" spans="1:21" x14ac:dyDescent="0.3">
      <c r="A141" s="11">
        <f t="shared" si="21"/>
        <v>139</v>
      </c>
      <c r="C141" s="83">
        <f t="shared" ref="C141:O141" si="45">SUM(C138:C140)</f>
        <v>137.80388329132825</v>
      </c>
      <c r="D141" s="83">
        <f t="shared" si="45"/>
        <v>121.03374362616805</v>
      </c>
      <c r="E141" s="83">
        <f t="shared" si="45"/>
        <v>133.09356847103598</v>
      </c>
      <c r="F141" s="83">
        <f t="shared" si="45"/>
        <v>136.83349169157466</v>
      </c>
      <c r="G141" s="83">
        <f t="shared" si="45"/>
        <v>132.25787331677842</v>
      </c>
      <c r="H141" s="83">
        <f t="shared" si="45"/>
        <v>133.43709296051134</v>
      </c>
      <c r="I141" s="83">
        <f t="shared" si="45"/>
        <v>151.16630472578058</v>
      </c>
      <c r="J141" s="83">
        <f t="shared" si="45"/>
        <v>150.5603915906232</v>
      </c>
      <c r="K141" s="83">
        <f t="shared" si="45"/>
        <v>151.44384068378324</v>
      </c>
      <c r="L141" s="83">
        <f t="shared" si="45"/>
        <v>142.84369231634344</v>
      </c>
      <c r="M141" s="83">
        <f t="shared" si="45"/>
        <v>134.88861108391561</v>
      </c>
      <c r="N141" s="83">
        <f t="shared" si="45"/>
        <v>155.81024844478208</v>
      </c>
      <c r="O141" s="137">
        <f t="shared" si="45"/>
        <v>1681.1727422026249</v>
      </c>
      <c r="P141" s="61">
        <f t="shared" si="43"/>
        <v>139</v>
      </c>
      <c r="U141" s="83"/>
    </row>
    <row r="142" spans="1:21" x14ac:dyDescent="0.3">
      <c r="A142" s="11">
        <f t="shared" si="21"/>
        <v>140</v>
      </c>
      <c r="B142" s="127" t="s">
        <v>426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137"/>
      <c r="P142" s="61">
        <f t="shared" si="43"/>
        <v>140</v>
      </c>
      <c r="U142" s="83"/>
    </row>
    <row r="143" spans="1:21" x14ac:dyDescent="0.3">
      <c r="A143" s="11">
        <f t="shared" si="21"/>
        <v>141</v>
      </c>
      <c r="B143" s="326"/>
      <c r="C143" s="379"/>
      <c r="D143" s="379"/>
      <c r="E143" s="379"/>
      <c r="F143" s="379"/>
      <c r="G143" s="379"/>
      <c r="H143" s="379"/>
      <c r="I143" s="379"/>
      <c r="J143" s="379"/>
      <c r="K143" s="379"/>
      <c r="L143" s="379"/>
      <c r="M143" s="379"/>
      <c r="N143" s="379"/>
      <c r="O143" s="227"/>
      <c r="P143" s="61">
        <f t="shared" si="43"/>
        <v>141</v>
      </c>
    </row>
    <row r="144" spans="1:21" x14ac:dyDescent="0.3">
      <c r="A144" s="11">
        <f t="shared" si="21"/>
        <v>142</v>
      </c>
      <c r="B144" s="329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9"/>
      <c r="P144" s="61">
        <f t="shared" si="43"/>
        <v>142</v>
      </c>
    </row>
    <row r="145" spans="1:21" x14ac:dyDescent="0.3">
      <c r="A145" s="11">
        <f t="shared" si="21"/>
        <v>143</v>
      </c>
      <c r="B145" s="239" t="s">
        <v>396</v>
      </c>
      <c r="C145" s="88">
        <f>C99</f>
        <v>46023</v>
      </c>
      <c r="D145" s="88">
        <f t="shared" ref="D145:N145" si="46">D99</f>
        <v>46054</v>
      </c>
      <c r="E145" s="88">
        <f t="shared" si="46"/>
        <v>46082</v>
      </c>
      <c r="F145" s="88">
        <f t="shared" si="46"/>
        <v>46113</v>
      </c>
      <c r="G145" s="88">
        <f t="shared" si="46"/>
        <v>46143</v>
      </c>
      <c r="H145" s="88">
        <f t="shared" si="46"/>
        <v>46174</v>
      </c>
      <c r="I145" s="88">
        <f t="shared" si="46"/>
        <v>46204</v>
      </c>
      <c r="J145" s="88">
        <f t="shared" si="46"/>
        <v>46235</v>
      </c>
      <c r="K145" s="88">
        <f t="shared" si="46"/>
        <v>46266</v>
      </c>
      <c r="L145" s="88">
        <f t="shared" si="46"/>
        <v>46296</v>
      </c>
      <c r="M145" s="88">
        <f t="shared" si="46"/>
        <v>46327</v>
      </c>
      <c r="N145" s="88">
        <f t="shared" si="46"/>
        <v>46357</v>
      </c>
      <c r="O145" s="129" t="s">
        <v>61</v>
      </c>
      <c r="P145" s="61">
        <f t="shared" si="43"/>
        <v>143</v>
      </c>
    </row>
    <row r="146" spans="1:21" x14ac:dyDescent="0.3">
      <c r="A146" s="11">
        <f t="shared" si="21"/>
        <v>144</v>
      </c>
      <c r="B146" s="239" t="s">
        <v>427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28"/>
      <c r="P146" s="61">
        <f t="shared" si="43"/>
        <v>144</v>
      </c>
    </row>
    <row r="147" spans="1:21" x14ac:dyDescent="0.3">
      <c r="A147" s="11">
        <f t="shared" si="21"/>
        <v>145</v>
      </c>
      <c r="B147" s="235" t="s">
        <v>399</v>
      </c>
      <c r="C147" s="2">
        <f t="shared" ref="C147:M147" si="47">C100+C54+C27</f>
        <v>718797.7314519526</v>
      </c>
      <c r="D147" s="2">
        <f t="shared" si="47"/>
        <v>680989.30974619114</v>
      </c>
      <c r="E147" s="2">
        <f t="shared" si="47"/>
        <v>682843.72333270195</v>
      </c>
      <c r="F147" s="2">
        <f t="shared" si="47"/>
        <v>686833.63435529463</v>
      </c>
      <c r="G147" s="2">
        <f t="shared" si="47"/>
        <v>693440.6124129626</v>
      </c>
      <c r="H147" s="2">
        <f t="shared" si="47"/>
        <v>723617.54656166642</v>
      </c>
      <c r="I147" s="2">
        <f t="shared" si="47"/>
        <v>806489.65684811841</v>
      </c>
      <c r="J147" s="2">
        <f t="shared" si="47"/>
        <v>833968.51835937228</v>
      </c>
      <c r="K147" s="2">
        <f t="shared" si="47"/>
        <v>867016.87316453329</v>
      </c>
      <c r="L147" s="2">
        <f t="shared" si="47"/>
        <v>796536.57447793381</v>
      </c>
      <c r="M147" s="2">
        <f t="shared" si="47"/>
        <v>728103.25338593172</v>
      </c>
      <c r="N147" s="2">
        <f>N100+N54+N27</f>
        <v>763709.82081237144</v>
      </c>
      <c r="O147" s="128">
        <f>SUM(C147:N147)</f>
        <v>8982347.2549090292</v>
      </c>
      <c r="P147" s="61">
        <f t="shared" si="43"/>
        <v>145</v>
      </c>
      <c r="U147" s="83"/>
    </row>
    <row r="148" spans="1:21" x14ac:dyDescent="0.3">
      <c r="A148" s="11">
        <f t="shared" si="21"/>
        <v>146</v>
      </c>
      <c r="B148" s="236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37"/>
      <c r="P148" s="61">
        <f t="shared" si="43"/>
        <v>146</v>
      </c>
    </row>
    <row r="149" spans="1:21" x14ac:dyDescent="0.3">
      <c r="A149" s="11">
        <f t="shared" si="21"/>
        <v>147</v>
      </c>
      <c r="B149" s="235" t="s">
        <v>399</v>
      </c>
      <c r="O149" s="127"/>
      <c r="P149" s="61">
        <f t="shared" si="43"/>
        <v>147</v>
      </c>
    </row>
    <row r="150" spans="1:21" x14ac:dyDescent="0.3">
      <c r="A150" s="11">
        <f t="shared" si="21"/>
        <v>148</v>
      </c>
      <c r="B150" s="127" t="s">
        <v>404</v>
      </c>
      <c r="C150" s="84">
        <f>C108+C62+C35</f>
        <v>463069.33489620819</v>
      </c>
      <c r="D150" s="84">
        <f t="shared" ref="D150:M150" si="48">D108+D62+D35</f>
        <v>443536.18716641096</v>
      </c>
      <c r="E150" s="84">
        <f t="shared" si="48"/>
        <v>438800.98576532502</v>
      </c>
      <c r="F150" s="84">
        <f t="shared" si="48"/>
        <v>439864.14375962206</v>
      </c>
      <c r="G150" s="84">
        <f t="shared" si="48"/>
        <v>447080.46752324805</v>
      </c>
      <c r="H150" s="84">
        <f t="shared" si="48"/>
        <v>466843.34327297006</v>
      </c>
      <c r="I150" s="84">
        <f t="shared" si="48"/>
        <v>519096.17506374873</v>
      </c>
      <c r="J150" s="84">
        <f t="shared" si="48"/>
        <v>539634.33498162357</v>
      </c>
      <c r="K150" s="84">
        <f t="shared" si="48"/>
        <v>563536.65275800286</v>
      </c>
      <c r="L150" s="84">
        <f t="shared" si="48"/>
        <v>515888.31896236126</v>
      </c>
      <c r="M150" s="84">
        <f t="shared" si="48"/>
        <v>471445.04781025421</v>
      </c>
      <c r="N150" s="84">
        <f>N108+N62+N35</f>
        <v>487242.52061890898</v>
      </c>
      <c r="O150" s="132">
        <f>SUM(C150:N150)</f>
        <v>5796037.5125786848</v>
      </c>
      <c r="P150" s="61">
        <f t="shared" si="43"/>
        <v>148</v>
      </c>
    </row>
    <row r="151" spans="1:21" x14ac:dyDescent="0.3">
      <c r="A151" s="11">
        <f t="shared" si="21"/>
        <v>149</v>
      </c>
      <c r="B151" s="127" t="s">
        <v>405</v>
      </c>
      <c r="C151" s="84">
        <f t="shared" ref="C151:N151" si="49">C109+C63+C36</f>
        <v>175763.50292870079</v>
      </c>
      <c r="D151" s="84">
        <f t="shared" si="49"/>
        <v>166044.75692793325</v>
      </c>
      <c r="E151" s="84">
        <f t="shared" si="49"/>
        <v>167080.449935629</v>
      </c>
      <c r="F151" s="84">
        <f t="shared" si="49"/>
        <v>168204.07477671548</v>
      </c>
      <c r="G151" s="84">
        <f t="shared" si="49"/>
        <v>169529.01105635313</v>
      </c>
      <c r="H151" s="84">
        <f t="shared" si="49"/>
        <v>178469.45750979407</v>
      </c>
      <c r="I151" s="84">
        <f t="shared" si="49"/>
        <v>199014.96468123808</v>
      </c>
      <c r="J151" s="84">
        <f t="shared" si="49"/>
        <v>205545.71656593386</v>
      </c>
      <c r="K151" s="84">
        <f t="shared" si="49"/>
        <v>213470.18933918275</v>
      </c>
      <c r="L151" s="84">
        <f t="shared" si="49"/>
        <v>196278.31181434169</v>
      </c>
      <c r="M151" s="84">
        <f t="shared" si="49"/>
        <v>177805.15836173738</v>
      </c>
      <c r="N151" s="84">
        <f t="shared" si="49"/>
        <v>187213.01760105492</v>
      </c>
      <c r="O151" s="132">
        <f>SUM(C151:N151)</f>
        <v>2204418.6114986143</v>
      </c>
      <c r="P151" s="61">
        <f t="shared" si="43"/>
        <v>149</v>
      </c>
    </row>
    <row r="152" spans="1:21" x14ac:dyDescent="0.3">
      <c r="A152" s="11">
        <f t="shared" si="21"/>
        <v>150</v>
      </c>
      <c r="B152" s="127" t="s">
        <v>406</v>
      </c>
      <c r="C152" s="85">
        <f t="shared" ref="C152:N152" si="50">C110+C64+C37</f>
        <v>79964.893627043115</v>
      </c>
      <c r="D152" s="85">
        <f t="shared" si="50"/>
        <v>71408.365651846369</v>
      </c>
      <c r="E152" s="85">
        <f t="shared" si="50"/>
        <v>76962.287631747458</v>
      </c>
      <c r="F152" s="85">
        <f t="shared" si="50"/>
        <v>78765.415818956637</v>
      </c>
      <c r="G152" s="85">
        <f t="shared" si="50"/>
        <v>76831.133833360946</v>
      </c>
      <c r="H152" s="85">
        <f t="shared" si="50"/>
        <v>78304.745778901532</v>
      </c>
      <c r="I152" s="85">
        <f t="shared" si="50"/>
        <v>88378.517103130711</v>
      </c>
      <c r="J152" s="85">
        <f t="shared" si="50"/>
        <v>88788.466811814069</v>
      </c>
      <c r="K152" s="85">
        <f t="shared" si="50"/>
        <v>90010.031067346776</v>
      </c>
      <c r="L152" s="85">
        <f t="shared" si="50"/>
        <v>84369.943701230033</v>
      </c>
      <c r="M152" s="85">
        <f t="shared" si="50"/>
        <v>78853.047213939601</v>
      </c>
      <c r="N152" s="85">
        <f t="shared" si="50"/>
        <v>89254.28259240702</v>
      </c>
      <c r="O152" s="142">
        <f>SUM(C152:N152)</f>
        <v>981891.13083172427</v>
      </c>
      <c r="P152" s="61">
        <f t="shared" si="43"/>
        <v>150</v>
      </c>
    </row>
    <row r="153" spans="1:21" x14ac:dyDescent="0.3">
      <c r="A153" s="11">
        <f t="shared" si="21"/>
        <v>151</v>
      </c>
      <c r="C153" s="84">
        <f>SUM(C150:C152)</f>
        <v>718797.73145195213</v>
      </c>
      <c r="D153" s="84">
        <f t="shared" ref="D153:N153" si="51">SUM(D150:D152)</f>
        <v>680989.30974619067</v>
      </c>
      <c r="E153" s="84">
        <f t="shared" si="51"/>
        <v>682843.72333270148</v>
      </c>
      <c r="F153" s="84">
        <f t="shared" si="51"/>
        <v>686833.63435529429</v>
      </c>
      <c r="G153" s="84">
        <f t="shared" si="51"/>
        <v>693440.61241296213</v>
      </c>
      <c r="H153" s="84">
        <f t="shared" si="51"/>
        <v>723617.5465616656</v>
      </c>
      <c r="I153" s="84">
        <f t="shared" si="51"/>
        <v>806489.65684811748</v>
      </c>
      <c r="J153" s="84">
        <f t="shared" si="51"/>
        <v>833968.51835937158</v>
      </c>
      <c r="K153" s="84">
        <f t="shared" si="51"/>
        <v>867016.87316453236</v>
      </c>
      <c r="L153" s="84">
        <f t="shared" si="51"/>
        <v>796536.57447793288</v>
      </c>
      <c r="M153" s="84">
        <f t="shared" si="51"/>
        <v>728103.25338593114</v>
      </c>
      <c r="N153" s="84">
        <f t="shared" si="51"/>
        <v>763709.82081237086</v>
      </c>
      <c r="O153" s="132">
        <f>SUM(O150:O152)</f>
        <v>8982347.2549090236</v>
      </c>
      <c r="P153" s="61">
        <f t="shared" si="43"/>
        <v>151</v>
      </c>
    </row>
    <row r="154" spans="1:21" x14ac:dyDescent="0.3">
      <c r="A154" s="11">
        <f t="shared" si="21"/>
        <v>152</v>
      </c>
      <c r="B154" s="235" t="s">
        <v>416</v>
      </c>
      <c r="O154" s="127"/>
      <c r="P154" s="61">
        <f t="shared" si="43"/>
        <v>152</v>
      </c>
    </row>
    <row r="155" spans="1:21" x14ac:dyDescent="0.3">
      <c r="A155" s="11">
        <f t="shared" si="21"/>
        <v>153</v>
      </c>
      <c r="B155" s="127" t="s">
        <v>409</v>
      </c>
      <c r="C155" s="83">
        <f>C118+C72+C45</f>
        <v>1215.5937488527375</v>
      </c>
      <c r="D155" s="83">
        <f t="shared" ref="D155:M155" si="52">D118+D72+D45</f>
        <v>1164.3176860983756</v>
      </c>
      <c r="E155" s="83">
        <f t="shared" si="52"/>
        <v>1151.8874066802643</v>
      </c>
      <c r="F155" s="83">
        <f t="shared" si="52"/>
        <v>1154.6782807773366</v>
      </c>
      <c r="G155" s="83">
        <f t="shared" si="52"/>
        <v>1173.6217032752384</v>
      </c>
      <c r="H155" s="83">
        <f t="shared" si="52"/>
        <v>1225.495798894261</v>
      </c>
      <c r="I155" s="83">
        <f t="shared" si="52"/>
        <v>1362.6630665926359</v>
      </c>
      <c r="J155" s="83">
        <f t="shared" si="52"/>
        <v>1416.5771451782166</v>
      </c>
      <c r="K155" s="83">
        <f t="shared" si="52"/>
        <v>1479.3223689044994</v>
      </c>
      <c r="L155" s="83">
        <f t="shared" si="52"/>
        <v>1354.2422242857785</v>
      </c>
      <c r="M155" s="83">
        <f t="shared" si="52"/>
        <v>1237.5806598685176</v>
      </c>
      <c r="N155" s="83">
        <f>N118+N72+N45</f>
        <v>1279.0502795274745</v>
      </c>
      <c r="O155" s="137">
        <f>SUM(C155:N155)</f>
        <v>15215.030368935337</v>
      </c>
      <c r="P155" s="61">
        <f t="shared" si="43"/>
        <v>153</v>
      </c>
    </row>
    <row r="156" spans="1:21" x14ac:dyDescent="0.3">
      <c r="A156" s="11">
        <f t="shared" si="21"/>
        <v>154</v>
      </c>
      <c r="B156" s="127" t="s">
        <v>410</v>
      </c>
      <c r="C156" s="83">
        <f t="shared" ref="C156:N156" si="53">C119+C73+C46</f>
        <v>375.16891779660193</v>
      </c>
      <c r="D156" s="83">
        <f t="shared" si="53"/>
        <v>354.14613331999283</v>
      </c>
      <c r="E156" s="83">
        <f t="shared" si="53"/>
        <v>356.69858581186213</v>
      </c>
      <c r="F156" s="83">
        <f t="shared" si="53"/>
        <v>359.18384145253378</v>
      </c>
      <c r="G156" s="83">
        <f t="shared" si="53"/>
        <v>361.84134165240982</v>
      </c>
      <c r="H156" s="83">
        <f t="shared" si="53"/>
        <v>378.67588011197643</v>
      </c>
      <c r="I156" s="83">
        <f t="shared" si="53"/>
        <v>422.34652713845423</v>
      </c>
      <c r="J156" s="83">
        <f t="shared" si="53"/>
        <v>436.02436045764625</v>
      </c>
      <c r="K156" s="83">
        <f t="shared" si="53"/>
        <v>452.67398129523571</v>
      </c>
      <c r="L156" s="83">
        <f t="shared" si="53"/>
        <v>416.33511129918332</v>
      </c>
      <c r="M156" s="83">
        <f t="shared" si="53"/>
        <v>379.38963655173967</v>
      </c>
      <c r="N156" s="83">
        <f t="shared" si="53"/>
        <v>399.88237607741007</v>
      </c>
      <c r="O156" s="137">
        <f>SUM(C156:N156)</f>
        <v>4692.3666929650462</v>
      </c>
      <c r="P156" s="61">
        <f t="shared" si="43"/>
        <v>154</v>
      </c>
    </row>
    <row r="157" spans="1:21" x14ac:dyDescent="0.3">
      <c r="A157" s="11">
        <f t="shared" si="21"/>
        <v>155</v>
      </c>
      <c r="B157" s="127" t="s">
        <v>411</v>
      </c>
      <c r="C157" s="86">
        <f t="shared" ref="C157:N157" si="54">C120+C74+C47</f>
        <v>130.9711513098006</v>
      </c>
      <c r="D157" s="86">
        <f t="shared" si="54"/>
        <v>116.47544162851926</v>
      </c>
      <c r="E157" s="86">
        <f t="shared" si="54"/>
        <v>126.16364020335249</v>
      </c>
      <c r="F157" s="86">
        <f t="shared" si="54"/>
        <v>129.26729704051917</v>
      </c>
      <c r="G157" s="86">
        <f t="shared" si="54"/>
        <v>125.80388596850403</v>
      </c>
      <c r="H157" s="86">
        <f t="shared" si="54"/>
        <v>127.44872676522976</v>
      </c>
      <c r="I157" s="86">
        <f t="shared" si="54"/>
        <v>143.97979748762879</v>
      </c>
      <c r="J157" s="86">
        <f t="shared" si="54"/>
        <v>144.33407125110358</v>
      </c>
      <c r="K157" s="86">
        <f t="shared" si="54"/>
        <v>146.03483291567329</v>
      </c>
      <c r="L157" s="86">
        <f t="shared" si="54"/>
        <v>137.09757457296183</v>
      </c>
      <c r="M157" s="86">
        <f t="shared" si="54"/>
        <v>128.91255243229398</v>
      </c>
      <c r="N157" s="86">
        <f t="shared" si="54"/>
        <v>146.66083161486858</v>
      </c>
      <c r="O157" s="143">
        <f>SUM(C157:N157)</f>
        <v>1603.149803190455</v>
      </c>
      <c r="P157" s="61">
        <f t="shared" si="43"/>
        <v>155</v>
      </c>
      <c r="U157" s="125"/>
    </row>
    <row r="158" spans="1:21" x14ac:dyDescent="0.3">
      <c r="A158" s="11">
        <f t="shared" ref="A158:A215" si="55">A157+1</f>
        <v>156</v>
      </c>
      <c r="C158" s="83">
        <f>SUM(C155:C157)</f>
        <v>1721.73381795914</v>
      </c>
      <c r="D158" s="83">
        <f t="shared" ref="D158:N158" si="56">SUM(D155:D157)</f>
        <v>1634.9392610468879</v>
      </c>
      <c r="E158" s="83">
        <f t="shared" si="56"/>
        <v>1634.749632695479</v>
      </c>
      <c r="F158" s="83">
        <f t="shared" si="56"/>
        <v>1643.1294192703895</v>
      </c>
      <c r="G158" s="83">
        <f t="shared" si="56"/>
        <v>1661.2669308961524</v>
      </c>
      <c r="H158" s="83">
        <f t="shared" si="56"/>
        <v>1731.6204057714672</v>
      </c>
      <c r="I158" s="83">
        <f t="shared" si="56"/>
        <v>1928.989391218719</v>
      </c>
      <c r="J158" s="83">
        <f t="shared" si="56"/>
        <v>1996.9355768869664</v>
      </c>
      <c r="K158" s="83">
        <f t="shared" si="56"/>
        <v>2078.0311831154086</v>
      </c>
      <c r="L158" s="83">
        <f t="shared" si="56"/>
        <v>1907.6749101579237</v>
      </c>
      <c r="M158" s="83">
        <f t="shared" si="56"/>
        <v>1745.8828488525512</v>
      </c>
      <c r="N158" s="83">
        <f t="shared" si="56"/>
        <v>1825.5934872197531</v>
      </c>
      <c r="O158" s="137">
        <f>SUM(O155:O157)</f>
        <v>21510.546865090837</v>
      </c>
      <c r="P158" s="61">
        <f t="shared" si="43"/>
        <v>156</v>
      </c>
      <c r="U158" s="126"/>
    </row>
    <row r="159" spans="1:21" x14ac:dyDescent="0.3">
      <c r="A159" s="11">
        <f t="shared" si="55"/>
        <v>157</v>
      </c>
      <c r="B159" s="326"/>
      <c r="C159" s="327"/>
      <c r="D159" s="327"/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8"/>
      <c r="P159" s="61">
        <f t="shared" si="43"/>
        <v>157</v>
      </c>
      <c r="U159" s="233"/>
    </row>
    <row r="160" spans="1:21" x14ac:dyDescent="0.3">
      <c r="A160" s="11">
        <f t="shared" si="55"/>
        <v>158</v>
      </c>
      <c r="B160" s="329"/>
      <c r="C160" s="141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330"/>
      <c r="P160" s="61">
        <f t="shared" si="43"/>
        <v>158</v>
      </c>
      <c r="U160" s="233"/>
    </row>
    <row r="161" spans="1:23" x14ac:dyDescent="0.3">
      <c r="A161" s="11">
        <f t="shared" si="55"/>
        <v>159</v>
      </c>
      <c r="B161" s="372" t="s">
        <v>26</v>
      </c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144"/>
      <c r="P161" s="61">
        <f t="shared" si="43"/>
        <v>159</v>
      </c>
      <c r="U161" s="233"/>
    </row>
    <row r="162" spans="1:23" x14ac:dyDescent="0.3">
      <c r="A162" s="11">
        <f t="shared" si="55"/>
        <v>160</v>
      </c>
      <c r="B162" s="235" t="s">
        <v>399</v>
      </c>
      <c r="C162" s="84">
        <f>'[3]C. 2026 Forecast Sales'!B197</f>
        <v>216.72</v>
      </c>
      <c r="D162" s="84">
        <f>'[3]C. 2026 Forecast Sales'!C197</f>
        <v>453.59</v>
      </c>
      <c r="E162" s="84">
        <f>'[3]C. 2026 Forecast Sales'!D197</f>
        <v>352.39</v>
      </c>
      <c r="F162" s="84">
        <f>'[3]C. 2026 Forecast Sales'!E197</f>
        <v>1098.01</v>
      </c>
      <c r="G162" s="84">
        <f>'[3]C. 2026 Forecast Sales'!F197</f>
        <v>195.56</v>
      </c>
      <c r="H162" s="84">
        <f>'[3]C. 2026 Forecast Sales'!G197</f>
        <v>0</v>
      </c>
      <c r="I162" s="84">
        <f>'[3]C. 2026 Forecast Sales'!H197</f>
        <v>0</v>
      </c>
      <c r="J162" s="84">
        <f>'[3]C. 2026 Forecast Sales'!I197</f>
        <v>0</v>
      </c>
      <c r="K162" s="84">
        <f>'[3]C. 2026 Forecast Sales'!J197</f>
        <v>102.32</v>
      </c>
      <c r="L162" s="84">
        <f>'[3]C. 2026 Forecast Sales'!K197</f>
        <v>747.3</v>
      </c>
      <c r="M162" s="84">
        <f>'[3]C. 2026 Forecast Sales'!L197</f>
        <v>703.62</v>
      </c>
      <c r="N162" s="84">
        <f>'[3]C. 2026 Forecast Sales'!M197</f>
        <v>339.3</v>
      </c>
      <c r="O162" s="132">
        <f>SUM(C162:N162)</f>
        <v>4208.8100000000004</v>
      </c>
      <c r="P162" s="61">
        <f t="shared" si="43"/>
        <v>160</v>
      </c>
      <c r="U162" s="233"/>
    </row>
    <row r="163" spans="1:23" x14ac:dyDescent="0.3">
      <c r="A163" s="11">
        <f t="shared" si="55"/>
        <v>161</v>
      </c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137"/>
      <c r="P163" s="61">
        <f t="shared" si="43"/>
        <v>161</v>
      </c>
      <c r="U163" s="233"/>
    </row>
    <row r="164" spans="1:23" x14ac:dyDescent="0.3">
      <c r="A164" s="11">
        <f t="shared" si="55"/>
        <v>162</v>
      </c>
      <c r="B164" s="235" t="s">
        <v>416</v>
      </c>
      <c r="C164" s="83">
        <f>'[3]C. 2026 Forecast Sales'!B199</f>
        <v>11.9</v>
      </c>
      <c r="D164" s="83">
        <f>'[3]C. 2026 Forecast Sales'!C199</f>
        <v>16</v>
      </c>
      <c r="E164" s="83">
        <f>'[3]C. 2026 Forecast Sales'!D199</f>
        <v>15.7</v>
      </c>
      <c r="F164" s="83">
        <f>'[3]C. 2026 Forecast Sales'!E199</f>
        <v>15.8</v>
      </c>
      <c r="G164" s="83">
        <f>'[3]C. 2026 Forecast Sales'!F199</f>
        <v>8.6999999999999993</v>
      </c>
      <c r="H164" s="83">
        <f>'[3]C. 2026 Forecast Sales'!G199</f>
        <v>8.8000000000000007</v>
      </c>
      <c r="I164" s="83">
        <f>'[3]C. 2026 Forecast Sales'!H199</f>
        <v>9.9</v>
      </c>
      <c r="J164" s="83">
        <f>'[3]C. 2026 Forecast Sales'!I199</f>
        <v>8</v>
      </c>
      <c r="K164" s="83">
        <f>'[3]C. 2026 Forecast Sales'!J199</f>
        <v>8</v>
      </c>
      <c r="L164" s="83">
        <f>'[3]C. 2026 Forecast Sales'!K199</f>
        <v>16.899999999999999</v>
      </c>
      <c r="M164" s="83">
        <f>'[3]C. 2026 Forecast Sales'!L199</f>
        <v>16.600000000000001</v>
      </c>
      <c r="N164" s="83">
        <f>'[3]C. 2026 Forecast Sales'!M199</f>
        <v>9.8000000000000007</v>
      </c>
      <c r="O164" s="137">
        <f t="shared" ref="O164:O166" si="57">SUM(C164:N164)</f>
        <v>146.1</v>
      </c>
      <c r="P164" s="61">
        <f t="shared" si="43"/>
        <v>162</v>
      </c>
      <c r="U164" s="233"/>
    </row>
    <row r="165" spans="1:23" x14ac:dyDescent="0.3">
      <c r="A165" s="11">
        <f t="shared" si="55"/>
        <v>163</v>
      </c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137"/>
      <c r="P165" s="61">
        <f t="shared" si="43"/>
        <v>163</v>
      </c>
      <c r="U165" s="233"/>
    </row>
    <row r="166" spans="1:23" ht="21.75" x14ac:dyDescent="0.3">
      <c r="A166" s="11">
        <f t="shared" si="55"/>
        <v>164</v>
      </c>
      <c r="B166" s="235" t="s">
        <v>423</v>
      </c>
      <c r="C166" s="83">
        <f>'[3]C. 2026 Forecast Sales'!B201</f>
        <v>0</v>
      </c>
      <c r="D166" s="83">
        <f>'[3]C. 2026 Forecast Sales'!C201</f>
        <v>0</v>
      </c>
      <c r="E166" s="83">
        <f>'[3]C. 2026 Forecast Sales'!D201</f>
        <v>0</v>
      </c>
      <c r="F166" s="83">
        <f>'[3]C. 2026 Forecast Sales'!E201</f>
        <v>0</v>
      </c>
      <c r="G166" s="83">
        <f>'[3]C. 2026 Forecast Sales'!F201</f>
        <v>0</v>
      </c>
      <c r="H166" s="83">
        <f>'[3]C. 2026 Forecast Sales'!G201</f>
        <v>0</v>
      </c>
      <c r="I166" s="83">
        <f>'[3]C. 2026 Forecast Sales'!H201</f>
        <v>0</v>
      </c>
      <c r="J166" s="83">
        <f>'[3]C. 2026 Forecast Sales'!I201</f>
        <v>0</v>
      </c>
      <c r="K166" s="83">
        <f>'[3]C. 2026 Forecast Sales'!J201</f>
        <v>0</v>
      </c>
      <c r="L166" s="83">
        <f>'[3]C. 2026 Forecast Sales'!K201</f>
        <v>0</v>
      </c>
      <c r="M166" s="83">
        <f>'[3]C. 2026 Forecast Sales'!L201</f>
        <v>7.58</v>
      </c>
      <c r="N166" s="83">
        <f>'[3]C. 2026 Forecast Sales'!M201</f>
        <v>0</v>
      </c>
      <c r="O166" s="137">
        <f t="shared" si="57"/>
        <v>7.58</v>
      </c>
      <c r="P166" s="61">
        <f t="shared" si="43"/>
        <v>164</v>
      </c>
      <c r="U166" s="233"/>
    </row>
    <row r="167" spans="1:23" x14ac:dyDescent="0.3">
      <c r="A167" s="11">
        <f t="shared" si="55"/>
        <v>165</v>
      </c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140"/>
      <c r="P167" s="61">
        <f t="shared" si="43"/>
        <v>165</v>
      </c>
      <c r="U167" s="233"/>
    </row>
    <row r="168" spans="1:23" x14ac:dyDescent="0.3">
      <c r="A168" s="11">
        <f t="shared" si="55"/>
        <v>166</v>
      </c>
      <c r="B168" s="326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8"/>
      <c r="P168" s="61">
        <f t="shared" si="43"/>
        <v>166</v>
      </c>
      <c r="U168" s="233"/>
    </row>
    <row r="169" spans="1:23" x14ac:dyDescent="0.3">
      <c r="A169" s="11">
        <f t="shared" si="55"/>
        <v>167</v>
      </c>
      <c r="B169" s="329"/>
      <c r="C169" s="141"/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330"/>
      <c r="P169" s="61">
        <f t="shared" si="43"/>
        <v>167</v>
      </c>
      <c r="U169" s="233"/>
    </row>
    <row r="170" spans="1:23" x14ac:dyDescent="0.3">
      <c r="A170" s="11">
        <f t="shared" si="55"/>
        <v>168</v>
      </c>
      <c r="B170" s="240" t="s">
        <v>428</v>
      </c>
      <c r="C170" s="88">
        <f>C145</f>
        <v>46023</v>
      </c>
      <c r="D170" s="88">
        <f>D145</f>
        <v>46054</v>
      </c>
      <c r="E170" s="88">
        <f t="shared" ref="E170:N170" si="58">E145</f>
        <v>46082</v>
      </c>
      <c r="F170" s="88">
        <f t="shared" si="58"/>
        <v>46113</v>
      </c>
      <c r="G170" s="88">
        <f t="shared" si="58"/>
        <v>46143</v>
      </c>
      <c r="H170" s="88">
        <f t="shared" si="58"/>
        <v>46174</v>
      </c>
      <c r="I170" s="88">
        <f t="shared" si="58"/>
        <v>46204</v>
      </c>
      <c r="J170" s="88">
        <f t="shared" si="58"/>
        <v>46235</v>
      </c>
      <c r="K170" s="88">
        <f t="shared" si="58"/>
        <v>46266</v>
      </c>
      <c r="L170" s="88">
        <f t="shared" si="58"/>
        <v>46296</v>
      </c>
      <c r="M170" s="88">
        <f t="shared" si="58"/>
        <v>46327</v>
      </c>
      <c r="N170" s="88">
        <f t="shared" si="58"/>
        <v>46357</v>
      </c>
      <c r="O170" s="169" t="s">
        <v>61</v>
      </c>
      <c r="P170" s="61">
        <f t="shared" si="43"/>
        <v>168</v>
      </c>
      <c r="U170" s="233"/>
    </row>
    <row r="171" spans="1:23" x14ac:dyDescent="0.3">
      <c r="A171" s="11">
        <f t="shared" si="55"/>
        <v>169</v>
      </c>
      <c r="B171" s="241" t="s">
        <v>399</v>
      </c>
      <c r="C171" s="170">
        <f>C15</f>
        <v>16096.194488099385</v>
      </c>
      <c r="D171" s="170">
        <f t="shared" ref="D171:N171" si="59">D15</f>
        <v>16324.789675258995</v>
      </c>
      <c r="E171" s="170">
        <f t="shared" si="59"/>
        <v>15210.058425003275</v>
      </c>
      <c r="F171" s="170">
        <f t="shared" si="59"/>
        <v>15790.788262185775</v>
      </c>
      <c r="G171" s="170">
        <f t="shared" si="59"/>
        <v>18980.076654593213</v>
      </c>
      <c r="H171" s="170">
        <f t="shared" si="59"/>
        <v>19791.045536760012</v>
      </c>
      <c r="I171" s="170">
        <f t="shared" si="59"/>
        <v>21824.505864378167</v>
      </c>
      <c r="J171" s="170">
        <f t="shared" si="59"/>
        <v>21947.825423344755</v>
      </c>
      <c r="K171" s="170">
        <f t="shared" si="59"/>
        <v>21857.831109899176</v>
      </c>
      <c r="L171" s="170">
        <f t="shared" si="59"/>
        <v>21118.8242638708</v>
      </c>
      <c r="M171" s="170">
        <f t="shared" si="59"/>
        <v>19755.426797113778</v>
      </c>
      <c r="N171" s="170">
        <f t="shared" si="59"/>
        <v>18182.7154746778</v>
      </c>
      <c r="O171" s="171">
        <f>SUM(C171:N171)</f>
        <v>226880.08197518514</v>
      </c>
      <c r="P171" s="61">
        <f t="shared" si="43"/>
        <v>169</v>
      </c>
      <c r="U171" s="233"/>
    </row>
    <row r="172" spans="1:23" x14ac:dyDescent="0.3">
      <c r="A172" s="11">
        <f t="shared" si="55"/>
        <v>170</v>
      </c>
      <c r="B172" s="242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137"/>
      <c r="P172" s="61">
        <f t="shared" si="43"/>
        <v>170</v>
      </c>
      <c r="U172" s="233"/>
      <c r="W172" s="84"/>
    </row>
    <row r="173" spans="1:23" x14ac:dyDescent="0.3">
      <c r="A173" s="11">
        <f t="shared" si="55"/>
        <v>171</v>
      </c>
      <c r="B173" s="241" t="s">
        <v>400</v>
      </c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137"/>
      <c r="P173" s="61">
        <f t="shared" si="43"/>
        <v>171</v>
      </c>
      <c r="U173" s="233"/>
    </row>
    <row r="174" spans="1:23" x14ac:dyDescent="0.3">
      <c r="A174" s="11">
        <f t="shared" si="55"/>
        <v>172</v>
      </c>
      <c r="B174" s="243" t="s">
        <v>401</v>
      </c>
      <c r="C174" s="390">
        <f>'[3]C. 2026 Forecast Sales'!B166</f>
        <v>0.62502335247653096</v>
      </c>
      <c r="D174" s="390">
        <f>'[3]C. 2026 Forecast Sales'!C166</f>
        <v>0.62502335247653096</v>
      </c>
      <c r="E174" s="390">
        <f>'[3]C. 2026 Forecast Sales'!D166</f>
        <v>0.62502335247653096</v>
      </c>
      <c r="F174" s="390">
        <f>'[3]C. 2026 Forecast Sales'!E166</f>
        <v>0.62502335247653096</v>
      </c>
      <c r="G174" s="390">
        <f>'[3]C. 2026 Forecast Sales'!F166</f>
        <v>0.62502335247653096</v>
      </c>
      <c r="H174" s="390">
        <f>'[3]C. 2026 Forecast Sales'!G166</f>
        <v>0.66913004742416604</v>
      </c>
      <c r="I174" s="390">
        <f>'[3]C. 2026 Forecast Sales'!H166</f>
        <v>0.66913004742416604</v>
      </c>
      <c r="J174" s="390">
        <f>'[3]C. 2026 Forecast Sales'!I166</f>
        <v>0.66913004742416604</v>
      </c>
      <c r="K174" s="390">
        <f>'[3]C. 2026 Forecast Sales'!J166</f>
        <v>0.66913004742416604</v>
      </c>
      <c r="L174" s="390">
        <f>'[3]C. 2026 Forecast Sales'!K166</f>
        <v>0.66913004742416604</v>
      </c>
      <c r="M174" s="390">
        <f>'[3]C. 2026 Forecast Sales'!L166</f>
        <v>0.62502335247653096</v>
      </c>
      <c r="N174" s="390">
        <f>'[3]C. 2026 Forecast Sales'!M166</f>
        <v>0.62502335247653096</v>
      </c>
      <c r="O174" s="161">
        <f>O179/O171</f>
        <v>0.64573530153336156</v>
      </c>
      <c r="P174" s="61">
        <f t="shared" si="43"/>
        <v>172</v>
      </c>
      <c r="U174" s="233"/>
    </row>
    <row r="175" spans="1:23" x14ac:dyDescent="0.3">
      <c r="A175" s="11">
        <f t="shared" si="55"/>
        <v>173</v>
      </c>
      <c r="B175" s="243" t="s">
        <v>402</v>
      </c>
      <c r="C175" s="390">
        <f>'[3]C. 2026 Forecast Sales'!B167</f>
        <v>0.37497664752346799</v>
      </c>
      <c r="D175" s="390">
        <f>'[3]C. 2026 Forecast Sales'!C167</f>
        <v>0.37497664752346799</v>
      </c>
      <c r="E175" s="390">
        <f>'[3]C. 2026 Forecast Sales'!D167</f>
        <v>0.37497664752346799</v>
      </c>
      <c r="F175" s="390">
        <f>'[3]C. 2026 Forecast Sales'!E167</f>
        <v>0.37497664752346799</v>
      </c>
      <c r="G175" s="390">
        <f>'[3]C. 2026 Forecast Sales'!F167</f>
        <v>0.37497664752346799</v>
      </c>
      <c r="H175" s="390">
        <f>'[3]C. 2026 Forecast Sales'!G167</f>
        <v>0.33086995257583302</v>
      </c>
      <c r="I175" s="390">
        <f>'[3]C. 2026 Forecast Sales'!H167</f>
        <v>0.33086995257583302</v>
      </c>
      <c r="J175" s="390">
        <f>'[3]C. 2026 Forecast Sales'!I167</f>
        <v>0.33086995257583302</v>
      </c>
      <c r="K175" s="390">
        <f>'[3]C. 2026 Forecast Sales'!J167</f>
        <v>0.33086995257583302</v>
      </c>
      <c r="L175" s="390">
        <f>'[3]C. 2026 Forecast Sales'!K167</f>
        <v>0.33086995257583302</v>
      </c>
      <c r="M175" s="390">
        <f>'[3]C. 2026 Forecast Sales'!L167</f>
        <v>0.37497664752346799</v>
      </c>
      <c r="N175" s="390">
        <f>'[3]C. 2026 Forecast Sales'!M167</f>
        <v>0.37497664752346799</v>
      </c>
      <c r="O175" s="161">
        <f>O180/O171</f>
        <v>0.35426469846663755</v>
      </c>
      <c r="P175" s="61">
        <f t="shared" si="43"/>
        <v>173</v>
      </c>
      <c r="U175" s="233"/>
    </row>
    <row r="176" spans="1:23" x14ac:dyDescent="0.3">
      <c r="A176" s="11">
        <f t="shared" si="55"/>
        <v>174</v>
      </c>
      <c r="B176" s="243" t="s">
        <v>403</v>
      </c>
      <c r="C176" s="390">
        <f>'[3]C. 2026 Forecast Sales'!B168</f>
        <v>0</v>
      </c>
      <c r="D176" s="390">
        <f>'[3]C. 2026 Forecast Sales'!C168</f>
        <v>0</v>
      </c>
      <c r="E176" s="390">
        <f>'[3]C. 2026 Forecast Sales'!D168</f>
        <v>0</v>
      </c>
      <c r="F176" s="390">
        <f>'[3]C. 2026 Forecast Sales'!E168</f>
        <v>0</v>
      </c>
      <c r="G176" s="390">
        <f>'[3]C. 2026 Forecast Sales'!F168</f>
        <v>0</v>
      </c>
      <c r="H176" s="390">
        <f>'[3]C. 2026 Forecast Sales'!G168</f>
        <v>0</v>
      </c>
      <c r="I176" s="390">
        <f>'[3]C. 2026 Forecast Sales'!H168</f>
        <v>0</v>
      </c>
      <c r="J176" s="390">
        <f>'[3]C. 2026 Forecast Sales'!I168</f>
        <v>0</v>
      </c>
      <c r="K176" s="390">
        <f>'[3]C. 2026 Forecast Sales'!J168</f>
        <v>0</v>
      </c>
      <c r="L176" s="390">
        <f>'[3]C. 2026 Forecast Sales'!K168</f>
        <v>0</v>
      </c>
      <c r="M176" s="390">
        <f>'[3]C. 2026 Forecast Sales'!L168</f>
        <v>0</v>
      </c>
      <c r="N176" s="390">
        <f>'[3]C. 2026 Forecast Sales'!M168</f>
        <v>0</v>
      </c>
      <c r="O176" s="162">
        <f>O181/O171</f>
        <v>0</v>
      </c>
      <c r="P176" s="61">
        <f t="shared" si="43"/>
        <v>174</v>
      </c>
      <c r="U176" s="233"/>
    </row>
    <row r="177" spans="1:21" x14ac:dyDescent="0.3">
      <c r="A177" s="11">
        <f t="shared" si="55"/>
        <v>175</v>
      </c>
      <c r="B177" s="242"/>
      <c r="C177" s="160">
        <f>SUM(C174:C176)</f>
        <v>0.99999999999999889</v>
      </c>
      <c r="D177" s="160">
        <f>SUM(D174:D176)</f>
        <v>0.99999999999999889</v>
      </c>
      <c r="E177" s="160">
        <f t="shared" ref="E177:N177" si="60">SUM(E174:E176)</f>
        <v>0.99999999999999889</v>
      </c>
      <c r="F177" s="160">
        <f t="shared" si="60"/>
        <v>0.99999999999999889</v>
      </c>
      <c r="G177" s="160">
        <f t="shared" si="60"/>
        <v>0.99999999999999889</v>
      </c>
      <c r="H177" s="160">
        <f t="shared" si="60"/>
        <v>0.99999999999999911</v>
      </c>
      <c r="I177" s="160">
        <f t="shared" si="60"/>
        <v>0.99999999999999911</v>
      </c>
      <c r="J177" s="160">
        <f t="shared" si="60"/>
        <v>0.99999999999999911</v>
      </c>
      <c r="K177" s="160">
        <f t="shared" si="60"/>
        <v>0.99999999999999911</v>
      </c>
      <c r="L177" s="160">
        <f t="shared" si="60"/>
        <v>0.99999999999999911</v>
      </c>
      <c r="M177" s="160">
        <f t="shared" si="60"/>
        <v>0.99999999999999889</v>
      </c>
      <c r="N177" s="160">
        <f t="shared" si="60"/>
        <v>0.99999999999999889</v>
      </c>
      <c r="O177" s="161">
        <f>SUM(O174:O176)</f>
        <v>0.99999999999999911</v>
      </c>
      <c r="P177" s="61">
        <f t="shared" si="43"/>
        <v>175</v>
      </c>
      <c r="U177" s="233"/>
    </row>
    <row r="178" spans="1:21" x14ac:dyDescent="0.3">
      <c r="A178" s="11">
        <f t="shared" si="55"/>
        <v>176</v>
      </c>
      <c r="B178" s="241" t="s">
        <v>399</v>
      </c>
      <c r="C178" s="319"/>
      <c r="D178" s="319"/>
      <c r="E178" s="319"/>
      <c r="F178" s="319"/>
      <c r="G178" s="319"/>
      <c r="H178" s="319"/>
      <c r="I178" s="319"/>
      <c r="J178" s="319"/>
      <c r="K178" s="319"/>
      <c r="L178" s="319"/>
      <c r="M178" s="319"/>
      <c r="N178" s="319"/>
      <c r="O178" s="172"/>
      <c r="P178" s="61">
        <f t="shared" si="43"/>
        <v>176</v>
      </c>
      <c r="U178" s="233"/>
    </row>
    <row r="179" spans="1:21" x14ac:dyDescent="0.3">
      <c r="A179" s="11">
        <f t="shared" si="55"/>
        <v>177</v>
      </c>
      <c r="B179" s="242" t="s">
        <v>404</v>
      </c>
      <c r="C179" s="174">
        <f>C$171*C174</f>
        <v>10060.497441066136</v>
      </c>
      <c r="D179" s="174">
        <f t="shared" ref="D179:N179" si="61">D$171*D174</f>
        <v>10203.374771304636</v>
      </c>
      <c r="E179" s="174">
        <f t="shared" si="61"/>
        <v>9506.6417081594518</v>
      </c>
      <c r="F179" s="174">
        <f t="shared" si="61"/>
        <v>9869.6114178784082</v>
      </c>
      <c r="G179" s="174">
        <f t="shared" si="61"/>
        <v>11862.99114091539</v>
      </c>
      <c r="H179" s="174">
        <f t="shared" si="61"/>
        <v>13242.783238586057</v>
      </c>
      <c r="I179" s="174">
        <f t="shared" si="61"/>
        <v>14603.432644040353</v>
      </c>
      <c r="J179" s="174">
        <f t="shared" si="61"/>
        <v>14685.949466379992</v>
      </c>
      <c r="K179" s="174">
        <f t="shared" si="61"/>
        <v>14625.731567156248</v>
      </c>
      <c r="L179" s="174">
        <f t="shared" si="61"/>
        <v>14131.239881226496</v>
      </c>
      <c r="M179" s="174">
        <f t="shared" si="61"/>
        <v>12347.60308633675</v>
      </c>
      <c r="N179" s="174">
        <f t="shared" si="61"/>
        <v>11364.621783110017</v>
      </c>
      <c r="O179" s="171">
        <f>SUM(C179:N179)</f>
        <v>146504.47814615996</v>
      </c>
      <c r="P179" s="61">
        <f t="shared" si="43"/>
        <v>177</v>
      </c>
      <c r="U179" s="233"/>
    </row>
    <row r="180" spans="1:21" x14ac:dyDescent="0.3">
      <c r="A180" s="11">
        <f t="shared" si="55"/>
        <v>178</v>
      </c>
      <c r="B180" s="242" t="s">
        <v>405</v>
      </c>
      <c r="C180" s="174">
        <f t="shared" ref="C180:N181" si="62">C$171*C175</f>
        <v>6035.6970470332317</v>
      </c>
      <c r="D180" s="174">
        <f t="shared" si="62"/>
        <v>6121.4149039543418</v>
      </c>
      <c r="E180" s="174">
        <f t="shared" si="62"/>
        <v>5703.416716843808</v>
      </c>
      <c r="F180" s="174">
        <f t="shared" si="62"/>
        <v>5921.1768443073506</v>
      </c>
      <c r="G180" s="174">
        <f t="shared" si="62"/>
        <v>7117.0855136778027</v>
      </c>
      <c r="H180" s="174">
        <f t="shared" si="62"/>
        <v>6548.2622981739369</v>
      </c>
      <c r="I180" s="174">
        <f t="shared" si="62"/>
        <v>7221.0732203377938</v>
      </c>
      <c r="J180" s="174">
        <f t="shared" si="62"/>
        <v>7261.8759569647409</v>
      </c>
      <c r="K180" s="174">
        <f t="shared" si="62"/>
        <v>7232.0995427429079</v>
      </c>
      <c r="L180" s="174">
        <f t="shared" si="62"/>
        <v>6987.5843826442833</v>
      </c>
      <c r="M180" s="174">
        <f t="shared" si="62"/>
        <v>7407.8237107770074</v>
      </c>
      <c r="N180" s="174">
        <f t="shared" si="62"/>
        <v>6818.0936915677639</v>
      </c>
      <c r="O180" s="171">
        <f>SUM(C180:N180)</f>
        <v>80375.603829024971</v>
      </c>
      <c r="P180" s="61">
        <f t="shared" si="43"/>
        <v>178</v>
      </c>
      <c r="U180" s="233"/>
    </row>
    <row r="181" spans="1:21" x14ac:dyDescent="0.3">
      <c r="A181" s="11">
        <f t="shared" si="55"/>
        <v>179</v>
      </c>
      <c r="B181" s="242" t="s">
        <v>406</v>
      </c>
      <c r="C181" s="174">
        <f t="shared" si="62"/>
        <v>0</v>
      </c>
      <c r="D181" s="174">
        <f t="shared" si="62"/>
        <v>0</v>
      </c>
      <c r="E181" s="174">
        <f t="shared" si="62"/>
        <v>0</v>
      </c>
      <c r="F181" s="174">
        <f t="shared" si="62"/>
        <v>0</v>
      </c>
      <c r="G181" s="174">
        <f t="shared" si="62"/>
        <v>0</v>
      </c>
      <c r="H181" s="174">
        <f t="shared" si="62"/>
        <v>0</v>
      </c>
      <c r="I181" s="174">
        <f t="shared" si="62"/>
        <v>0</v>
      </c>
      <c r="J181" s="174">
        <f t="shared" si="62"/>
        <v>0</v>
      </c>
      <c r="K181" s="174">
        <f t="shared" si="62"/>
        <v>0</v>
      </c>
      <c r="L181" s="174">
        <f t="shared" si="62"/>
        <v>0</v>
      </c>
      <c r="M181" s="174">
        <f t="shared" si="62"/>
        <v>0</v>
      </c>
      <c r="N181" s="174">
        <f t="shared" si="62"/>
        <v>0</v>
      </c>
      <c r="O181" s="173">
        <f>SUM(C181:N181)</f>
        <v>0</v>
      </c>
      <c r="P181" s="61">
        <f t="shared" si="43"/>
        <v>179</v>
      </c>
      <c r="U181" s="233"/>
    </row>
    <row r="182" spans="1:21" x14ac:dyDescent="0.3">
      <c r="A182" s="11">
        <f t="shared" si="55"/>
        <v>180</v>
      </c>
      <c r="B182" s="242"/>
      <c r="C182" s="174">
        <f>SUM(C179:C181)</f>
        <v>16096.194488099369</v>
      </c>
      <c r="D182" s="174">
        <f>SUM(D179:D181)</f>
        <v>16324.789675258977</v>
      </c>
      <c r="E182" s="174">
        <f t="shared" ref="E182:N182" si="63">SUM(E179:E181)</f>
        <v>15210.058425003259</v>
      </c>
      <c r="F182" s="174">
        <f t="shared" si="63"/>
        <v>15790.788262185759</v>
      </c>
      <c r="G182" s="174">
        <f t="shared" si="63"/>
        <v>18980.076654593191</v>
      </c>
      <c r="H182" s="174">
        <f t="shared" si="63"/>
        <v>19791.045536759993</v>
      </c>
      <c r="I182" s="174">
        <f t="shared" si="63"/>
        <v>21824.505864378145</v>
      </c>
      <c r="J182" s="174">
        <f t="shared" si="63"/>
        <v>21947.825423344733</v>
      </c>
      <c r="K182" s="174">
        <f t="shared" si="63"/>
        <v>21857.831109899154</v>
      </c>
      <c r="L182" s="174">
        <f t="shared" si="63"/>
        <v>21118.824263870782</v>
      </c>
      <c r="M182" s="174">
        <f t="shared" si="63"/>
        <v>19755.42679711376</v>
      </c>
      <c r="N182" s="174">
        <f t="shared" si="63"/>
        <v>18182.715474677781</v>
      </c>
      <c r="O182" s="175">
        <f>SUM(O179:O181)</f>
        <v>226880.08197518493</v>
      </c>
      <c r="P182" s="61">
        <f t="shared" si="43"/>
        <v>180</v>
      </c>
      <c r="U182" s="233"/>
    </row>
    <row r="183" spans="1:21" x14ac:dyDescent="0.3">
      <c r="A183" s="11">
        <f t="shared" si="55"/>
        <v>181</v>
      </c>
      <c r="B183" s="241" t="s">
        <v>415</v>
      </c>
      <c r="C183" s="319"/>
      <c r="D183" s="319"/>
      <c r="E183" s="319"/>
      <c r="F183" s="319"/>
      <c r="G183" s="319"/>
      <c r="H183" s="319"/>
      <c r="I183" s="319"/>
      <c r="J183" s="319"/>
      <c r="K183" s="319"/>
      <c r="L183" s="319"/>
      <c r="M183" s="319"/>
      <c r="N183" s="319"/>
      <c r="O183" s="178"/>
      <c r="P183" s="61">
        <f t="shared" si="43"/>
        <v>181</v>
      </c>
      <c r="U183" s="233"/>
    </row>
    <row r="184" spans="1:21" x14ac:dyDescent="0.3">
      <c r="A184" s="11">
        <f t="shared" si="55"/>
        <v>182</v>
      </c>
      <c r="B184" s="243" t="s">
        <v>401</v>
      </c>
      <c r="C184" s="384">
        <f>'[3]C. 2026 Forecast Sales'!B176</f>
        <v>3.8120345933276198E-3</v>
      </c>
      <c r="D184" s="384">
        <f>'[3]C. 2026 Forecast Sales'!C176</f>
        <v>3.8120345933276198E-3</v>
      </c>
      <c r="E184" s="384">
        <f>'[3]C. 2026 Forecast Sales'!D176</f>
        <v>3.8120345933276198E-3</v>
      </c>
      <c r="F184" s="384">
        <f>'[3]C. 2026 Forecast Sales'!E176</f>
        <v>3.8120345933276198E-3</v>
      </c>
      <c r="G184" s="384">
        <f>'[3]C. 2026 Forecast Sales'!F176</f>
        <v>3.8120345933276198E-3</v>
      </c>
      <c r="H184" s="384">
        <f>'[3]C. 2026 Forecast Sales'!G176</f>
        <v>3.7945351156279802E-3</v>
      </c>
      <c r="I184" s="384">
        <f>'[3]C. 2026 Forecast Sales'!H176</f>
        <v>3.7945351156279802E-3</v>
      </c>
      <c r="J184" s="384">
        <f>'[3]C. 2026 Forecast Sales'!I176</f>
        <v>3.7945351156279802E-3</v>
      </c>
      <c r="K184" s="384">
        <f>'[3]C. 2026 Forecast Sales'!J176</f>
        <v>3.7945351156279802E-3</v>
      </c>
      <c r="L184" s="384">
        <f>'[3]C. 2026 Forecast Sales'!K176</f>
        <v>3.7945351156279802E-3</v>
      </c>
      <c r="M184" s="384">
        <f>'[3]C. 2026 Forecast Sales'!L176</f>
        <v>3.8120345933276198E-3</v>
      </c>
      <c r="N184" s="384">
        <f>'[3]C. 2026 Forecast Sales'!M176</f>
        <v>3.8120345933276198E-3</v>
      </c>
      <c r="O184" s="163">
        <f>IFERROR(O189/O179,0)</f>
        <v>3.8035193405831407E-3</v>
      </c>
      <c r="P184" s="61">
        <f t="shared" si="43"/>
        <v>182</v>
      </c>
      <c r="U184" s="233"/>
    </row>
    <row r="185" spans="1:21" x14ac:dyDescent="0.3">
      <c r="A185" s="11">
        <f t="shared" si="55"/>
        <v>183</v>
      </c>
      <c r="B185" s="243" t="s">
        <v>402</v>
      </c>
      <c r="C185" s="384">
        <f>'[3]C. 2026 Forecast Sales'!B177</f>
        <v>2.65335463340999E-3</v>
      </c>
      <c r="D185" s="384">
        <f>'[3]C. 2026 Forecast Sales'!C177</f>
        <v>2.65335463340999E-3</v>
      </c>
      <c r="E185" s="384">
        <f>'[3]C. 2026 Forecast Sales'!D177</f>
        <v>2.65335463340999E-3</v>
      </c>
      <c r="F185" s="384">
        <f>'[3]C. 2026 Forecast Sales'!E177</f>
        <v>2.65335463340999E-3</v>
      </c>
      <c r="G185" s="384">
        <f>'[3]C. 2026 Forecast Sales'!F177</f>
        <v>2.65335463340999E-3</v>
      </c>
      <c r="H185" s="384">
        <f>'[3]C. 2026 Forecast Sales'!G177</f>
        <v>2.6406123183774499E-3</v>
      </c>
      <c r="I185" s="384">
        <f>'[3]C. 2026 Forecast Sales'!H177</f>
        <v>2.6406123183774499E-3</v>
      </c>
      <c r="J185" s="384">
        <f>'[3]C. 2026 Forecast Sales'!I177</f>
        <v>2.6406123183774499E-3</v>
      </c>
      <c r="K185" s="384">
        <f>'[3]C. 2026 Forecast Sales'!J177</f>
        <v>2.6406123183774499E-3</v>
      </c>
      <c r="L185" s="384">
        <f>'[3]C. 2026 Forecast Sales'!K177</f>
        <v>2.6406123183774499E-3</v>
      </c>
      <c r="M185" s="384">
        <f>'[3]C. 2026 Forecast Sales'!L177</f>
        <v>2.65335463340999E-3</v>
      </c>
      <c r="N185" s="384">
        <f>'[3]C. 2026 Forecast Sales'!M177</f>
        <v>2.65335463340999E-3</v>
      </c>
      <c r="O185" s="163">
        <f t="shared" ref="O185:O186" si="64">IFERROR(O190/O180,0)</f>
        <v>2.6477661464440645E-3</v>
      </c>
      <c r="P185" s="61">
        <f t="shared" si="43"/>
        <v>183</v>
      </c>
      <c r="U185" s="233"/>
    </row>
    <row r="186" spans="1:21" x14ac:dyDescent="0.3">
      <c r="A186" s="11">
        <f t="shared" si="55"/>
        <v>184</v>
      </c>
      <c r="B186" s="243" t="s">
        <v>403</v>
      </c>
      <c r="C186" s="384">
        <f>'[3]C. 2026 Forecast Sales'!B178</f>
        <v>0</v>
      </c>
      <c r="D186" s="384">
        <f>'[3]C. 2026 Forecast Sales'!C178</f>
        <v>0</v>
      </c>
      <c r="E186" s="384">
        <f>'[3]C. 2026 Forecast Sales'!D178</f>
        <v>0</v>
      </c>
      <c r="F186" s="384">
        <f>'[3]C. 2026 Forecast Sales'!E178</f>
        <v>0</v>
      </c>
      <c r="G186" s="384">
        <f>'[3]C. 2026 Forecast Sales'!F178</f>
        <v>0</v>
      </c>
      <c r="H186" s="384">
        <f>'[3]C. 2026 Forecast Sales'!G178</f>
        <v>0</v>
      </c>
      <c r="I186" s="384">
        <f>'[3]C. 2026 Forecast Sales'!H178</f>
        <v>0</v>
      </c>
      <c r="J186" s="384">
        <f>'[3]C. 2026 Forecast Sales'!I178</f>
        <v>0</v>
      </c>
      <c r="K186" s="384">
        <f>'[3]C. 2026 Forecast Sales'!J178</f>
        <v>0</v>
      </c>
      <c r="L186" s="384">
        <f>'[3]C. 2026 Forecast Sales'!K178</f>
        <v>0</v>
      </c>
      <c r="M186" s="384">
        <f>'[3]C. 2026 Forecast Sales'!L178</f>
        <v>0</v>
      </c>
      <c r="N186" s="384">
        <f>'[3]C. 2026 Forecast Sales'!M178</f>
        <v>0</v>
      </c>
      <c r="O186" s="163">
        <f t="shared" si="64"/>
        <v>0</v>
      </c>
      <c r="P186" s="61">
        <f t="shared" si="43"/>
        <v>184</v>
      </c>
      <c r="U186" s="233"/>
    </row>
    <row r="187" spans="1:21" x14ac:dyDescent="0.3">
      <c r="A187" s="11">
        <f t="shared" si="55"/>
        <v>185</v>
      </c>
      <c r="B187" s="242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178"/>
      <c r="P187" s="61">
        <f t="shared" si="43"/>
        <v>185</v>
      </c>
      <c r="U187" s="233"/>
    </row>
    <row r="188" spans="1:21" x14ac:dyDescent="0.3">
      <c r="A188" s="11">
        <f t="shared" si="55"/>
        <v>186</v>
      </c>
      <c r="B188" s="241" t="s">
        <v>416</v>
      </c>
      <c r="C188" s="319"/>
      <c r="D188" s="319"/>
      <c r="E188" s="319"/>
      <c r="F188" s="319"/>
      <c r="G188" s="319"/>
      <c r="H188" s="319"/>
      <c r="I188" s="319"/>
      <c r="J188" s="319"/>
      <c r="K188" s="319"/>
      <c r="L188" s="319"/>
      <c r="M188" s="319"/>
      <c r="N188" s="319"/>
      <c r="O188" s="178"/>
      <c r="P188" s="61">
        <f t="shared" si="43"/>
        <v>186</v>
      </c>
      <c r="U188" s="233"/>
    </row>
    <row r="189" spans="1:21" x14ac:dyDescent="0.3">
      <c r="A189" s="11">
        <f t="shared" si="55"/>
        <v>187</v>
      </c>
      <c r="B189" s="242" t="s">
        <v>409</v>
      </c>
      <c r="C189" s="176">
        <f t="shared" ref="C189:N191" si="65">C179*C184</f>
        <v>38.350964271428111</v>
      </c>
      <c r="D189" s="176">
        <f t="shared" si="65"/>
        <v>38.895617596899562</v>
      </c>
      <c r="E189" s="176">
        <f t="shared" si="65"/>
        <v>36.239647057875004</v>
      </c>
      <c r="F189" s="176">
        <f t="shared" si="65"/>
        <v>37.623300147653751</v>
      </c>
      <c r="G189" s="176">
        <f t="shared" si="65"/>
        <v>45.222132609508556</v>
      </c>
      <c r="H189" s="176">
        <f t="shared" si="65"/>
        <v>50.250206027464422</v>
      </c>
      <c r="I189" s="176">
        <f t="shared" si="65"/>
        <v>55.413237976519078</v>
      </c>
      <c r="J189" s="176">
        <f t="shared" si="65"/>
        <v>55.726350956516882</v>
      </c>
      <c r="K189" s="176">
        <f t="shared" si="65"/>
        <v>55.497852023323034</v>
      </c>
      <c r="L189" s="176">
        <f t="shared" si="65"/>
        <v>53.621485956676509</v>
      </c>
      <c r="M189" s="176">
        <f t="shared" si="65"/>
        <v>47.069490109794579</v>
      </c>
      <c r="N189" s="176">
        <f t="shared" si="65"/>
        <v>43.322331377300003</v>
      </c>
      <c r="O189" s="165">
        <f>SUM(C189:N189)</f>
        <v>557.2326161109595</v>
      </c>
      <c r="P189" s="61">
        <f t="shared" si="43"/>
        <v>187</v>
      </c>
      <c r="U189" s="233"/>
    </row>
    <row r="190" spans="1:21" x14ac:dyDescent="0.3">
      <c r="A190" s="11">
        <f t="shared" si="55"/>
        <v>188</v>
      </c>
      <c r="B190" s="242" t="s">
        <v>410</v>
      </c>
      <c r="C190" s="176">
        <f t="shared" si="65"/>
        <v>16.014844725604618</v>
      </c>
      <c r="D190" s="176">
        <f t="shared" si="65"/>
        <v>16.242284598432221</v>
      </c>
      <c r="E190" s="176">
        <f t="shared" si="65"/>
        <v>15.13318717190551</v>
      </c>
      <c r="F190" s="176">
        <f t="shared" si="65"/>
        <v>15.710982015082852</v>
      </c>
      <c r="G190" s="176">
        <f t="shared" si="65"/>
        <v>18.884151824092115</v>
      </c>
      <c r="H190" s="176">
        <f t="shared" si="65"/>
        <v>17.291422088524726</v>
      </c>
      <c r="I190" s="176">
        <f t="shared" si="65"/>
        <v>19.0680548975295</v>
      </c>
      <c r="J190" s="176">
        <f t="shared" si="65"/>
        <v>19.175799106490128</v>
      </c>
      <c r="K190" s="176">
        <f t="shared" si="65"/>
        <v>19.097171140298844</v>
      </c>
      <c r="L190" s="176">
        <f t="shared" si="65"/>
        <v>18.451501396512384</v>
      </c>
      <c r="M190" s="176">
        <f t="shared" si="65"/>
        <v>19.655583366474559</v>
      </c>
      <c r="N190" s="176">
        <f t="shared" si="65"/>
        <v>18.09082048754475</v>
      </c>
      <c r="O190" s="165">
        <f>SUM(C190:N190)</f>
        <v>212.81580281849224</v>
      </c>
      <c r="P190" s="61">
        <f t="shared" si="43"/>
        <v>188</v>
      </c>
      <c r="U190" s="233"/>
    </row>
    <row r="191" spans="1:21" x14ac:dyDescent="0.3">
      <c r="A191" s="11">
        <f t="shared" si="55"/>
        <v>189</v>
      </c>
      <c r="B191" s="242" t="s">
        <v>411</v>
      </c>
      <c r="C191" s="177">
        <f t="shared" si="65"/>
        <v>0</v>
      </c>
      <c r="D191" s="177">
        <f t="shared" si="65"/>
        <v>0</v>
      </c>
      <c r="E191" s="177">
        <f t="shared" si="65"/>
        <v>0</v>
      </c>
      <c r="F191" s="177">
        <f t="shared" si="65"/>
        <v>0</v>
      </c>
      <c r="G191" s="177">
        <f t="shared" si="65"/>
        <v>0</v>
      </c>
      <c r="H191" s="177">
        <f t="shared" si="65"/>
        <v>0</v>
      </c>
      <c r="I191" s="177">
        <f t="shared" si="65"/>
        <v>0</v>
      </c>
      <c r="J191" s="177">
        <f t="shared" si="65"/>
        <v>0</v>
      </c>
      <c r="K191" s="177">
        <f t="shared" si="65"/>
        <v>0</v>
      </c>
      <c r="L191" s="177">
        <f t="shared" si="65"/>
        <v>0</v>
      </c>
      <c r="M191" s="177">
        <f t="shared" si="65"/>
        <v>0</v>
      </c>
      <c r="N191" s="177">
        <f t="shared" si="65"/>
        <v>0</v>
      </c>
      <c r="O191" s="166">
        <f>SUM(C191:N191)</f>
        <v>0</v>
      </c>
      <c r="P191" s="61">
        <f t="shared" si="43"/>
        <v>189</v>
      </c>
      <c r="U191" s="233"/>
    </row>
    <row r="192" spans="1:21" x14ac:dyDescent="0.3">
      <c r="A192" s="11">
        <f t="shared" si="55"/>
        <v>190</v>
      </c>
      <c r="B192" s="242"/>
      <c r="C192" s="176">
        <f>SUM(C189:C191)</f>
        <v>54.36580899703273</v>
      </c>
      <c r="D192" s="176">
        <f>SUM(D189:D191)</f>
        <v>55.137902195331783</v>
      </c>
      <c r="E192" s="176">
        <f t="shared" ref="E192:N192" si="66">SUM(E189:E191)</f>
        <v>51.372834229780516</v>
      </c>
      <c r="F192" s="176">
        <f t="shared" si="66"/>
        <v>53.334282162736599</v>
      </c>
      <c r="G192" s="176">
        <f t="shared" si="66"/>
        <v>64.106284433600678</v>
      </c>
      <c r="H192" s="176">
        <f t="shared" si="66"/>
        <v>67.541628115989141</v>
      </c>
      <c r="I192" s="176">
        <f t="shared" si="66"/>
        <v>74.481292874048577</v>
      </c>
      <c r="J192" s="176">
        <f t="shared" si="66"/>
        <v>74.902150063007014</v>
      </c>
      <c r="K192" s="176">
        <f t="shared" si="66"/>
        <v>74.595023163621875</v>
      </c>
      <c r="L192" s="176">
        <f t="shared" si="66"/>
        <v>72.072987353188893</v>
      </c>
      <c r="M192" s="176">
        <f t="shared" si="66"/>
        <v>66.725073476269131</v>
      </c>
      <c r="N192" s="176">
        <f t="shared" si="66"/>
        <v>61.41315186484475</v>
      </c>
      <c r="O192" s="178">
        <f>SUM(O189:O191)</f>
        <v>770.04841892945171</v>
      </c>
      <c r="P192" s="61">
        <f t="shared" si="43"/>
        <v>190</v>
      </c>
      <c r="U192" s="233"/>
    </row>
    <row r="193" spans="1:21" x14ac:dyDescent="0.3">
      <c r="A193" s="11">
        <f t="shared" si="55"/>
        <v>191</v>
      </c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8"/>
      <c r="P193" s="61">
        <f t="shared" si="43"/>
        <v>191</v>
      </c>
      <c r="U193" s="233"/>
    </row>
    <row r="194" spans="1:21" x14ac:dyDescent="0.3">
      <c r="A194" s="11">
        <f t="shared" si="55"/>
        <v>192</v>
      </c>
      <c r="B194" s="287"/>
      <c r="C194" s="431"/>
      <c r="D194" s="431"/>
      <c r="E194" s="431"/>
      <c r="F194" s="431"/>
      <c r="G194" s="431"/>
      <c r="H194" s="431"/>
      <c r="I194" s="431"/>
      <c r="J194" s="431"/>
      <c r="K194" s="431"/>
      <c r="L194" s="431"/>
      <c r="M194" s="431"/>
      <c r="N194" s="431"/>
      <c r="O194" s="432"/>
      <c r="P194" s="61">
        <f t="shared" si="43"/>
        <v>192</v>
      </c>
      <c r="U194" s="233"/>
    </row>
    <row r="195" spans="1:21" x14ac:dyDescent="0.3">
      <c r="A195" s="11">
        <f t="shared" si="55"/>
        <v>193</v>
      </c>
      <c r="B195" s="288"/>
      <c r="C195" s="435"/>
      <c r="D195" s="435"/>
      <c r="E195" s="435"/>
      <c r="F195" s="435"/>
      <c r="G195" s="435"/>
      <c r="H195" s="435"/>
      <c r="I195" s="435"/>
      <c r="J195" s="435"/>
      <c r="K195" s="435"/>
      <c r="L195" s="435"/>
      <c r="M195" s="435"/>
      <c r="N195" s="435"/>
      <c r="O195" s="436"/>
      <c r="P195" s="61">
        <f t="shared" si="43"/>
        <v>193</v>
      </c>
      <c r="U195" s="233"/>
    </row>
    <row r="196" spans="1:21" x14ac:dyDescent="0.3">
      <c r="A196" s="11">
        <f t="shared" si="55"/>
        <v>194</v>
      </c>
      <c r="B196" s="234" t="s">
        <v>429</v>
      </c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144"/>
      <c r="P196" s="61">
        <f t="shared" si="43"/>
        <v>194</v>
      </c>
    </row>
    <row r="197" spans="1:21" x14ac:dyDescent="0.3">
      <c r="A197" s="11">
        <f t="shared" si="55"/>
        <v>195</v>
      </c>
      <c r="B197" s="239" t="s">
        <v>430</v>
      </c>
      <c r="C197" s="88">
        <f t="shared" ref="C197:N197" si="67">C145</f>
        <v>46023</v>
      </c>
      <c r="D197" s="88">
        <f t="shared" si="67"/>
        <v>46054</v>
      </c>
      <c r="E197" s="88">
        <f t="shared" si="67"/>
        <v>46082</v>
      </c>
      <c r="F197" s="88">
        <f t="shared" si="67"/>
        <v>46113</v>
      </c>
      <c r="G197" s="88">
        <f t="shared" si="67"/>
        <v>46143</v>
      </c>
      <c r="H197" s="88">
        <f t="shared" si="67"/>
        <v>46174</v>
      </c>
      <c r="I197" s="88">
        <f t="shared" si="67"/>
        <v>46204</v>
      </c>
      <c r="J197" s="88">
        <f t="shared" si="67"/>
        <v>46235</v>
      </c>
      <c r="K197" s="88">
        <f t="shared" si="67"/>
        <v>46266</v>
      </c>
      <c r="L197" s="88">
        <f t="shared" si="67"/>
        <v>46296</v>
      </c>
      <c r="M197" s="88">
        <f t="shared" si="67"/>
        <v>46327</v>
      </c>
      <c r="N197" s="88">
        <f t="shared" si="67"/>
        <v>46357</v>
      </c>
      <c r="O197" s="129" t="s">
        <v>61</v>
      </c>
      <c r="P197" s="61">
        <f t="shared" si="43"/>
        <v>195</v>
      </c>
      <c r="U197" s="83"/>
    </row>
    <row r="198" spans="1:21" x14ac:dyDescent="0.3">
      <c r="A198" s="11">
        <f t="shared" si="55"/>
        <v>196</v>
      </c>
      <c r="B198" s="235" t="s">
        <v>431</v>
      </c>
      <c r="O198" s="127"/>
      <c r="P198" s="61">
        <f t="shared" si="43"/>
        <v>196</v>
      </c>
    </row>
    <row r="199" spans="1:21" x14ac:dyDescent="0.3">
      <c r="A199" s="11">
        <f t="shared" si="55"/>
        <v>197</v>
      </c>
      <c r="B199" s="127" t="s">
        <v>409</v>
      </c>
      <c r="C199" s="386">
        <f>'[3]C. 2026 Forecast Sales'!B190</f>
        <v>6.1479999999999997</v>
      </c>
      <c r="D199" s="386">
        <f>'[3]C. 2026 Forecast Sales'!C190</f>
        <v>6.1479999999999997</v>
      </c>
      <c r="E199" s="386">
        <f>'[3]C. 2026 Forecast Sales'!D190</f>
        <v>6.1479999999999997</v>
      </c>
      <c r="F199" s="387">
        <f>'[3]C. 2026 Forecast Sales'!E190</f>
        <v>6.1479999999999997</v>
      </c>
      <c r="G199" s="387">
        <f>'[3]C. 2026 Forecast Sales'!F190</f>
        <v>6.1479999999999997</v>
      </c>
      <c r="H199" s="387">
        <f>'[3]C. 2026 Forecast Sales'!G190</f>
        <v>6.1479999999999997</v>
      </c>
      <c r="I199" s="387">
        <f>'[3]C. 2026 Forecast Sales'!H190</f>
        <v>6.1479999999999997</v>
      </c>
      <c r="J199" s="387">
        <f>'[3]C. 2026 Forecast Sales'!I190</f>
        <v>6.1479999999999997</v>
      </c>
      <c r="K199" s="387">
        <f>'[3]C. 2026 Forecast Sales'!J190</f>
        <v>6.1479999999999997</v>
      </c>
      <c r="L199" s="387">
        <f>'[3]C. 2026 Forecast Sales'!K190</f>
        <v>6.1479999999999997</v>
      </c>
      <c r="M199" s="387">
        <f>'[3]C. 2026 Forecast Sales'!L190</f>
        <v>6.1479999999999997</v>
      </c>
      <c r="N199" s="387">
        <f>'[3]C. 2026 Forecast Sales'!M190</f>
        <v>6.1479999999999997</v>
      </c>
      <c r="O199" s="165">
        <f>SUM(C199:N199)</f>
        <v>73.775999999999982</v>
      </c>
      <c r="P199" s="61">
        <f t="shared" si="43"/>
        <v>197</v>
      </c>
    </row>
    <row r="200" spans="1:21" x14ac:dyDescent="0.3">
      <c r="A200" s="11">
        <f t="shared" si="55"/>
        <v>198</v>
      </c>
      <c r="B200" s="127" t="s">
        <v>410</v>
      </c>
      <c r="C200" s="386">
        <f>'[3]C. 2026 Forecast Sales'!B191</f>
        <v>84.682000000000002</v>
      </c>
      <c r="D200" s="386">
        <f>'[3]C. 2026 Forecast Sales'!C191</f>
        <v>84.682000000000002</v>
      </c>
      <c r="E200" s="386">
        <f>'[3]C. 2026 Forecast Sales'!D191</f>
        <v>84.682000000000002</v>
      </c>
      <c r="F200" s="387">
        <f>'[3]C. 2026 Forecast Sales'!E191</f>
        <v>84.682000000000002</v>
      </c>
      <c r="G200" s="387">
        <f>'[3]C. 2026 Forecast Sales'!F191</f>
        <v>84.682000000000002</v>
      </c>
      <c r="H200" s="387">
        <f>'[3]C. 2026 Forecast Sales'!G191</f>
        <v>84.682000000000002</v>
      </c>
      <c r="I200" s="387">
        <f>'[3]C. 2026 Forecast Sales'!H191</f>
        <v>84.682000000000002</v>
      </c>
      <c r="J200" s="387">
        <f>'[3]C. 2026 Forecast Sales'!I191</f>
        <v>84.682000000000002</v>
      </c>
      <c r="K200" s="387">
        <f>'[3]C. 2026 Forecast Sales'!J191</f>
        <v>84.682000000000002</v>
      </c>
      <c r="L200" s="387">
        <f>'[3]C. 2026 Forecast Sales'!K191</f>
        <v>84.682000000000002</v>
      </c>
      <c r="M200" s="387">
        <f>'[3]C. 2026 Forecast Sales'!L191</f>
        <v>84.682000000000002</v>
      </c>
      <c r="N200" s="387">
        <f>'[3]C. 2026 Forecast Sales'!M191</f>
        <v>84.682000000000002</v>
      </c>
      <c r="O200" s="165">
        <f>SUM(C200:N200)</f>
        <v>1016.1840000000001</v>
      </c>
      <c r="P200" s="61">
        <f t="shared" si="43"/>
        <v>198</v>
      </c>
    </row>
    <row r="201" spans="1:21" x14ac:dyDescent="0.3">
      <c r="A201" s="11">
        <f t="shared" si="55"/>
        <v>199</v>
      </c>
      <c r="B201" s="127" t="s">
        <v>411</v>
      </c>
      <c r="C201" s="386">
        <f>'[3]C. 2026 Forecast Sales'!B192</f>
        <v>54.676000000000002</v>
      </c>
      <c r="D201" s="386">
        <f>'[3]C. 2026 Forecast Sales'!C192</f>
        <v>54.676000000000002</v>
      </c>
      <c r="E201" s="386">
        <f>'[3]C. 2026 Forecast Sales'!D192</f>
        <v>54.676000000000002</v>
      </c>
      <c r="F201" s="387">
        <f>'[3]C. 2026 Forecast Sales'!E192</f>
        <v>54.676000000000002</v>
      </c>
      <c r="G201" s="387">
        <f>'[3]C. 2026 Forecast Sales'!F192</f>
        <v>54.676000000000002</v>
      </c>
      <c r="H201" s="387">
        <f>'[3]C. 2026 Forecast Sales'!G192</f>
        <v>54.676000000000002</v>
      </c>
      <c r="I201" s="387">
        <f>'[3]C. 2026 Forecast Sales'!H192</f>
        <v>54.676000000000002</v>
      </c>
      <c r="J201" s="387">
        <f>'[3]C. 2026 Forecast Sales'!I192</f>
        <v>54.676000000000002</v>
      </c>
      <c r="K201" s="387">
        <f>'[3]C. 2026 Forecast Sales'!J192</f>
        <v>54.676000000000002</v>
      </c>
      <c r="L201" s="387">
        <f>'[3]C. 2026 Forecast Sales'!K192</f>
        <v>54.676000000000002</v>
      </c>
      <c r="M201" s="387">
        <f>'[3]C. 2026 Forecast Sales'!L192</f>
        <v>54.676000000000002</v>
      </c>
      <c r="N201" s="387">
        <f>'[3]C. 2026 Forecast Sales'!M192</f>
        <v>54.676000000000002</v>
      </c>
      <c r="O201" s="166">
        <f>SUM(C201:N201)</f>
        <v>656.11200000000008</v>
      </c>
      <c r="P201" s="61">
        <f t="shared" si="43"/>
        <v>199</v>
      </c>
    </row>
    <row r="202" spans="1:21" x14ac:dyDescent="0.3">
      <c r="A202" s="11">
        <f t="shared" si="55"/>
        <v>200</v>
      </c>
      <c r="C202" s="176">
        <f>SUM(C199:C201)</f>
        <v>145.506</v>
      </c>
      <c r="D202" s="176">
        <f>SUM(D199:D201)</f>
        <v>145.506</v>
      </c>
      <c r="E202" s="176">
        <f t="shared" ref="E202:N202" si="68">SUM(E199:E201)</f>
        <v>145.506</v>
      </c>
      <c r="F202" s="176">
        <f t="shared" si="68"/>
        <v>145.506</v>
      </c>
      <c r="G202" s="176">
        <f t="shared" si="68"/>
        <v>145.506</v>
      </c>
      <c r="H202" s="176">
        <f t="shared" si="68"/>
        <v>145.506</v>
      </c>
      <c r="I202" s="176">
        <f t="shared" si="68"/>
        <v>145.506</v>
      </c>
      <c r="J202" s="176">
        <f t="shared" si="68"/>
        <v>145.506</v>
      </c>
      <c r="K202" s="176">
        <f t="shared" si="68"/>
        <v>145.506</v>
      </c>
      <c r="L202" s="176">
        <f t="shared" si="68"/>
        <v>145.506</v>
      </c>
      <c r="M202" s="176">
        <f t="shared" si="68"/>
        <v>145.506</v>
      </c>
      <c r="N202" s="176">
        <f t="shared" si="68"/>
        <v>145.506</v>
      </c>
      <c r="O202" s="178">
        <f>SUM(O199:O201)</f>
        <v>1746.0720000000001</v>
      </c>
      <c r="P202" s="61">
        <f t="shared" si="43"/>
        <v>200</v>
      </c>
    </row>
    <row r="203" spans="1:21" x14ac:dyDescent="0.3">
      <c r="A203" s="11">
        <f t="shared" si="55"/>
        <v>201</v>
      </c>
      <c r="B203" s="294"/>
      <c r="C203" s="431"/>
      <c r="D203" s="431"/>
      <c r="E203" s="431"/>
      <c r="F203" s="431"/>
      <c r="G203" s="431"/>
      <c r="H203" s="431"/>
      <c r="I203" s="431"/>
      <c r="J203" s="431"/>
      <c r="K203" s="431"/>
      <c r="L203" s="431"/>
      <c r="M203" s="431"/>
      <c r="N203" s="431"/>
      <c r="O203" s="432"/>
      <c r="P203" s="61">
        <f t="shared" si="43"/>
        <v>201</v>
      </c>
    </row>
    <row r="204" spans="1:21" x14ac:dyDescent="0.3">
      <c r="A204" s="17">
        <f t="shared" si="55"/>
        <v>202</v>
      </c>
      <c r="B204" s="380"/>
      <c r="C204" s="435"/>
      <c r="D204" s="435"/>
      <c r="E204" s="435"/>
      <c r="F204" s="435"/>
      <c r="G204" s="435"/>
      <c r="H204" s="435"/>
      <c r="I204" s="435"/>
      <c r="J204" s="435"/>
      <c r="K204" s="435"/>
      <c r="L204" s="435"/>
      <c r="M204" s="435"/>
      <c r="N204" s="435"/>
      <c r="O204" s="436"/>
      <c r="P204" s="11">
        <f>P203+1</f>
        <v>202</v>
      </c>
    </row>
    <row r="205" spans="1:21" x14ac:dyDescent="0.3">
      <c r="A205" s="96">
        <f t="shared" si="55"/>
        <v>203</v>
      </c>
      <c r="B205" s="234" t="s">
        <v>17</v>
      </c>
      <c r="P205" s="11">
        <f t="shared" ref="P205:P215" si="69">P204+1</f>
        <v>203</v>
      </c>
    </row>
    <row r="206" spans="1:21" x14ac:dyDescent="0.3">
      <c r="A206" s="96">
        <f t="shared" si="55"/>
        <v>204</v>
      </c>
      <c r="B206" s="239" t="s">
        <v>432</v>
      </c>
      <c r="C206" s="88">
        <f>C197</f>
        <v>46023</v>
      </c>
      <c r="D206" s="88">
        <f t="shared" ref="D206:O206" si="70">D197</f>
        <v>46054</v>
      </c>
      <c r="E206" s="88">
        <f t="shared" si="70"/>
        <v>46082</v>
      </c>
      <c r="F206" s="88">
        <f t="shared" si="70"/>
        <v>46113</v>
      </c>
      <c r="G206" s="88">
        <f t="shared" si="70"/>
        <v>46143</v>
      </c>
      <c r="H206" s="88">
        <f t="shared" si="70"/>
        <v>46174</v>
      </c>
      <c r="I206" s="88">
        <f t="shared" si="70"/>
        <v>46204</v>
      </c>
      <c r="J206" s="88">
        <f t="shared" si="70"/>
        <v>46235</v>
      </c>
      <c r="K206" s="88">
        <f t="shared" si="70"/>
        <v>46266</v>
      </c>
      <c r="L206" s="88">
        <f t="shared" si="70"/>
        <v>46296</v>
      </c>
      <c r="M206" s="88">
        <f t="shared" si="70"/>
        <v>46327</v>
      </c>
      <c r="N206" s="88">
        <f t="shared" si="70"/>
        <v>46357</v>
      </c>
      <c r="O206" s="88" t="str">
        <f t="shared" si="70"/>
        <v>Total</v>
      </c>
      <c r="P206" s="11">
        <f t="shared" si="69"/>
        <v>204</v>
      </c>
    </row>
    <row r="207" spans="1:21" x14ac:dyDescent="0.3">
      <c r="A207" s="96">
        <f t="shared" si="55"/>
        <v>205</v>
      </c>
      <c r="B207" s="235" t="s">
        <v>399</v>
      </c>
      <c r="C207" s="228">
        <f>'[3]C. 2026 Forecast Sales'!B24</f>
        <v>57086.588799999998</v>
      </c>
      <c r="D207" s="228">
        <f>'[3]C. 2026 Forecast Sales'!C24</f>
        <v>49775.4879</v>
      </c>
      <c r="E207" s="228">
        <f>'[3]C. 2026 Forecast Sales'!D24</f>
        <v>44640.052899999995</v>
      </c>
      <c r="F207" s="228">
        <f>'[3]C. 2026 Forecast Sales'!E24</f>
        <v>37804.715199999999</v>
      </c>
      <c r="G207" s="228">
        <f>'[3]C. 2026 Forecast Sales'!F24</f>
        <v>35106.300900000002</v>
      </c>
      <c r="H207" s="228">
        <f>'[3]C. 2026 Forecast Sales'!G24</f>
        <v>38744.773799999995</v>
      </c>
      <c r="I207" s="228">
        <f>'[3]C. 2026 Forecast Sales'!H24</f>
        <v>43505.435799999999</v>
      </c>
      <c r="J207" s="228">
        <f>'[3]C. 2026 Forecast Sales'!I24</f>
        <v>58807.220100000006</v>
      </c>
      <c r="K207" s="228">
        <f>'[3]C. 2026 Forecast Sales'!J24</f>
        <v>70375.036200000002</v>
      </c>
      <c r="L207" s="228">
        <f>'[3]C. 2026 Forecast Sales'!K24</f>
        <v>56850.117099999996</v>
      </c>
      <c r="M207" s="228">
        <f>'[3]C. 2026 Forecast Sales'!L24</f>
        <v>52399.742200000001</v>
      </c>
      <c r="N207" s="228">
        <f>'[3]C. 2026 Forecast Sales'!M24</f>
        <v>61108.017500000002</v>
      </c>
      <c r="O207" s="373">
        <f>SUM(C207:N207)</f>
        <v>606203.48839999991</v>
      </c>
      <c r="P207" s="11">
        <f t="shared" si="69"/>
        <v>205</v>
      </c>
    </row>
    <row r="208" spans="1:21" x14ac:dyDescent="0.3">
      <c r="A208" s="96">
        <f t="shared" si="55"/>
        <v>206</v>
      </c>
      <c r="B208" s="295"/>
      <c r="P208" s="11">
        <f t="shared" si="69"/>
        <v>206</v>
      </c>
    </row>
    <row r="209" spans="1:16" x14ac:dyDescent="0.3">
      <c r="A209" s="96">
        <f t="shared" si="55"/>
        <v>207</v>
      </c>
      <c r="B209" s="295" t="s">
        <v>433</v>
      </c>
      <c r="C209" s="317"/>
      <c r="D209" s="317"/>
      <c r="E209" s="317"/>
      <c r="F209" s="317"/>
      <c r="G209" s="317"/>
      <c r="H209" s="317"/>
      <c r="I209" s="317"/>
      <c r="J209" s="317"/>
      <c r="K209" s="317"/>
      <c r="L209" s="317"/>
      <c r="M209" s="317"/>
      <c r="N209" s="317"/>
      <c r="O209" s="318"/>
      <c r="P209" s="11">
        <f t="shared" si="69"/>
        <v>207</v>
      </c>
    </row>
    <row r="210" spans="1:16" x14ac:dyDescent="0.3">
      <c r="A210" s="96">
        <f t="shared" si="55"/>
        <v>208</v>
      </c>
      <c r="B210" s="295" t="s">
        <v>434</v>
      </c>
      <c r="C210" s="373">
        <f>'[3]C. 2026 Forecast Sales'!B27</f>
        <v>11625.5121</v>
      </c>
      <c r="D210" s="373">
        <f>'[3]C. 2026 Forecast Sales'!C27</f>
        <v>10132.8195</v>
      </c>
      <c r="E210" s="373">
        <f>'[3]C. 2026 Forecast Sales'!D27</f>
        <v>9084.6010999999999</v>
      </c>
      <c r="F210" s="373">
        <f>'[3]C. 2026 Forecast Sales'!E27</f>
        <v>7687.1929</v>
      </c>
      <c r="G210" s="373">
        <f>'[3]C. 2026 Forecast Sales'!F27</f>
        <v>7141.3666000000003</v>
      </c>
      <c r="H210" s="373">
        <f>'[3]C. 2026 Forecast Sales'!G27</f>
        <v>7657.6166999999996</v>
      </c>
      <c r="I210" s="373">
        <f>'[3]C. 2026 Forecast Sales'!H27</f>
        <v>8594.5890999999992</v>
      </c>
      <c r="J210" s="373">
        <f>'[3]C. 2026 Forecast Sales'!I27</f>
        <v>11614.3552</v>
      </c>
      <c r="K210" s="373">
        <f>'[3]C. 2026 Forecast Sales'!J27</f>
        <v>13901.822399999999</v>
      </c>
      <c r="L210" s="373">
        <f>'[3]C. 2026 Forecast Sales'!K27</f>
        <v>11231.359899999999</v>
      </c>
      <c r="M210" s="373">
        <f>'[3]C. 2026 Forecast Sales'!L27</f>
        <v>10669.369500000001</v>
      </c>
      <c r="N210" s="373">
        <f>'[3]C. 2026 Forecast Sales'!M27</f>
        <v>12445.3675</v>
      </c>
      <c r="O210" s="373">
        <f>SUM(C210:N210)</f>
        <v>121785.9725</v>
      </c>
      <c r="P210" s="11">
        <f t="shared" si="69"/>
        <v>208</v>
      </c>
    </row>
    <row r="211" spans="1:16" x14ac:dyDescent="0.3">
      <c r="A211" s="96">
        <f t="shared" si="55"/>
        <v>209</v>
      </c>
      <c r="B211" s="295" t="s">
        <v>435</v>
      </c>
      <c r="C211" s="373">
        <f>'[3]C. 2026 Forecast Sales'!B28</f>
        <v>9966.1023999999998</v>
      </c>
      <c r="D211" s="373">
        <f>'[3]C. 2026 Forecast Sales'!C28</f>
        <v>8707.8168000000005</v>
      </c>
      <c r="E211" s="373">
        <f>'[3]C. 2026 Forecast Sales'!D28</f>
        <v>7830.9988999999996</v>
      </c>
      <c r="F211" s="373">
        <f>'[3]C. 2026 Forecast Sales'!E28</f>
        <v>6668.5195000000003</v>
      </c>
      <c r="G211" s="373">
        <f>'[3]C. 2026 Forecast Sales'!F28</f>
        <v>6195.6984000000002</v>
      </c>
      <c r="H211" s="373">
        <f>'[3]C. 2026 Forecast Sales'!G28</f>
        <v>5140.5177000000003</v>
      </c>
      <c r="I211" s="373">
        <f>'[3]C. 2026 Forecast Sales'!H28</f>
        <v>5804.4919</v>
      </c>
      <c r="J211" s="373">
        <f>'[3]C. 2026 Forecast Sales'!I28</f>
        <v>7763.4177</v>
      </c>
      <c r="K211" s="373">
        <f>'[3]C. 2026 Forecast Sales'!J28</f>
        <v>9242.4766</v>
      </c>
      <c r="L211" s="373">
        <f>'[3]C. 2026 Forecast Sales'!K28</f>
        <v>7475.9413999999997</v>
      </c>
      <c r="M211" s="373">
        <f>'[3]C. 2026 Forecast Sales'!L28</f>
        <v>9177.5540999999994</v>
      </c>
      <c r="N211" s="373">
        <f>'[3]C. 2026 Forecast Sales'!M28</f>
        <v>10683.647499999999</v>
      </c>
      <c r="O211" s="373">
        <f>SUM(C211:N211)</f>
        <v>94657.182899999985</v>
      </c>
      <c r="P211" s="11">
        <f t="shared" si="69"/>
        <v>209</v>
      </c>
    </row>
    <row r="212" spans="1:16" x14ac:dyDescent="0.3">
      <c r="A212" s="96">
        <f t="shared" si="55"/>
        <v>210</v>
      </c>
      <c r="B212" s="295" t="s">
        <v>436</v>
      </c>
      <c r="C212" s="373">
        <f>'[3]C. 2026 Forecast Sales'!B29</f>
        <v>35494.974300000002</v>
      </c>
      <c r="D212" s="373">
        <f>'[3]C. 2026 Forecast Sales'!C29</f>
        <v>30934.851600000002</v>
      </c>
      <c r="E212" s="373">
        <f>'[3]C. 2026 Forecast Sales'!D29</f>
        <v>27724.4529</v>
      </c>
      <c r="F212" s="373">
        <f>'[3]C. 2026 Forecast Sales'!E29</f>
        <v>23449.002799999998</v>
      </c>
      <c r="G212" s="373">
        <f>'[3]C. 2026 Forecast Sales'!F29</f>
        <v>21769.2359</v>
      </c>
      <c r="H212" s="373">
        <f>'[3]C. 2026 Forecast Sales'!G29</f>
        <v>25946.6394</v>
      </c>
      <c r="I212" s="373">
        <f>'[3]C. 2026 Forecast Sales'!H29</f>
        <v>29106.354800000001</v>
      </c>
      <c r="J212" s="373">
        <f>'[3]C. 2026 Forecast Sales'!I29</f>
        <v>39429.447200000002</v>
      </c>
      <c r="K212" s="373">
        <f>'[3]C. 2026 Forecast Sales'!J29</f>
        <v>47230.737200000003</v>
      </c>
      <c r="L212" s="373">
        <f>'[3]C. 2026 Forecast Sales'!K29</f>
        <v>38142.815799999997</v>
      </c>
      <c r="M212" s="373">
        <f>'[3]C. 2026 Forecast Sales'!L29</f>
        <v>32552.818599999999</v>
      </c>
      <c r="N212" s="373">
        <f>'[3]C. 2026 Forecast Sales'!M29</f>
        <v>37979.002500000002</v>
      </c>
      <c r="O212" s="373">
        <f>SUM(C212:N212)</f>
        <v>389760.33299999998</v>
      </c>
      <c r="P212" s="11">
        <f t="shared" si="69"/>
        <v>210</v>
      </c>
    </row>
    <row r="213" spans="1:16" x14ac:dyDescent="0.3">
      <c r="A213" s="96">
        <f t="shared" si="55"/>
        <v>211</v>
      </c>
      <c r="B213" s="295"/>
      <c r="C213" s="318"/>
      <c r="D213" s="318"/>
      <c r="E213" s="318"/>
      <c r="F213" s="318"/>
      <c r="G213" s="318"/>
      <c r="H213" s="318"/>
      <c r="I213" s="318"/>
      <c r="J213" s="318"/>
      <c r="K213" s="318"/>
      <c r="L213" s="318"/>
      <c r="M213" s="318"/>
      <c r="N213" s="318"/>
      <c r="O213" s="319"/>
      <c r="P213" s="11">
        <f t="shared" si="69"/>
        <v>211</v>
      </c>
    </row>
    <row r="214" spans="1:16" x14ac:dyDescent="0.3">
      <c r="A214" s="96">
        <f t="shared" si="55"/>
        <v>212</v>
      </c>
      <c r="B214" s="294"/>
      <c r="C214" s="431"/>
      <c r="D214" s="431"/>
      <c r="E214" s="431"/>
      <c r="F214" s="431"/>
      <c r="G214" s="431"/>
      <c r="H214" s="431"/>
      <c r="I214" s="431"/>
      <c r="J214" s="431"/>
      <c r="K214" s="431"/>
      <c r="L214" s="431"/>
      <c r="M214" s="431"/>
      <c r="N214" s="431"/>
      <c r="O214" s="432"/>
      <c r="P214" s="11">
        <f t="shared" si="69"/>
        <v>212</v>
      </c>
    </row>
    <row r="215" spans="1:16" x14ac:dyDescent="0.3">
      <c r="A215" s="96">
        <f t="shared" si="55"/>
        <v>213</v>
      </c>
      <c r="B215" s="380"/>
      <c r="C215" s="433"/>
      <c r="D215" s="433"/>
      <c r="E215" s="433"/>
      <c r="F215" s="433"/>
      <c r="G215" s="433"/>
      <c r="H215" s="433"/>
      <c r="I215" s="433"/>
      <c r="J215" s="433"/>
      <c r="K215" s="433"/>
      <c r="L215" s="433"/>
      <c r="M215" s="433"/>
      <c r="N215" s="433"/>
      <c r="O215" s="434"/>
      <c r="P215" s="11">
        <f t="shared" si="69"/>
        <v>213</v>
      </c>
    </row>
    <row r="216" spans="1:16" x14ac:dyDescent="0.3">
      <c r="A216" s="381"/>
      <c r="B216" s="382" t="s">
        <v>46</v>
      </c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94"/>
    </row>
    <row r="217" spans="1:16" ht="22.5" x14ac:dyDescent="0.3">
      <c r="A217" s="244">
        <v>1</v>
      </c>
      <c r="B217" s="127" t="s">
        <v>465</v>
      </c>
      <c r="P217" s="127"/>
    </row>
    <row r="218" spans="1:16" ht="22.5" x14ac:dyDescent="0.3">
      <c r="A218" s="244">
        <v>2</v>
      </c>
      <c r="B218" s="127" t="s">
        <v>437</v>
      </c>
      <c r="P218" s="127"/>
    </row>
    <row r="219" spans="1:16" ht="22.5" x14ac:dyDescent="0.3">
      <c r="A219" s="383">
        <v>3</v>
      </c>
      <c r="B219" s="168" t="s">
        <v>438</v>
      </c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68"/>
    </row>
  </sheetData>
  <mergeCells count="8">
    <mergeCell ref="C214:O214"/>
    <mergeCell ref="C215:O215"/>
    <mergeCell ref="C203:O203"/>
    <mergeCell ref="C204:O204"/>
    <mergeCell ref="B1:O1"/>
    <mergeCell ref="B2:O2"/>
    <mergeCell ref="C194:O194"/>
    <mergeCell ref="C195:O195"/>
  </mergeCells>
  <phoneticPr fontId="3" type="noConversion"/>
  <printOptions horizontalCentered="1"/>
  <pageMargins left="0.25" right="0.25" top="0.5" bottom="0.5" header="0.25" footer="0.25"/>
  <pageSetup scale="36" orientation="landscape" r:id="rId1"/>
  <headerFooter scaleWithDoc="0">
    <oddFooter xml:space="preserve">&amp;L&amp;"Times New Roman,Regular"&amp;9Statement BG-2025 Forecasted Billing Determinants&amp;C&amp;"Times New Roman,Regular"&amp;9Page BG-21.&amp;P&amp;12
</oddFooter>
  </headerFooter>
  <rowBreaks count="3" manualBreakCount="3">
    <brk id="51" max="15" man="1"/>
    <brk id="98" max="15" man="1"/>
    <brk id="169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39"/>
  <sheetViews>
    <sheetView zoomScale="75" zoomScaleNormal="75" zoomScaleSheetLayoutView="80" workbookViewId="0">
      <selection activeCell="B37" sqref="B37"/>
    </sheetView>
  </sheetViews>
  <sheetFormatPr defaultColWidth="9.140625" defaultRowHeight="18.75" x14ac:dyDescent="0.3"/>
  <cols>
    <col min="1" max="1" width="5.5703125" style="1" bestFit="1" customWidth="1"/>
    <col min="2" max="2" width="70.5703125" style="1" customWidth="1"/>
    <col min="3" max="3" width="22.5703125" style="1" customWidth="1"/>
    <col min="4" max="4" width="112.5703125" style="7" customWidth="1"/>
    <col min="5" max="5" width="5.5703125" style="1" bestFit="1" customWidth="1"/>
    <col min="6" max="6" width="9.140625" style="1"/>
    <col min="7" max="7" width="21.5703125" style="1" bestFit="1" customWidth="1"/>
    <col min="8" max="16384" width="9.140625" style="1"/>
  </cols>
  <sheetData>
    <row r="1" spans="1:5" x14ac:dyDescent="0.3">
      <c r="A1" s="444" t="str">
        <f>'Comparison of Revenues'!A1:H1</f>
        <v>Statement BG</v>
      </c>
      <c r="B1" s="444"/>
      <c r="C1" s="444"/>
      <c r="D1" s="444"/>
      <c r="E1" s="444"/>
    </row>
    <row r="2" spans="1:5" x14ac:dyDescent="0.3">
      <c r="A2" s="444" t="str">
        <f>'Comparison of Revenues'!A2:H2</f>
        <v>SAN DIEGO GAS AND ELECTRIC COMPANY</v>
      </c>
      <c r="B2" s="444"/>
      <c r="C2" s="444"/>
      <c r="D2" s="444"/>
      <c r="E2" s="444"/>
    </row>
    <row r="3" spans="1:5" x14ac:dyDescent="0.3">
      <c r="A3" s="444" t="str">
        <f>'Comparison of Revenues'!A3:H3</f>
        <v>Transmission Revenues Data to Reflect Changed Rates</v>
      </c>
      <c r="B3" s="444"/>
      <c r="C3" s="444"/>
      <c r="D3" s="444"/>
      <c r="E3" s="444"/>
    </row>
    <row r="4" spans="1:5" x14ac:dyDescent="0.3">
      <c r="A4" s="444" t="s">
        <v>340</v>
      </c>
      <c r="B4" s="444"/>
      <c r="C4" s="444"/>
      <c r="D4" s="444"/>
      <c r="E4" s="444"/>
    </row>
    <row r="5" spans="1:5" x14ac:dyDescent="0.3">
      <c r="A5" s="443" t="s">
        <v>461</v>
      </c>
      <c r="B5" s="444"/>
      <c r="C5" s="444"/>
      <c r="D5" s="444"/>
      <c r="E5" s="444"/>
    </row>
    <row r="7" spans="1:5" x14ac:dyDescent="0.3">
      <c r="A7" s="28"/>
      <c r="B7" s="94"/>
      <c r="C7" s="28"/>
      <c r="D7" s="118"/>
      <c r="E7" s="28"/>
    </row>
    <row r="8" spans="1:5" x14ac:dyDescent="0.3">
      <c r="A8" s="11"/>
      <c r="C8" s="106"/>
      <c r="D8" s="119"/>
      <c r="E8" s="11"/>
    </row>
    <row r="9" spans="1:5" x14ac:dyDescent="0.3">
      <c r="A9" s="11" t="s">
        <v>8</v>
      </c>
      <c r="B9" s="61"/>
      <c r="C9" s="106"/>
      <c r="D9" s="61"/>
      <c r="E9" s="11" t="s">
        <v>8</v>
      </c>
    </row>
    <row r="10" spans="1:5" x14ac:dyDescent="0.3">
      <c r="A10" s="11" t="s">
        <v>10</v>
      </c>
      <c r="B10" s="17" t="s">
        <v>114</v>
      </c>
      <c r="C10" s="106"/>
      <c r="D10" s="7" t="s">
        <v>328</v>
      </c>
      <c r="E10" s="11" t="s">
        <v>10</v>
      </c>
    </row>
    <row r="11" spans="1:5" x14ac:dyDescent="0.3">
      <c r="A11" s="8"/>
      <c r="B11" s="28"/>
      <c r="C11" s="120"/>
      <c r="D11" s="80"/>
      <c r="E11" s="8"/>
    </row>
    <row r="12" spans="1:5" x14ac:dyDescent="0.3">
      <c r="A12" s="11">
        <v>1</v>
      </c>
      <c r="B12" s="14" t="s">
        <v>351</v>
      </c>
      <c r="C12" s="393">
        <f>[4]Transmission!$Q$3092</f>
        <v>18290445652.985176</v>
      </c>
      <c r="D12" s="11" t="s">
        <v>469</v>
      </c>
      <c r="E12" s="11">
        <v>1</v>
      </c>
    </row>
    <row r="13" spans="1:5" x14ac:dyDescent="0.3">
      <c r="A13" s="11">
        <f>A12+1</f>
        <v>2</v>
      </c>
      <c r="B13" s="14"/>
      <c r="C13" s="121"/>
      <c r="D13" s="11"/>
      <c r="E13" s="11">
        <f>E12+1</f>
        <v>2</v>
      </c>
    </row>
    <row r="14" spans="1:5" ht="22.5" x14ac:dyDescent="0.3">
      <c r="A14" s="11">
        <f t="shared" ref="A14:A23" si="0">A13+1</f>
        <v>3</v>
      </c>
      <c r="B14" s="14" t="s">
        <v>352</v>
      </c>
      <c r="C14" s="107">
        <f>'Summary of Revs @ Changed Rates'!I47</f>
        <v>1200994235.6640744</v>
      </c>
      <c r="D14" s="11" t="s">
        <v>353</v>
      </c>
      <c r="E14" s="11">
        <f t="shared" ref="E14:E23" si="1">E13+1</f>
        <v>3</v>
      </c>
    </row>
    <row r="15" spans="1:5" x14ac:dyDescent="0.3">
      <c r="A15" s="11">
        <f t="shared" si="0"/>
        <v>4</v>
      </c>
      <c r="B15" s="14"/>
      <c r="C15" s="121"/>
      <c r="D15" s="11"/>
      <c r="E15" s="11">
        <f t="shared" si="1"/>
        <v>4</v>
      </c>
    </row>
    <row r="16" spans="1:5" ht="22.5" x14ac:dyDescent="0.3">
      <c r="A16" s="11">
        <f t="shared" si="0"/>
        <v>5</v>
      </c>
      <c r="B16" s="14" t="s">
        <v>354</v>
      </c>
      <c r="C16" s="107">
        <f>'[1]Summary of Revs @ Present Rates'!$I$47</f>
        <v>1060219140.244766</v>
      </c>
      <c r="D16" s="11" t="s">
        <v>355</v>
      </c>
      <c r="E16" s="11">
        <f t="shared" si="1"/>
        <v>5</v>
      </c>
    </row>
    <row r="17" spans="1:12" x14ac:dyDescent="0.3">
      <c r="A17" s="11">
        <f t="shared" si="0"/>
        <v>6</v>
      </c>
      <c r="B17" s="14"/>
      <c r="C17" s="121"/>
      <c r="D17" s="11"/>
      <c r="E17" s="11">
        <f t="shared" si="1"/>
        <v>6</v>
      </c>
      <c r="L17" s="1" t="s">
        <v>356</v>
      </c>
    </row>
    <row r="18" spans="1:12" ht="22.5" x14ac:dyDescent="0.3">
      <c r="A18" s="11">
        <f t="shared" si="0"/>
        <v>7</v>
      </c>
      <c r="B18" s="14" t="s">
        <v>357</v>
      </c>
      <c r="C18" s="46">
        <f>(C14-C16)*(C12/('Billing Determinants-12 Month'!C36-'Billing Determinants-12 Month'!C32))</f>
        <v>151090794.40463281</v>
      </c>
      <c r="D18" s="11" t="s">
        <v>449</v>
      </c>
      <c r="E18" s="11">
        <f t="shared" si="1"/>
        <v>7</v>
      </c>
      <c r="G18" s="414"/>
    </row>
    <row r="19" spans="1:12" x14ac:dyDescent="0.3">
      <c r="A19" s="11">
        <f t="shared" si="0"/>
        <v>8</v>
      </c>
      <c r="B19" s="14"/>
      <c r="C19" s="121"/>
      <c r="D19" s="11"/>
      <c r="E19" s="11">
        <f t="shared" si="1"/>
        <v>8</v>
      </c>
    </row>
    <row r="20" spans="1:12" x14ac:dyDescent="0.3">
      <c r="A20" s="11">
        <f t="shared" si="0"/>
        <v>9</v>
      </c>
      <c r="B20" s="14" t="s">
        <v>358</v>
      </c>
      <c r="C20" s="122">
        <f>(C18/C12)*100</f>
        <v>0.82606404059910565</v>
      </c>
      <c r="D20" s="11" t="s">
        <v>359</v>
      </c>
      <c r="E20" s="11">
        <f t="shared" si="1"/>
        <v>9</v>
      </c>
    </row>
    <row r="21" spans="1:12" x14ac:dyDescent="0.3">
      <c r="A21" s="11">
        <f t="shared" si="0"/>
        <v>10</v>
      </c>
      <c r="B21" s="14"/>
      <c r="C21" s="121"/>
      <c r="D21" s="11"/>
      <c r="E21" s="11">
        <f t="shared" si="1"/>
        <v>10</v>
      </c>
    </row>
    <row r="22" spans="1:12" ht="22.5" x14ac:dyDescent="0.3">
      <c r="A22" s="11">
        <f t="shared" si="0"/>
        <v>11</v>
      </c>
      <c r="B22" s="14" t="s">
        <v>360</v>
      </c>
      <c r="C22" s="123">
        <f>([4]Transmission!$T$3092-[4]Inputs!$B$132-[4]Inputs!$B$133)*100</f>
        <v>7.0828809687561431</v>
      </c>
      <c r="D22" s="11" t="s">
        <v>470</v>
      </c>
      <c r="E22" s="11">
        <f t="shared" si="1"/>
        <v>11</v>
      </c>
      <c r="G22" s="414"/>
    </row>
    <row r="23" spans="1:12" x14ac:dyDescent="0.3">
      <c r="A23" s="11">
        <f t="shared" si="0"/>
        <v>12</v>
      </c>
      <c r="B23" s="14"/>
      <c r="C23" s="123"/>
      <c r="D23" s="11"/>
      <c r="E23" s="11">
        <f t="shared" si="1"/>
        <v>12</v>
      </c>
    </row>
    <row r="24" spans="1:12" x14ac:dyDescent="0.3">
      <c r="A24" s="11">
        <f>A23+1</f>
        <v>13</v>
      </c>
      <c r="B24" s="14" t="s">
        <v>361</v>
      </c>
      <c r="C24" s="122">
        <f>C20+C22</f>
        <v>7.9089450093552491</v>
      </c>
      <c r="D24" s="11" t="s">
        <v>338</v>
      </c>
      <c r="E24" s="11">
        <f>E23+1</f>
        <v>13</v>
      </c>
    </row>
    <row r="25" spans="1:12" x14ac:dyDescent="0.3">
      <c r="A25" s="17"/>
      <c r="B25" s="24"/>
      <c r="C25" s="110"/>
      <c r="D25" s="17"/>
      <c r="E25" s="17"/>
    </row>
    <row r="26" spans="1:12" x14ac:dyDescent="0.3">
      <c r="A26" s="7"/>
      <c r="B26" s="1" t="s">
        <v>46</v>
      </c>
      <c r="E26" s="7"/>
    </row>
    <row r="27" spans="1:12" ht="22.5" x14ac:dyDescent="0.3">
      <c r="A27" s="167">
        <v>1</v>
      </c>
      <c r="B27" s="1" t="s">
        <v>362</v>
      </c>
    </row>
    <row r="28" spans="1:12" ht="22.5" x14ac:dyDescent="0.3">
      <c r="A28" s="167">
        <v>2</v>
      </c>
      <c r="B28" s="1" t="s">
        <v>476</v>
      </c>
    </row>
    <row r="29" spans="1:12" ht="22.5" x14ac:dyDescent="0.3">
      <c r="A29" s="26">
        <v>3</v>
      </c>
      <c r="B29" s="1" t="s">
        <v>363</v>
      </c>
    </row>
    <row r="30" spans="1:12" ht="22.5" x14ac:dyDescent="0.3">
      <c r="A30" s="26">
        <v>4</v>
      </c>
      <c r="B30" s="1" t="s">
        <v>477</v>
      </c>
    </row>
    <row r="31" spans="1:12" ht="22.5" x14ac:dyDescent="0.3">
      <c r="A31" s="77"/>
      <c r="C31" s="7"/>
    </row>
    <row r="32" spans="1:12" x14ac:dyDescent="0.3">
      <c r="C32" s="419"/>
      <c r="D32" s="158"/>
    </row>
    <row r="33" spans="3:4" x14ac:dyDescent="0.3">
      <c r="C33" s="286"/>
      <c r="D33" s="159"/>
    </row>
    <row r="34" spans="3:4" x14ac:dyDescent="0.3">
      <c r="C34" s="286"/>
      <c r="D34" s="159"/>
    </row>
    <row r="35" spans="3:4" x14ac:dyDescent="0.3">
      <c r="C35" s="122"/>
    </row>
    <row r="36" spans="3:4" x14ac:dyDescent="0.3">
      <c r="C36" s="121"/>
    </row>
    <row r="37" spans="3:4" x14ac:dyDescent="0.3">
      <c r="C37" s="124"/>
    </row>
    <row r="38" spans="3:4" x14ac:dyDescent="0.3">
      <c r="C38" s="123"/>
    </row>
    <row r="39" spans="3:4" x14ac:dyDescent="0.3">
      <c r="C39" s="122"/>
    </row>
  </sheetData>
  <mergeCells count="5">
    <mergeCell ref="A5:E5"/>
    <mergeCell ref="A1:E1"/>
    <mergeCell ref="A2:E2"/>
    <mergeCell ref="A3:E3"/>
    <mergeCell ref="A4:E4"/>
  </mergeCells>
  <phoneticPr fontId="3" type="noConversion"/>
  <printOptions horizontalCentered="1"/>
  <pageMargins left="0.25" right="0.25" top="0.5" bottom="0.5" header="0.25" footer="0.25"/>
  <pageSetup scale="63" orientation="landscape" r:id="rId1"/>
  <headerFooter scaleWithDoc="0">
    <oddFooter xml:space="preserve">&amp;L&amp;"Times New Roman,Regular"&amp;9Statement BG-Transmission Rate Impact&amp;C&amp;"Times New Roman,Regular"&amp;9Page BG-22&amp;12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68"/>
  <sheetViews>
    <sheetView zoomScale="70" zoomScaleNormal="70" zoomScaleSheetLayoutView="70" workbookViewId="0">
      <selection activeCell="C43" sqref="C43"/>
    </sheetView>
  </sheetViews>
  <sheetFormatPr defaultColWidth="9.140625" defaultRowHeight="18.75" x14ac:dyDescent="0.3"/>
  <cols>
    <col min="1" max="1" width="6" style="1" customWidth="1"/>
    <col min="2" max="2" width="105" style="1" customWidth="1"/>
    <col min="3" max="3" width="19.140625" style="1" bestFit="1" customWidth="1"/>
    <col min="4" max="4" width="17.140625" style="1" bestFit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7.140625" style="1" bestFit="1" customWidth="1"/>
    <col min="9" max="9" width="19.140625" style="1" bestFit="1" customWidth="1"/>
    <col min="10" max="10" width="17.140625" style="1" bestFit="1" customWidth="1"/>
    <col min="11" max="11" width="5.5703125" style="1" bestFit="1" customWidth="1"/>
    <col min="12" max="16384" width="9.140625" style="1"/>
  </cols>
  <sheetData>
    <row r="1" spans="1:1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x14ac:dyDescent="0.3">
      <c r="A2" s="425" t="str">
        <f>'Comparison of Revenues'!A2:H2</f>
        <v>SAN DIEGO GAS AND ELECTRIC COMPANY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</row>
    <row r="3" spans="1:1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x14ac:dyDescent="0.3">
      <c r="A4" s="425" t="str">
        <f>'Comparison of Revenues'!A5:H5</f>
        <v>Rate Effective Period - Twelve Months Ending December 31, 2026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</row>
    <row r="6" spans="1:11" x14ac:dyDescent="0.3">
      <c r="A6" s="8"/>
      <c r="B6" s="8"/>
      <c r="C6" s="9" t="s">
        <v>4</v>
      </c>
      <c r="D6" s="10"/>
      <c r="E6" s="9" t="s">
        <v>5</v>
      </c>
      <c r="F6" s="10"/>
      <c r="G6" s="9" t="s">
        <v>48</v>
      </c>
      <c r="H6" s="10"/>
      <c r="I6" s="9" t="s">
        <v>49</v>
      </c>
      <c r="J6" s="10"/>
      <c r="K6" s="8"/>
    </row>
    <row r="7" spans="1:11" x14ac:dyDescent="0.3">
      <c r="A7" s="11"/>
      <c r="B7" s="11"/>
      <c r="C7" s="427">
        <v>46023</v>
      </c>
      <c r="D7" s="428"/>
      <c r="E7" s="427">
        <v>46054</v>
      </c>
      <c r="F7" s="428"/>
      <c r="G7" s="427">
        <v>46082</v>
      </c>
      <c r="H7" s="428"/>
      <c r="I7" s="427">
        <v>46113</v>
      </c>
      <c r="J7" s="428"/>
      <c r="K7" s="11"/>
    </row>
    <row r="8" spans="1:11" ht="22.5" x14ac:dyDescent="0.3">
      <c r="A8" s="11" t="s">
        <v>8</v>
      </c>
      <c r="B8" s="14"/>
      <c r="C8" s="15" t="s">
        <v>68</v>
      </c>
      <c r="D8" s="16"/>
      <c r="E8" s="15" t="s">
        <v>68</v>
      </c>
      <c r="F8" s="16"/>
      <c r="G8" s="15" t="s">
        <v>68</v>
      </c>
      <c r="H8" s="16"/>
      <c r="I8" s="15" t="s">
        <v>68</v>
      </c>
      <c r="J8" s="16"/>
      <c r="K8" s="11" t="s">
        <v>8</v>
      </c>
    </row>
    <row r="9" spans="1:11" x14ac:dyDescent="0.3">
      <c r="A9" s="17" t="s">
        <v>10</v>
      </c>
      <c r="B9" s="17" t="s">
        <v>11</v>
      </c>
      <c r="C9" s="17" t="s">
        <v>69</v>
      </c>
      <c r="D9" s="17" t="s">
        <v>70</v>
      </c>
      <c r="E9" s="17" t="s">
        <v>69</v>
      </c>
      <c r="F9" s="17" t="s">
        <v>70</v>
      </c>
      <c r="G9" s="17" t="s">
        <v>69</v>
      </c>
      <c r="H9" s="17" t="s">
        <v>70</v>
      </c>
      <c r="I9" s="17" t="s">
        <v>69</v>
      </c>
      <c r="J9" s="17" t="s">
        <v>70</v>
      </c>
      <c r="K9" s="17" t="s">
        <v>10</v>
      </c>
    </row>
    <row r="10" spans="1:1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A11" s="11">
        <v>1</v>
      </c>
      <c r="B11" s="14" t="s">
        <v>17</v>
      </c>
      <c r="C11" s="18">
        <f>'A-Billing Determinants'!C12</f>
        <v>530371780.21673936</v>
      </c>
      <c r="D11" s="18"/>
      <c r="E11" s="18">
        <f>'A-Billing Determinants'!E12</f>
        <v>444010801.21434939</v>
      </c>
      <c r="F11" s="18"/>
      <c r="G11" s="18">
        <f>'A-Billing Determinants'!G12</f>
        <v>387988589.33156246</v>
      </c>
      <c r="H11" s="18"/>
      <c r="I11" s="18">
        <f>'A-Billing Determinants'!I12</f>
        <v>316248347.79226029</v>
      </c>
      <c r="J11" s="18"/>
      <c r="K11" s="11">
        <v>1</v>
      </c>
    </row>
    <row r="12" spans="1:11" x14ac:dyDescent="0.3">
      <c r="A12" s="11">
        <f>A11+1</f>
        <v>2</v>
      </c>
      <c r="B12" s="19"/>
      <c r="C12" s="20"/>
      <c r="D12" s="20"/>
      <c r="E12" s="20"/>
      <c r="F12" s="20"/>
      <c r="G12" s="20"/>
      <c r="H12" s="20"/>
      <c r="I12" s="20"/>
      <c r="J12" s="20"/>
      <c r="K12" s="11">
        <f>K11+1</f>
        <v>2</v>
      </c>
    </row>
    <row r="13" spans="1:11" x14ac:dyDescent="0.3">
      <c r="A13" s="11">
        <f t="shared" ref="A13:A33" si="0">A12+1</f>
        <v>3</v>
      </c>
      <c r="B13" s="14" t="s">
        <v>71</v>
      </c>
      <c r="C13" s="18">
        <f>'A-Billing Determinants'!C14</f>
        <v>201410884.6648258</v>
      </c>
      <c r="D13" s="18"/>
      <c r="E13" s="18">
        <f>'A-Billing Determinants'!E14</f>
        <v>193878034.3113372</v>
      </c>
      <c r="F13" s="18"/>
      <c r="G13" s="18">
        <f>'A-Billing Determinants'!G14</f>
        <v>189903298.63903418</v>
      </c>
      <c r="H13" s="18"/>
      <c r="I13" s="18">
        <f>'A-Billing Determinants'!I14</f>
        <v>188108260.87251216</v>
      </c>
      <c r="J13" s="18"/>
      <c r="K13" s="11">
        <f t="shared" ref="K13:K33" si="1">K12+1</f>
        <v>3</v>
      </c>
    </row>
    <row r="14" spans="1:11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27"/>
      <c r="J14" s="27"/>
      <c r="K14" s="11">
        <f t="shared" si="1"/>
        <v>4</v>
      </c>
    </row>
    <row r="15" spans="1:11" x14ac:dyDescent="0.3">
      <c r="A15" s="11">
        <f t="shared" si="0"/>
        <v>5</v>
      </c>
      <c r="B15" s="14" t="s">
        <v>72</v>
      </c>
      <c r="C15" s="18">
        <f>'A-Billing Determinants'!C16</f>
        <v>718797731.45195258</v>
      </c>
      <c r="D15" s="18"/>
      <c r="E15" s="18">
        <f>'A-Billing Determinants'!E16</f>
        <v>680989309.74619114</v>
      </c>
      <c r="F15" s="18"/>
      <c r="G15" s="18">
        <f>'A-Billing Determinants'!G16</f>
        <v>682843723.33270192</v>
      </c>
      <c r="H15" s="18"/>
      <c r="I15" s="18">
        <f>'A-Billing Determinants'!I16</f>
        <v>686833634.35529459</v>
      </c>
      <c r="J15" s="18"/>
      <c r="K15" s="11">
        <f t="shared" si="1"/>
        <v>5</v>
      </c>
    </row>
    <row r="16" spans="1:11" x14ac:dyDescent="0.3">
      <c r="A16" s="11">
        <f t="shared" si="0"/>
        <v>6</v>
      </c>
      <c r="B16" s="14" t="s">
        <v>73</v>
      </c>
      <c r="C16" s="18"/>
      <c r="D16" s="18">
        <f>'A-Billing Determinants'!D17</f>
        <v>0</v>
      </c>
      <c r="E16" s="18"/>
      <c r="F16" s="18">
        <f>'A-Billing Determinants'!F17</f>
        <v>0</v>
      </c>
      <c r="G16" s="18"/>
      <c r="H16" s="18">
        <f>'A-Billing Determinants'!H17</f>
        <v>0</v>
      </c>
      <c r="I16" s="18"/>
      <c r="J16" s="18">
        <f>'A-Billing Determinants'!J17</f>
        <v>0</v>
      </c>
      <c r="K16" s="11">
        <f t="shared" si="1"/>
        <v>6</v>
      </c>
    </row>
    <row r="17" spans="1:11" x14ac:dyDescent="0.3">
      <c r="A17" s="11">
        <f t="shared" si="0"/>
        <v>7</v>
      </c>
      <c r="B17" s="14" t="s">
        <v>74</v>
      </c>
      <c r="C17" s="18"/>
      <c r="D17" s="18">
        <f>'A-Billing Determinants'!D18</f>
        <v>1721733.8179591398</v>
      </c>
      <c r="E17" s="18"/>
      <c r="F17" s="18">
        <f>'A-Billing Determinants'!F18</f>
        <v>1634939.2610468876</v>
      </c>
      <c r="G17" s="18"/>
      <c r="H17" s="18">
        <f>'A-Billing Determinants'!H18</f>
        <v>1634749.6326954789</v>
      </c>
      <c r="I17" s="18"/>
      <c r="J17" s="18">
        <f>'A-Billing Determinants'!J18</f>
        <v>1643129.4192703895</v>
      </c>
      <c r="K17" s="11">
        <f t="shared" si="1"/>
        <v>7</v>
      </c>
    </row>
    <row r="18" spans="1:11" x14ac:dyDescent="0.3">
      <c r="A18" s="11">
        <f t="shared" si="0"/>
        <v>8</v>
      </c>
      <c r="B18" s="14" t="s">
        <v>75</v>
      </c>
      <c r="C18" s="18"/>
      <c r="D18" s="18">
        <f>'A-Billing Determinants'!D19</f>
        <v>1470657.189877115</v>
      </c>
      <c r="E18" s="18"/>
      <c r="F18" s="18">
        <f>'A-Billing Determinants'!F19</f>
        <v>1408622.0647134136</v>
      </c>
      <c r="G18" s="18"/>
      <c r="H18" s="18">
        <f>'A-Billing Determinants'!H19</f>
        <v>1393583.5867550662</v>
      </c>
      <c r="I18" s="18"/>
      <c r="J18" s="18">
        <f>'A-Billing Determinants'!J19</f>
        <v>1396960.0594136131</v>
      </c>
      <c r="K18" s="11">
        <f t="shared" si="1"/>
        <v>8</v>
      </c>
    </row>
    <row r="19" spans="1:11" x14ac:dyDescent="0.3">
      <c r="A19" s="11">
        <f t="shared" si="0"/>
        <v>9</v>
      </c>
      <c r="B19" s="14" t="s">
        <v>76</v>
      </c>
      <c r="C19" s="18"/>
      <c r="D19" s="18">
        <f>'A-Billing Determinants'!D20</f>
        <v>136381.49643896159</v>
      </c>
      <c r="E19" s="18"/>
      <c r="F19" s="18">
        <f>'A-Billing Determinants'!F20</f>
        <v>119784.45513360342</v>
      </c>
      <c r="G19" s="18"/>
      <c r="H19" s="18">
        <f>'A-Billing Determinants'!H20</f>
        <v>131719.80063948987</v>
      </c>
      <c r="I19" s="18"/>
      <c r="J19" s="18">
        <f>'A-Billing Determinants'!J20</f>
        <v>135421.12104644522</v>
      </c>
      <c r="K19" s="11">
        <f t="shared" si="1"/>
        <v>9</v>
      </c>
    </row>
    <row r="20" spans="1:11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8"/>
      <c r="J20" s="18"/>
      <c r="K20" s="11">
        <f t="shared" si="1"/>
        <v>10</v>
      </c>
    </row>
    <row r="21" spans="1:11" x14ac:dyDescent="0.3">
      <c r="A21" s="11">
        <f t="shared" si="0"/>
        <v>11</v>
      </c>
      <c r="B21" s="127" t="s">
        <v>26</v>
      </c>
      <c r="C21" s="18">
        <f>'A-Billing Determinants'!C24</f>
        <v>216720</v>
      </c>
      <c r="D21" s="18"/>
      <c r="E21" s="18">
        <f>'A-Billing Determinants'!E24</f>
        <v>453590</v>
      </c>
      <c r="F21" s="18"/>
      <c r="G21" s="18">
        <f>'A-Billing Determinants'!G24</f>
        <v>352390</v>
      </c>
      <c r="H21" s="18"/>
      <c r="I21" s="18">
        <f>'A-Billing Determinants'!I24</f>
        <v>1098010</v>
      </c>
      <c r="J21" s="18"/>
      <c r="K21" s="11">
        <f t="shared" si="1"/>
        <v>11</v>
      </c>
    </row>
    <row r="22" spans="1:11" x14ac:dyDescent="0.3">
      <c r="A22" s="11">
        <f t="shared" si="0"/>
        <v>12</v>
      </c>
      <c r="B22" s="14" t="s">
        <v>74</v>
      </c>
      <c r="C22" s="18"/>
      <c r="D22" s="18">
        <f>'A-Billing Determinants'!D25</f>
        <v>11900</v>
      </c>
      <c r="E22" s="18"/>
      <c r="F22" s="18">
        <f>'A-Billing Determinants'!F25</f>
        <v>16000</v>
      </c>
      <c r="G22" s="18"/>
      <c r="H22" s="18">
        <f>'A-Billing Determinants'!H25</f>
        <v>15700</v>
      </c>
      <c r="I22" s="18"/>
      <c r="J22" s="18">
        <f>'A-Billing Determinants'!J25</f>
        <v>15800</v>
      </c>
      <c r="K22" s="11">
        <f t="shared" si="1"/>
        <v>12</v>
      </c>
    </row>
    <row r="23" spans="1:11" x14ac:dyDescent="0.3">
      <c r="A23" s="11">
        <f t="shared" si="0"/>
        <v>13</v>
      </c>
      <c r="B23" s="14" t="s">
        <v>77</v>
      </c>
      <c r="C23" s="18"/>
      <c r="D23" s="18">
        <f>'A-Billing Determinants'!D26</f>
        <v>0</v>
      </c>
      <c r="E23" s="18"/>
      <c r="F23" s="18">
        <f>'A-Billing Determinants'!F26</f>
        <v>0</v>
      </c>
      <c r="G23" s="18"/>
      <c r="H23" s="18">
        <f>'A-Billing Determinants'!H26</f>
        <v>0</v>
      </c>
      <c r="I23" s="18"/>
      <c r="J23" s="18">
        <f>'A-Billing Determinants'!J26</f>
        <v>0</v>
      </c>
      <c r="K23" s="11">
        <f t="shared" si="1"/>
        <v>13</v>
      </c>
    </row>
    <row r="24" spans="1:11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18"/>
      <c r="J24" s="18"/>
      <c r="K24" s="11">
        <f t="shared" si="1"/>
        <v>14</v>
      </c>
    </row>
    <row r="25" spans="1:11" x14ac:dyDescent="0.3">
      <c r="A25" s="11">
        <f t="shared" si="0"/>
        <v>15</v>
      </c>
      <c r="B25" s="14" t="s">
        <v>78</v>
      </c>
      <c r="C25" s="18"/>
      <c r="D25" s="18"/>
      <c r="E25" s="18"/>
      <c r="F25" s="18"/>
      <c r="G25" s="18"/>
      <c r="H25" s="18"/>
      <c r="I25" s="18"/>
      <c r="J25" s="18"/>
      <c r="K25" s="11">
        <f t="shared" si="1"/>
        <v>15</v>
      </c>
    </row>
    <row r="26" spans="1:11" x14ac:dyDescent="0.3">
      <c r="A26" s="11">
        <f t="shared" si="0"/>
        <v>16</v>
      </c>
      <c r="B26" s="14" t="s">
        <v>79</v>
      </c>
      <c r="C26" s="18">
        <f>'A-Billing Determinants'!C29</f>
        <v>8770898.1289841495</v>
      </c>
      <c r="D26" s="18"/>
      <c r="E26" s="18">
        <f>'A-Billing Determinants'!E29</f>
        <v>8598197.7953569908</v>
      </c>
      <c r="F26" s="18"/>
      <c r="G26" s="18">
        <f>'A-Billing Determinants'!G29</f>
        <v>8121460.1021894859</v>
      </c>
      <c r="H26" s="18"/>
      <c r="I26" s="18">
        <f>'A-Billing Determinants'!I29</f>
        <v>8972645.7992273159</v>
      </c>
      <c r="J26" s="18"/>
      <c r="K26" s="11">
        <f t="shared" si="1"/>
        <v>16</v>
      </c>
    </row>
    <row r="27" spans="1:11" x14ac:dyDescent="0.3">
      <c r="A27" s="11">
        <f t="shared" si="0"/>
        <v>17</v>
      </c>
      <c r="B27" s="14" t="s">
        <v>80</v>
      </c>
      <c r="C27" s="18">
        <f>'A-Billing Determinants'!C30</f>
        <v>16096194.488099385</v>
      </c>
      <c r="D27" s="18">
        <f>'A-Billing Determinants'!D30</f>
        <v>54365.808997032727</v>
      </c>
      <c r="E27" s="18">
        <f>'A-Billing Determinants'!E30</f>
        <v>16324789.675258994</v>
      </c>
      <c r="F27" s="18">
        <f>'A-Billing Determinants'!F30</f>
        <v>55137.902195331786</v>
      </c>
      <c r="G27" s="18">
        <f>'A-Billing Determinants'!G30</f>
        <v>15210058.425003275</v>
      </c>
      <c r="H27" s="18">
        <f>'A-Billing Determinants'!H30</f>
        <v>51372.834229780514</v>
      </c>
      <c r="I27" s="18">
        <f>'A-Billing Determinants'!I30</f>
        <v>15790788.262185775</v>
      </c>
      <c r="J27" s="18">
        <f>'A-Billing Determinants'!J30</f>
        <v>53334.282162736599</v>
      </c>
      <c r="K27" s="11">
        <f t="shared" si="1"/>
        <v>17</v>
      </c>
    </row>
    <row r="28" spans="1:11" x14ac:dyDescent="0.3">
      <c r="A28" s="11">
        <f t="shared" si="0"/>
        <v>18</v>
      </c>
      <c r="B28" s="14"/>
      <c r="C28" s="18"/>
      <c r="D28" s="18"/>
      <c r="E28" s="18"/>
      <c r="F28" s="18"/>
      <c r="G28" s="18"/>
      <c r="H28" s="18"/>
      <c r="I28" s="18"/>
      <c r="J28" s="18"/>
      <c r="K28" s="11">
        <f t="shared" si="1"/>
        <v>18</v>
      </c>
    </row>
    <row r="29" spans="1:11" x14ac:dyDescent="0.3">
      <c r="A29" s="11">
        <f t="shared" si="0"/>
        <v>19</v>
      </c>
      <c r="B29" s="14" t="s">
        <v>39</v>
      </c>
      <c r="C29" s="18">
        <f>'A-Billing Determinants'!C32</f>
        <v>7050041.3726688055</v>
      </c>
      <c r="D29" s="18"/>
      <c r="E29" s="18">
        <f>'A-Billing Determinants'!E32</f>
        <v>6963639.3231486995</v>
      </c>
      <c r="F29" s="18"/>
      <c r="G29" s="18">
        <f>'A-Billing Determinants'!G32</f>
        <v>6821384.377889757</v>
      </c>
      <c r="H29" s="18"/>
      <c r="I29" s="18">
        <f>'A-Billing Determinants'!I32</f>
        <v>6696433.9907789938</v>
      </c>
      <c r="J29" s="18"/>
      <c r="K29" s="11">
        <f t="shared" si="1"/>
        <v>19</v>
      </c>
    </row>
    <row r="30" spans="1:11" x14ac:dyDescent="0.3">
      <c r="A30" s="11">
        <f t="shared" si="0"/>
        <v>20</v>
      </c>
      <c r="B30" s="14"/>
      <c r="C30" s="18"/>
      <c r="D30" s="18"/>
      <c r="E30" s="18"/>
      <c r="F30" s="18"/>
      <c r="G30" s="18"/>
      <c r="H30" s="18"/>
      <c r="I30" s="18"/>
      <c r="J30" s="18"/>
      <c r="K30" s="11">
        <f t="shared" si="1"/>
        <v>20</v>
      </c>
    </row>
    <row r="31" spans="1:11" x14ac:dyDescent="0.3">
      <c r="A31" s="11">
        <f t="shared" si="0"/>
        <v>21</v>
      </c>
      <c r="B31" s="14" t="s">
        <v>42</v>
      </c>
      <c r="C31" s="22"/>
      <c r="D31" s="22">
        <f>'A-Billing Determinants'!D36</f>
        <v>145506</v>
      </c>
      <c r="E31" s="22"/>
      <c r="F31" s="22">
        <f>'A-Billing Determinants'!F36</f>
        <v>145506</v>
      </c>
      <c r="G31" s="22"/>
      <c r="H31" s="22">
        <f>'A-Billing Determinants'!H36</f>
        <v>145506</v>
      </c>
      <c r="I31" s="22"/>
      <c r="J31" s="22">
        <f>'A-Billing Determinants'!J36</f>
        <v>145506</v>
      </c>
      <c r="K31" s="11">
        <f t="shared" si="1"/>
        <v>21</v>
      </c>
    </row>
    <row r="32" spans="1:11" x14ac:dyDescent="0.3">
      <c r="A32" s="11">
        <f t="shared" si="0"/>
        <v>22</v>
      </c>
      <c r="B32" s="14"/>
      <c r="C32" s="18"/>
      <c r="D32" s="18"/>
      <c r="E32" s="18"/>
      <c r="F32" s="18"/>
      <c r="G32" s="18"/>
      <c r="H32" s="18"/>
      <c r="I32" s="18"/>
      <c r="J32" s="18"/>
      <c r="K32" s="11">
        <f t="shared" si="1"/>
        <v>22</v>
      </c>
    </row>
    <row r="33" spans="1:11" ht="19.5" thickBot="1" x14ac:dyDescent="0.35">
      <c r="A33" s="11">
        <f t="shared" si="0"/>
        <v>23</v>
      </c>
      <c r="B33" s="19" t="s">
        <v>81</v>
      </c>
      <c r="C33" s="23">
        <f>SUM(C11:C31)</f>
        <v>1482714250.3232698</v>
      </c>
      <c r="D33" s="23"/>
      <c r="E33" s="23">
        <f>SUM(E11:E31)</f>
        <v>1351218362.0656424</v>
      </c>
      <c r="F33" s="23"/>
      <c r="G33" s="23">
        <f>SUM(G11:G31)</f>
        <v>1291240904.2083812</v>
      </c>
      <c r="H33" s="23"/>
      <c r="I33" s="23">
        <f>SUM(I11:I31)</f>
        <v>1223748121.0722589</v>
      </c>
      <c r="J33" s="23"/>
      <c r="K33" s="11">
        <f t="shared" si="1"/>
        <v>23</v>
      </c>
    </row>
    <row r="34" spans="1:11" ht="19.5" thickTop="1" x14ac:dyDescent="0.3">
      <c r="A34" s="17"/>
      <c r="B34" s="24"/>
      <c r="C34" s="22"/>
      <c r="D34" s="22"/>
      <c r="E34" s="22"/>
      <c r="F34" s="22"/>
      <c r="G34" s="22"/>
      <c r="H34" s="22"/>
      <c r="I34" s="22"/>
      <c r="J34" s="22"/>
      <c r="K34" s="24"/>
    </row>
    <row r="35" spans="1:11" x14ac:dyDescent="0.3">
      <c r="B35" s="97" t="s">
        <v>82</v>
      </c>
      <c r="C35" s="374"/>
      <c r="D35" s="374"/>
      <c r="E35" s="25"/>
      <c r="F35" s="25"/>
      <c r="G35" s="25"/>
      <c r="H35" s="25"/>
      <c r="I35" s="25"/>
      <c r="J35" s="25"/>
    </row>
    <row r="36" spans="1:11" ht="22.5" x14ac:dyDescent="0.3">
      <c r="A36" s="77">
        <v>1</v>
      </c>
      <c r="B36" s="74" t="s">
        <v>466</v>
      </c>
      <c r="C36" s="25"/>
      <c r="D36" s="25"/>
      <c r="E36" s="25"/>
      <c r="F36" s="25"/>
      <c r="G36" s="25"/>
      <c r="H36" s="25"/>
      <c r="I36" s="25"/>
      <c r="J36" s="25"/>
    </row>
    <row r="37" spans="1:11" x14ac:dyDescent="0.3">
      <c r="A37" s="101"/>
    </row>
    <row r="38" spans="1:11" x14ac:dyDescent="0.3">
      <c r="A38" s="8"/>
      <c r="B38" s="8"/>
      <c r="C38" s="9" t="s">
        <v>4</v>
      </c>
      <c r="D38" s="10"/>
      <c r="E38" s="9" t="s">
        <v>5</v>
      </c>
      <c r="F38" s="10"/>
      <c r="G38" s="9" t="s">
        <v>48</v>
      </c>
      <c r="H38" s="10"/>
      <c r="I38" s="9" t="s">
        <v>49</v>
      </c>
      <c r="J38" s="10"/>
      <c r="K38" s="8"/>
    </row>
    <row r="39" spans="1:11" x14ac:dyDescent="0.3">
      <c r="A39" s="11"/>
      <c r="B39" s="11"/>
      <c r="C39" s="427">
        <f>C7</f>
        <v>46023</v>
      </c>
      <c r="D39" s="428"/>
      <c r="E39" s="427">
        <f>E7</f>
        <v>46054</v>
      </c>
      <c r="F39" s="428"/>
      <c r="G39" s="427">
        <f>G7</f>
        <v>46082</v>
      </c>
      <c r="H39" s="428"/>
      <c r="I39" s="427">
        <f>I7</f>
        <v>46113</v>
      </c>
      <c r="J39" s="428"/>
      <c r="K39" s="11"/>
    </row>
    <row r="40" spans="1:11" x14ac:dyDescent="0.3">
      <c r="A40" s="11" t="s">
        <v>8</v>
      </c>
      <c r="B40" s="14"/>
      <c r="C40" s="15" t="s">
        <v>83</v>
      </c>
      <c r="D40" s="16"/>
      <c r="E40" s="15" t="s">
        <v>83</v>
      </c>
      <c r="F40" s="16"/>
      <c r="G40" s="15" t="s">
        <v>83</v>
      </c>
      <c r="H40" s="16"/>
      <c r="I40" s="15" t="s">
        <v>83</v>
      </c>
      <c r="J40" s="16"/>
      <c r="K40" s="11" t="s">
        <v>8</v>
      </c>
    </row>
    <row r="41" spans="1:11" x14ac:dyDescent="0.3">
      <c r="A41" s="17" t="s">
        <v>10</v>
      </c>
      <c r="B41" s="17" t="s">
        <v>11</v>
      </c>
      <c r="C41" s="17" t="s">
        <v>69</v>
      </c>
      <c r="D41" s="17" t="s">
        <v>70</v>
      </c>
      <c r="E41" s="17" t="s">
        <v>69</v>
      </c>
      <c r="F41" s="17" t="s">
        <v>70</v>
      </c>
      <c r="G41" s="17" t="s">
        <v>69</v>
      </c>
      <c r="H41" s="17" t="s">
        <v>70</v>
      </c>
      <c r="I41" s="17" t="s">
        <v>69</v>
      </c>
      <c r="J41" s="17" t="s">
        <v>70</v>
      </c>
      <c r="K41" s="17" t="s">
        <v>10</v>
      </c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22.5" x14ac:dyDescent="0.3">
      <c r="A43" s="11">
        <f>A33+1</f>
        <v>24</v>
      </c>
      <c r="B43" s="14" t="s">
        <v>84</v>
      </c>
      <c r="C43" s="102">
        <f>'[2]Transmission Rates Summary'!$C$14</f>
        <v>0.10392999999999999</v>
      </c>
      <c r="D43" s="47"/>
      <c r="E43" s="102">
        <f>C43</f>
        <v>0.10392999999999999</v>
      </c>
      <c r="F43" s="47"/>
      <c r="G43" s="102">
        <f>E43</f>
        <v>0.10392999999999999</v>
      </c>
      <c r="H43" s="47"/>
      <c r="I43" s="102">
        <f>G43</f>
        <v>0.10392999999999999</v>
      </c>
      <c r="J43" s="47"/>
      <c r="K43" s="11">
        <f>K33+1</f>
        <v>24</v>
      </c>
    </row>
    <row r="44" spans="1:11" x14ac:dyDescent="0.3">
      <c r="A44" s="11">
        <f>A43+1</f>
        <v>25</v>
      </c>
      <c r="B44" s="19"/>
      <c r="C44" s="20"/>
      <c r="D44" s="20"/>
      <c r="E44" s="20"/>
      <c r="F44" s="20"/>
      <c r="G44" s="20"/>
      <c r="H44" s="20"/>
      <c r="I44" s="20"/>
      <c r="J44" s="20"/>
      <c r="K44" s="11">
        <f>K43+1</f>
        <v>25</v>
      </c>
    </row>
    <row r="45" spans="1:11" ht="22.5" x14ac:dyDescent="0.3">
      <c r="A45" s="11">
        <f t="shared" ref="A45:A55" si="2">A44+1</f>
        <v>26</v>
      </c>
      <c r="B45" s="14" t="s">
        <v>85</v>
      </c>
      <c r="C45" s="102">
        <f>'[2]Transmission Rates Summary'!$C$16</f>
        <v>5.663E-2</v>
      </c>
      <c r="D45" s="47"/>
      <c r="E45" s="102">
        <f>C45</f>
        <v>5.663E-2</v>
      </c>
      <c r="F45" s="47"/>
      <c r="G45" s="102">
        <f>E45</f>
        <v>5.663E-2</v>
      </c>
      <c r="H45" s="47"/>
      <c r="I45" s="102">
        <f>G45</f>
        <v>5.663E-2</v>
      </c>
      <c r="J45" s="47"/>
      <c r="K45" s="11">
        <f t="shared" ref="K45:K55" si="3">K44+1</f>
        <v>26</v>
      </c>
    </row>
    <row r="46" spans="1:11" x14ac:dyDescent="0.3">
      <c r="A46" s="11">
        <f t="shared" si="2"/>
        <v>27</v>
      </c>
      <c r="B46" s="21"/>
      <c r="C46" s="27"/>
      <c r="D46" s="27"/>
      <c r="E46" s="27"/>
      <c r="F46" s="27"/>
      <c r="G46" s="27"/>
      <c r="H46" s="27"/>
      <c r="I46" s="27"/>
      <c r="J46" s="27"/>
      <c r="K46" s="11">
        <f t="shared" si="3"/>
        <v>27</v>
      </c>
    </row>
    <row r="47" spans="1:11" ht="22.5" x14ac:dyDescent="0.3">
      <c r="A47" s="11">
        <f t="shared" si="2"/>
        <v>28</v>
      </c>
      <c r="B47" s="14" t="s">
        <v>86</v>
      </c>
      <c r="C47" s="47"/>
      <c r="D47" s="47"/>
      <c r="E47" s="47"/>
      <c r="F47" s="47"/>
      <c r="G47" s="47"/>
      <c r="H47" s="47"/>
      <c r="I47" s="47"/>
      <c r="J47" s="47"/>
      <c r="K47" s="11">
        <f t="shared" si="3"/>
        <v>28</v>
      </c>
    </row>
    <row r="48" spans="1:11" x14ac:dyDescent="0.3">
      <c r="A48" s="11">
        <f t="shared" si="2"/>
        <v>29</v>
      </c>
      <c r="B48" s="14"/>
      <c r="C48" s="47"/>
      <c r="D48" s="47"/>
      <c r="E48" s="47"/>
      <c r="F48" s="47"/>
      <c r="G48" s="47"/>
      <c r="H48" s="47"/>
      <c r="I48" s="47"/>
      <c r="J48" s="47"/>
      <c r="K48" s="11">
        <f t="shared" si="3"/>
        <v>29</v>
      </c>
    </row>
    <row r="49" spans="1:11" ht="22.5" x14ac:dyDescent="0.3">
      <c r="A49" s="11">
        <f t="shared" si="2"/>
        <v>30</v>
      </c>
      <c r="B49" s="14" t="s">
        <v>87</v>
      </c>
      <c r="C49" s="47"/>
      <c r="D49" s="47"/>
      <c r="E49" s="47"/>
      <c r="F49" s="47"/>
      <c r="G49" s="47"/>
      <c r="H49" s="47"/>
      <c r="I49" s="47"/>
      <c r="J49" s="47"/>
      <c r="K49" s="11">
        <f t="shared" si="3"/>
        <v>30</v>
      </c>
    </row>
    <row r="50" spans="1:11" x14ac:dyDescent="0.3">
      <c r="A50" s="11">
        <f t="shared" si="2"/>
        <v>31</v>
      </c>
      <c r="B50" s="14"/>
      <c r="C50" s="47"/>
      <c r="D50" s="47"/>
      <c r="E50" s="47"/>
      <c r="F50" s="47"/>
      <c r="G50" s="47"/>
      <c r="H50" s="47"/>
      <c r="I50" s="47"/>
      <c r="J50" s="47"/>
      <c r="K50" s="11">
        <f t="shared" si="3"/>
        <v>31</v>
      </c>
    </row>
    <row r="51" spans="1:11" ht="22.5" x14ac:dyDescent="0.3">
      <c r="A51" s="11">
        <f t="shared" si="2"/>
        <v>32</v>
      </c>
      <c r="B51" s="14" t="s">
        <v>88</v>
      </c>
      <c r="C51" s="102">
        <f>'[2]Transmission Rates Summary'!$C$47</f>
        <v>3.3610000000000001E-2</v>
      </c>
      <c r="D51" s="47"/>
      <c r="E51" s="102">
        <f>C51</f>
        <v>3.3610000000000001E-2</v>
      </c>
      <c r="F51" s="47"/>
      <c r="G51" s="102">
        <f>E51</f>
        <v>3.3610000000000001E-2</v>
      </c>
      <c r="H51" s="47"/>
      <c r="I51" s="102">
        <f>G51</f>
        <v>3.3610000000000001E-2</v>
      </c>
      <c r="J51" s="47"/>
      <c r="K51" s="11">
        <f t="shared" si="3"/>
        <v>32</v>
      </c>
    </row>
    <row r="52" spans="1:11" x14ac:dyDescent="0.3">
      <c r="A52" s="11">
        <f t="shared" si="2"/>
        <v>33</v>
      </c>
      <c r="B52" s="14"/>
      <c r="C52" s="47"/>
      <c r="D52" s="47"/>
      <c r="E52" s="47"/>
      <c r="F52" s="47"/>
      <c r="G52" s="47"/>
      <c r="H52" s="47"/>
      <c r="I52" s="47"/>
      <c r="J52" s="47"/>
      <c r="K52" s="11">
        <f t="shared" si="3"/>
        <v>33</v>
      </c>
    </row>
    <row r="53" spans="1:11" ht="22.5" x14ac:dyDescent="0.3">
      <c r="A53" s="11">
        <f t="shared" si="2"/>
        <v>34</v>
      </c>
      <c r="B53" s="14" t="s">
        <v>89</v>
      </c>
      <c r="C53" s="102">
        <f>'[2]Transmission Rates Summary'!$C$52</f>
        <v>4.3999999999999997E-2</v>
      </c>
      <c r="D53" s="47"/>
      <c r="E53" s="102">
        <f>C53</f>
        <v>4.3999999999999997E-2</v>
      </c>
      <c r="F53" s="47"/>
      <c r="G53" s="102">
        <f>E53</f>
        <v>4.3999999999999997E-2</v>
      </c>
      <c r="H53" s="47"/>
      <c r="I53" s="102">
        <f>G53</f>
        <v>4.3999999999999997E-2</v>
      </c>
      <c r="J53" s="47"/>
      <c r="K53" s="11">
        <f t="shared" si="3"/>
        <v>34</v>
      </c>
    </row>
    <row r="54" spans="1:11" x14ac:dyDescent="0.3">
      <c r="A54" s="11">
        <f t="shared" si="2"/>
        <v>35</v>
      </c>
      <c r="B54" s="14"/>
      <c r="C54" s="47"/>
      <c r="D54" s="47"/>
      <c r="E54" s="47"/>
      <c r="F54" s="47"/>
      <c r="G54" s="47"/>
      <c r="H54" s="47"/>
      <c r="I54" s="47"/>
      <c r="J54" s="47"/>
      <c r="K54" s="11">
        <f t="shared" si="3"/>
        <v>35</v>
      </c>
    </row>
    <row r="55" spans="1:11" ht="22.5" x14ac:dyDescent="0.3">
      <c r="A55" s="11">
        <f t="shared" si="2"/>
        <v>36</v>
      </c>
      <c r="B55" s="19" t="s">
        <v>90</v>
      </c>
      <c r="C55" s="20"/>
      <c r="D55" s="20"/>
      <c r="E55" s="20"/>
      <c r="F55" s="20"/>
      <c r="G55" s="20"/>
      <c r="H55" s="20"/>
      <c r="I55" s="20"/>
      <c r="J55" s="20"/>
      <c r="K55" s="11">
        <f t="shared" si="3"/>
        <v>36</v>
      </c>
    </row>
    <row r="56" spans="1:11" x14ac:dyDescent="0.3">
      <c r="A56" s="17"/>
      <c r="B56" s="24"/>
      <c r="C56" s="57"/>
      <c r="D56" s="57"/>
      <c r="E56" s="57"/>
      <c r="F56" s="57"/>
      <c r="G56" s="57"/>
      <c r="H56" s="57"/>
      <c r="I56" s="57"/>
      <c r="J56" s="57"/>
      <c r="K56" s="24"/>
    </row>
    <row r="57" spans="1:11" x14ac:dyDescent="0.3">
      <c r="B57" s="97" t="s">
        <v>46</v>
      </c>
      <c r="C57" s="103"/>
      <c r="D57" s="103"/>
      <c r="E57" s="103"/>
      <c r="F57" s="103"/>
      <c r="G57" s="103"/>
      <c r="H57" s="103"/>
      <c r="I57" s="103"/>
      <c r="J57" s="103"/>
    </row>
    <row r="58" spans="1:11" ht="22.5" x14ac:dyDescent="0.3">
      <c r="A58" s="76" t="s">
        <v>91</v>
      </c>
      <c r="B58" s="1" t="s">
        <v>92</v>
      </c>
    </row>
    <row r="59" spans="1:11" ht="22.5" x14ac:dyDescent="0.3">
      <c r="A59" s="76" t="s">
        <v>93</v>
      </c>
      <c r="B59" s="1" t="s">
        <v>94</v>
      </c>
    </row>
    <row r="60" spans="1:11" x14ac:dyDescent="0.3">
      <c r="A60" s="7"/>
    </row>
    <row r="61" spans="1:11" x14ac:dyDescent="0.3">
      <c r="A61" s="8"/>
      <c r="B61" s="8"/>
      <c r="C61" s="9" t="s">
        <v>4</v>
      </c>
      <c r="D61" s="10"/>
      <c r="E61" s="9" t="s">
        <v>5</v>
      </c>
      <c r="F61" s="10"/>
      <c r="G61" s="9" t="s">
        <v>48</v>
      </c>
      <c r="H61" s="10"/>
      <c r="I61" s="9" t="s">
        <v>49</v>
      </c>
      <c r="J61" s="10"/>
      <c r="K61" s="8"/>
    </row>
    <row r="62" spans="1:11" x14ac:dyDescent="0.3">
      <c r="A62" s="11"/>
      <c r="B62" s="11"/>
      <c r="C62" s="427">
        <f>C39</f>
        <v>46023</v>
      </c>
      <c r="D62" s="428"/>
      <c r="E62" s="427">
        <f>E39</f>
        <v>46054</v>
      </c>
      <c r="F62" s="428"/>
      <c r="G62" s="427">
        <f>G39</f>
        <v>46082</v>
      </c>
      <c r="H62" s="428"/>
      <c r="I62" s="427">
        <f>I39</f>
        <v>46113</v>
      </c>
      <c r="J62" s="428"/>
      <c r="K62" s="11"/>
    </row>
    <row r="63" spans="1:11" ht="22.5" x14ac:dyDescent="0.3">
      <c r="A63" s="11" t="s">
        <v>8</v>
      </c>
      <c r="B63" s="14"/>
      <c r="C63" s="15" t="s">
        <v>95</v>
      </c>
      <c r="D63" s="16"/>
      <c r="E63" s="15" t="s">
        <v>95</v>
      </c>
      <c r="F63" s="16"/>
      <c r="G63" s="15" t="s">
        <v>95</v>
      </c>
      <c r="H63" s="16"/>
      <c r="I63" s="15" t="s">
        <v>95</v>
      </c>
      <c r="J63" s="16"/>
      <c r="K63" s="11" t="s">
        <v>8</v>
      </c>
    </row>
    <row r="64" spans="1:11" x14ac:dyDescent="0.3">
      <c r="A64" s="17" t="s">
        <v>10</v>
      </c>
      <c r="B64" s="17" t="s">
        <v>11</v>
      </c>
      <c r="C64" s="17" t="s">
        <v>69</v>
      </c>
      <c r="D64" s="17" t="s">
        <v>70</v>
      </c>
      <c r="E64" s="17" t="s">
        <v>69</v>
      </c>
      <c r="F64" s="17" t="s">
        <v>70</v>
      </c>
      <c r="G64" s="17" t="s">
        <v>69</v>
      </c>
      <c r="H64" s="17" t="s">
        <v>70</v>
      </c>
      <c r="I64" s="17" t="s">
        <v>69</v>
      </c>
      <c r="J64" s="17" t="s">
        <v>70</v>
      </c>
      <c r="K64" s="17" t="s">
        <v>10</v>
      </c>
    </row>
    <row r="65" spans="1:1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3">
      <c r="A66" s="11">
        <f>A55+1</f>
        <v>37</v>
      </c>
      <c r="B66" s="14" t="str">
        <f>B11</f>
        <v>Residential</v>
      </c>
      <c r="C66" s="40">
        <f t="shared" ref="C66:J66" si="4">C11*C43</f>
        <v>55121539.117925718</v>
      </c>
      <c r="D66" s="40">
        <f t="shared" si="4"/>
        <v>0</v>
      </c>
      <c r="E66" s="40">
        <f t="shared" si="4"/>
        <v>46146042.570207328</v>
      </c>
      <c r="F66" s="40">
        <f t="shared" si="4"/>
        <v>0</v>
      </c>
      <c r="G66" s="40">
        <f t="shared" si="4"/>
        <v>40323654.089229286</v>
      </c>
      <c r="H66" s="40">
        <f t="shared" si="4"/>
        <v>0</v>
      </c>
      <c r="I66" s="40">
        <f t="shared" si="4"/>
        <v>32867690.786049612</v>
      </c>
      <c r="J66" s="40">
        <f t="shared" si="4"/>
        <v>0</v>
      </c>
      <c r="K66" s="11">
        <f>K55+1</f>
        <v>37</v>
      </c>
    </row>
    <row r="67" spans="1:11" x14ac:dyDescent="0.3">
      <c r="A67" s="11">
        <f>A66+1</f>
        <v>38</v>
      </c>
      <c r="B67" s="19"/>
      <c r="C67" s="20"/>
      <c r="D67" s="20"/>
      <c r="E67" s="20"/>
      <c r="F67" s="20"/>
      <c r="G67" s="20"/>
      <c r="H67" s="20"/>
      <c r="I67" s="20"/>
      <c r="J67" s="20"/>
      <c r="K67" s="11">
        <f>K66+1</f>
        <v>38</v>
      </c>
    </row>
    <row r="68" spans="1:11" x14ac:dyDescent="0.3">
      <c r="A68" s="11">
        <f t="shared" ref="A68:A90" si="5">A67+1</f>
        <v>39</v>
      </c>
      <c r="B68" s="14" t="s">
        <v>20</v>
      </c>
      <c r="C68" s="40">
        <f t="shared" ref="C68:J68" si="6">C13*C45</f>
        <v>11405898.398569085</v>
      </c>
      <c r="D68" s="40">
        <f t="shared" si="6"/>
        <v>0</v>
      </c>
      <c r="E68" s="40">
        <f t="shared" si="6"/>
        <v>10979313.083051026</v>
      </c>
      <c r="F68" s="40">
        <f t="shared" si="6"/>
        <v>0</v>
      </c>
      <c r="G68" s="40">
        <f t="shared" si="6"/>
        <v>10754223.801928505</v>
      </c>
      <c r="H68" s="40">
        <f t="shared" si="6"/>
        <v>0</v>
      </c>
      <c r="I68" s="40">
        <f t="shared" si="6"/>
        <v>10652570.813210364</v>
      </c>
      <c r="J68" s="40">
        <f t="shared" si="6"/>
        <v>0</v>
      </c>
      <c r="K68" s="11">
        <f t="shared" ref="K68:K90" si="7">K67+1</f>
        <v>39</v>
      </c>
    </row>
    <row r="69" spans="1:11" x14ac:dyDescent="0.3">
      <c r="A69" s="11">
        <f t="shared" si="5"/>
        <v>40</v>
      </c>
      <c r="B69" s="21"/>
      <c r="C69" s="63"/>
      <c r="D69" s="27"/>
      <c r="E69" s="63"/>
      <c r="F69" s="27"/>
      <c r="G69" s="63"/>
      <c r="H69" s="27"/>
      <c r="I69" s="63"/>
      <c r="J69" s="27"/>
      <c r="K69" s="11">
        <f t="shared" si="7"/>
        <v>40</v>
      </c>
    </row>
    <row r="70" spans="1:11" x14ac:dyDescent="0.3">
      <c r="A70" s="11">
        <f t="shared" si="5"/>
        <v>41</v>
      </c>
      <c r="B70" s="14" t="str">
        <f>B15</f>
        <v xml:space="preserve">Medium and Large Commercial/Industrial </v>
      </c>
      <c r="C70" s="40">
        <f>'A-Med &amp; Lrg C-I'!C13</f>
        <v>0</v>
      </c>
      <c r="D70" s="40"/>
      <c r="E70" s="40">
        <f>'A-Med &amp; Lrg C-I'!E13</f>
        <v>0</v>
      </c>
      <c r="F70" s="40"/>
      <c r="G70" s="40">
        <f>'A-Med &amp; Lrg C-I'!G13</f>
        <v>0</v>
      </c>
      <c r="H70" s="40"/>
      <c r="I70" s="40">
        <f>'A-Med &amp; Lrg C-I'!I13</f>
        <v>0</v>
      </c>
      <c r="J70" s="40"/>
      <c r="K70" s="11">
        <f t="shared" si="7"/>
        <v>41</v>
      </c>
    </row>
    <row r="71" spans="1:11" x14ac:dyDescent="0.3">
      <c r="A71" s="11">
        <f t="shared" si="5"/>
        <v>42</v>
      </c>
      <c r="B71" s="14" t="str">
        <f>B16</f>
        <v xml:space="preserve">     Non-Coincident (100%)</v>
      </c>
      <c r="C71" s="40"/>
      <c r="D71" s="40">
        <f>'A-Med &amp; Lrg C-I'!C33</f>
        <v>0</v>
      </c>
      <c r="E71" s="40"/>
      <c r="F71" s="40">
        <f>'A-Med &amp; Lrg C-I'!D33</f>
        <v>0</v>
      </c>
      <c r="G71" s="40"/>
      <c r="H71" s="40">
        <f>'A-Med &amp; Lrg C-I'!E33</f>
        <v>0</v>
      </c>
      <c r="I71" s="40"/>
      <c r="J71" s="40">
        <f>'A-Med &amp; Lrg C-I'!F33</f>
        <v>0</v>
      </c>
      <c r="K71" s="11">
        <f t="shared" si="7"/>
        <v>42</v>
      </c>
    </row>
    <row r="72" spans="1:11" x14ac:dyDescent="0.3">
      <c r="A72" s="11">
        <f t="shared" si="5"/>
        <v>43</v>
      </c>
      <c r="B72" s="14" t="str">
        <f>B17</f>
        <v xml:space="preserve">     Non-Coincident (90%)</v>
      </c>
      <c r="C72" s="40"/>
      <c r="D72" s="40">
        <f>'B-Med &amp; Lrg C-I'!C29</f>
        <v>35957436.70625443</v>
      </c>
      <c r="E72" s="40"/>
      <c r="F72" s="40">
        <f>'B-Med &amp; Lrg C-I'!D29</f>
        <v>34152594.300129317</v>
      </c>
      <c r="G72" s="40"/>
      <c r="H72" s="40">
        <f>'B-Med &amp; Lrg C-I'!E29</f>
        <v>34139030.341785505</v>
      </c>
      <c r="I72" s="40"/>
      <c r="J72" s="40">
        <f>'B-Med &amp; Lrg C-I'!F29</f>
        <v>34311596.381541505</v>
      </c>
      <c r="K72" s="11">
        <f t="shared" si="7"/>
        <v>43</v>
      </c>
    </row>
    <row r="73" spans="1:11" ht="22.5" x14ac:dyDescent="0.3">
      <c r="A73" s="11">
        <f t="shared" si="5"/>
        <v>44</v>
      </c>
      <c r="B73" s="14" t="s">
        <v>96</v>
      </c>
      <c r="C73" s="40"/>
      <c r="D73" s="40">
        <f>'C-Med &amp; Lrg C-I'!C29</f>
        <v>1298548.5818242857</v>
      </c>
      <c r="E73" s="40"/>
      <c r="F73" s="40">
        <f>'C-Med &amp; Lrg C-I'!D29</f>
        <v>1243773.3260004944</v>
      </c>
      <c r="G73" s="40"/>
      <c r="H73" s="40">
        <f>'C-Med &amp; Lrg C-I'!E29</f>
        <v>1230494.7765465328</v>
      </c>
      <c r="I73" s="40"/>
      <c r="J73" s="40">
        <f>'C-Med &amp; Lrg C-I'!F29</f>
        <v>1233476.1061266032</v>
      </c>
      <c r="K73" s="11">
        <f t="shared" si="7"/>
        <v>44</v>
      </c>
    </row>
    <row r="74" spans="1:11" ht="22.5" x14ac:dyDescent="0.3">
      <c r="A74" s="11">
        <f t="shared" si="5"/>
        <v>45</v>
      </c>
      <c r="B74" s="14" t="s">
        <v>97</v>
      </c>
      <c r="C74" s="40"/>
      <c r="D74" s="40">
        <f>'D-Med &amp; Lrg C-I'!C29</f>
        <v>140901.34591282991</v>
      </c>
      <c r="E74" s="40"/>
      <c r="F74" s="40">
        <f>'D-Med &amp; Lrg C-I'!D29</f>
        <v>123754.25837414441</v>
      </c>
      <c r="G74" s="40"/>
      <c r="H74" s="40">
        <f>'D-Med &amp; Lrg C-I'!E29</f>
        <v>136085.15581716161</v>
      </c>
      <c r="I74" s="40"/>
      <c r="J74" s="40">
        <f>'D-Med &amp; Lrg C-I'!F29</f>
        <v>139909.14250605996</v>
      </c>
      <c r="K74" s="11">
        <f t="shared" si="7"/>
        <v>45</v>
      </c>
    </row>
    <row r="75" spans="1:11" x14ac:dyDescent="0.3">
      <c r="A75" s="11">
        <f t="shared" si="5"/>
        <v>46</v>
      </c>
      <c r="B75" s="14"/>
      <c r="C75" s="40"/>
      <c r="D75" s="40"/>
      <c r="E75" s="40"/>
      <c r="F75" s="40"/>
      <c r="G75" s="40"/>
      <c r="H75" s="40"/>
      <c r="I75" s="40"/>
      <c r="J75" s="40"/>
      <c r="K75" s="11">
        <f t="shared" si="7"/>
        <v>46</v>
      </c>
    </row>
    <row r="76" spans="1:11" x14ac:dyDescent="0.3">
      <c r="A76" s="11">
        <f t="shared" si="5"/>
        <v>47</v>
      </c>
      <c r="B76" s="127" t="s">
        <v>26</v>
      </c>
      <c r="C76" s="40">
        <f>'San Diego Unified Port District'!C13</f>
        <v>0</v>
      </c>
      <c r="D76" s="40"/>
      <c r="E76" s="40">
        <f>'San Diego Unified Port District'!D13</f>
        <v>0</v>
      </c>
      <c r="F76" s="40"/>
      <c r="G76" s="40">
        <f>'San Diego Unified Port District'!E13</f>
        <v>0</v>
      </c>
      <c r="H76" s="40"/>
      <c r="I76" s="40">
        <f>'San Diego Unified Port District'!F13</f>
        <v>0</v>
      </c>
      <c r="J76" s="40"/>
      <c r="K76" s="11">
        <f t="shared" si="7"/>
        <v>47</v>
      </c>
    </row>
    <row r="77" spans="1:11" x14ac:dyDescent="0.3">
      <c r="A77" s="11">
        <f t="shared" si="5"/>
        <v>48</v>
      </c>
      <c r="B77" s="14" t="s">
        <v>74</v>
      </c>
      <c r="C77" s="40"/>
      <c r="D77" s="40">
        <f>'San Diego Unified Port District'!C23</f>
        <v>13446.999999999998</v>
      </c>
      <c r="E77" s="40"/>
      <c r="F77" s="40">
        <f>'San Diego Unified Port District'!D23</f>
        <v>18080</v>
      </c>
      <c r="G77" s="40"/>
      <c r="H77" s="40">
        <f>'San Diego Unified Port District'!E23</f>
        <v>17741</v>
      </c>
      <c r="I77" s="40"/>
      <c r="J77" s="40">
        <f>'San Diego Unified Port District'!F23</f>
        <v>17854</v>
      </c>
      <c r="K77" s="11">
        <f t="shared" si="7"/>
        <v>48</v>
      </c>
    </row>
    <row r="78" spans="1:11" x14ac:dyDescent="0.3">
      <c r="A78" s="11">
        <f t="shared" si="5"/>
        <v>49</v>
      </c>
      <c r="B78" s="14" t="s">
        <v>77</v>
      </c>
      <c r="C78" s="40"/>
      <c r="D78" s="40">
        <f>'San Diego Unified Port District'!C35</f>
        <v>0</v>
      </c>
      <c r="E78" s="40"/>
      <c r="F78" s="40">
        <f>'San Diego Unified Port District'!D35</f>
        <v>0</v>
      </c>
      <c r="G78" s="40"/>
      <c r="H78" s="40">
        <f>'San Diego Unified Port District'!E35</f>
        <v>0</v>
      </c>
      <c r="I78" s="40"/>
      <c r="J78" s="40">
        <f>'San Diego Unified Port District'!F35</f>
        <v>0</v>
      </c>
      <c r="K78" s="11">
        <f t="shared" si="7"/>
        <v>49</v>
      </c>
    </row>
    <row r="79" spans="1:11" x14ac:dyDescent="0.3">
      <c r="A79" s="11">
        <f t="shared" si="5"/>
        <v>50</v>
      </c>
      <c r="B79" s="14"/>
      <c r="C79" s="40"/>
      <c r="D79" s="40"/>
      <c r="E79" s="40"/>
      <c r="F79" s="40"/>
      <c r="G79" s="40"/>
      <c r="H79" s="40"/>
      <c r="I79" s="40"/>
      <c r="J79" s="40"/>
      <c r="K79" s="11">
        <f t="shared" si="7"/>
        <v>50</v>
      </c>
    </row>
    <row r="80" spans="1:11" x14ac:dyDescent="0.3">
      <c r="A80" s="11">
        <f t="shared" si="5"/>
        <v>51</v>
      </c>
      <c r="B80" s="14" t="str">
        <f>B25</f>
        <v>Agricultural</v>
      </c>
      <c r="C80" s="40"/>
      <c r="D80" s="40"/>
      <c r="E80" s="40"/>
      <c r="F80" s="40"/>
      <c r="G80" s="40"/>
      <c r="H80" s="40"/>
      <c r="I80" s="40"/>
      <c r="J80" s="40"/>
      <c r="K80" s="11">
        <f t="shared" si="7"/>
        <v>51</v>
      </c>
    </row>
    <row r="81" spans="1:11" x14ac:dyDescent="0.3">
      <c r="A81" s="11">
        <f t="shared" si="5"/>
        <v>52</v>
      </c>
      <c r="B81" s="14" t="str">
        <f>B26</f>
        <v xml:space="preserve">     Schedules PA and TOU-PA</v>
      </c>
      <c r="C81" s="40">
        <f>C26*C51</f>
        <v>294789.88611515728</v>
      </c>
      <c r="D81" s="40"/>
      <c r="E81" s="40">
        <f>E26*E51</f>
        <v>288985.42790194845</v>
      </c>
      <c r="F81" s="40"/>
      <c r="G81" s="40">
        <f>G26*G51</f>
        <v>272962.27403458866</v>
      </c>
      <c r="H81" s="40"/>
      <c r="I81" s="40">
        <f>I26*I51</f>
        <v>301570.62531203008</v>
      </c>
      <c r="J81" s="40"/>
      <c r="K81" s="11">
        <f t="shared" si="7"/>
        <v>52</v>
      </c>
    </row>
    <row r="82" spans="1:11" x14ac:dyDescent="0.3">
      <c r="A82" s="11">
        <f t="shared" si="5"/>
        <v>53</v>
      </c>
      <c r="B82" s="14" t="str">
        <f>B27</f>
        <v xml:space="preserve">     Schedule PA-T-1 - Non-Coincident (100%)</v>
      </c>
      <c r="C82" s="40"/>
      <c r="D82" s="40">
        <f>'PA-T-1'!C33</f>
        <v>538213.04276362178</v>
      </c>
      <c r="E82" s="40"/>
      <c r="F82" s="40">
        <f>'PA-T-1'!D33</f>
        <v>545856.64518985082</v>
      </c>
      <c r="G82" s="40"/>
      <c r="H82" s="40">
        <f>'PA-T-1'!E33</f>
        <v>508583.05865935725</v>
      </c>
      <c r="I82" s="40"/>
      <c r="J82" s="40">
        <f>'PA-T-1'!F33</f>
        <v>528001.08774223784</v>
      </c>
      <c r="K82" s="11">
        <f t="shared" si="7"/>
        <v>53</v>
      </c>
    </row>
    <row r="83" spans="1:11" x14ac:dyDescent="0.3">
      <c r="A83" s="11">
        <f t="shared" si="5"/>
        <v>54</v>
      </c>
      <c r="B83" s="14"/>
      <c r="C83" s="40"/>
      <c r="D83" s="40"/>
      <c r="E83" s="40"/>
      <c r="F83" s="40"/>
      <c r="G83" s="40"/>
      <c r="H83" s="40"/>
      <c r="I83" s="40"/>
      <c r="J83" s="40"/>
      <c r="K83" s="11">
        <f t="shared" si="7"/>
        <v>54</v>
      </c>
    </row>
    <row r="84" spans="1:11" x14ac:dyDescent="0.3">
      <c r="A84" s="11">
        <f t="shared" si="5"/>
        <v>55</v>
      </c>
      <c r="B84" s="14" t="str">
        <f>B29</f>
        <v>Street Lighting</v>
      </c>
      <c r="C84" s="40">
        <f t="shared" ref="C84:J84" si="8">C29*C53</f>
        <v>310201.82039742742</v>
      </c>
      <c r="D84" s="40">
        <f t="shared" si="8"/>
        <v>0</v>
      </c>
      <c r="E84" s="40">
        <f t="shared" si="8"/>
        <v>306400.13021854276</v>
      </c>
      <c r="F84" s="40">
        <f t="shared" si="8"/>
        <v>0</v>
      </c>
      <c r="G84" s="40">
        <f t="shared" si="8"/>
        <v>300140.91262714932</v>
      </c>
      <c r="H84" s="40">
        <f t="shared" si="8"/>
        <v>0</v>
      </c>
      <c r="I84" s="40">
        <f t="shared" si="8"/>
        <v>294643.09559427568</v>
      </c>
      <c r="J84" s="40">
        <f t="shared" si="8"/>
        <v>0</v>
      </c>
      <c r="K84" s="11">
        <f t="shared" si="7"/>
        <v>55</v>
      </c>
    </row>
    <row r="85" spans="1:11" x14ac:dyDescent="0.3">
      <c r="A85" s="11">
        <f t="shared" si="5"/>
        <v>56</v>
      </c>
      <c r="B85" s="14"/>
      <c r="C85" s="40"/>
      <c r="D85" s="40"/>
      <c r="E85" s="40"/>
      <c r="F85" s="40"/>
      <c r="G85" s="40"/>
      <c r="H85" s="40"/>
      <c r="I85" s="40"/>
      <c r="J85" s="40"/>
      <c r="K85" s="11">
        <f t="shared" si="7"/>
        <v>56</v>
      </c>
    </row>
    <row r="86" spans="1:11" x14ac:dyDescent="0.3">
      <c r="A86" s="11">
        <f t="shared" si="5"/>
        <v>57</v>
      </c>
      <c r="B86" s="14" t="str">
        <f>B31</f>
        <v>Standby</v>
      </c>
      <c r="C86" s="40"/>
      <c r="D86" s="40">
        <f>Standby!C31</f>
        <v>1045415</v>
      </c>
      <c r="E86" s="40"/>
      <c r="F86" s="40">
        <f>Standby!D31</f>
        <v>1045415</v>
      </c>
      <c r="G86" s="40"/>
      <c r="H86" s="40">
        <f>Standby!E31</f>
        <v>1045415</v>
      </c>
      <c r="I86" s="40"/>
      <c r="J86" s="40">
        <f>Standby!F31</f>
        <v>1045415</v>
      </c>
      <c r="K86" s="11">
        <f t="shared" si="7"/>
        <v>57</v>
      </c>
    </row>
    <row r="87" spans="1:11" x14ac:dyDescent="0.3">
      <c r="A87" s="11">
        <f t="shared" si="5"/>
        <v>58</v>
      </c>
      <c r="B87" s="14"/>
      <c r="C87" s="40"/>
      <c r="D87" s="40"/>
      <c r="E87" s="40"/>
      <c r="F87" s="40"/>
      <c r="G87" s="40"/>
      <c r="H87" s="40"/>
      <c r="I87" s="40"/>
      <c r="J87" s="40"/>
      <c r="K87" s="11">
        <f t="shared" si="7"/>
        <v>58</v>
      </c>
    </row>
    <row r="88" spans="1:11" x14ac:dyDescent="0.3">
      <c r="A88" s="11">
        <f t="shared" si="5"/>
        <v>59</v>
      </c>
      <c r="B88" s="19" t="s">
        <v>98</v>
      </c>
      <c r="C88" s="64">
        <f t="shared" ref="C88:J88" si="9">SUM(C66:C86)</f>
        <v>67132429.223007381</v>
      </c>
      <c r="D88" s="64">
        <f t="shared" si="9"/>
        <v>38993961.676755168</v>
      </c>
      <c r="E88" s="64">
        <f t="shared" si="9"/>
        <v>57720741.211378843</v>
      </c>
      <c r="F88" s="64">
        <f t="shared" si="9"/>
        <v>37129473.529693812</v>
      </c>
      <c r="G88" s="64">
        <f t="shared" si="9"/>
        <v>51650981.077819526</v>
      </c>
      <c r="H88" s="64">
        <f t="shared" si="9"/>
        <v>37077349.332808554</v>
      </c>
      <c r="I88" s="64">
        <f t="shared" si="9"/>
        <v>44116475.320166275</v>
      </c>
      <c r="J88" s="64">
        <f t="shared" si="9"/>
        <v>37276251.717916414</v>
      </c>
      <c r="K88" s="11">
        <f t="shared" si="7"/>
        <v>59</v>
      </c>
    </row>
    <row r="89" spans="1:11" x14ac:dyDescent="0.3">
      <c r="A89" s="11">
        <f t="shared" si="5"/>
        <v>60</v>
      </c>
      <c r="B89" s="19"/>
      <c r="C89" s="62"/>
      <c r="D89" s="62"/>
      <c r="E89" s="62"/>
      <c r="F89" s="20"/>
      <c r="G89" s="62"/>
      <c r="H89" s="20"/>
      <c r="I89" s="62"/>
      <c r="J89" s="20"/>
      <c r="K89" s="11">
        <f t="shared" si="7"/>
        <v>60</v>
      </c>
    </row>
    <row r="90" spans="1:11" ht="19.5" thickBot="1" x14ac:dyDescent="0.35">
      <c r="A90" s="11">
        <f t="shared" si="5"/>
        <v>61</v>
      </c>
      <c r="B90" s="14" t="s">
        <v>99</v>
      </c>
      <c r="C90" s="18"/>
      <c r="D90" s="67">
        <f>D88+C88</f>
        <v>106126390.89976254</v>
      </c>
      <c r="E90" s="18"/>
      <c r="F90" s="67">
        <f>F88+E88</f>
        <v>94850214.741072655</v>
      </c>
      <c r="G90" s="18"/>
      <c r="H90" s="67">
        <f>H88+G88</f>
        <v>88728330.41062808</v>
      </c>
      <c r="I90" s="18"/>
      <c r="J90" s="67">
        <f>J88+I88</f>
        <v>81392727.038082689</v>
      </c>
      <c r="K90" s="11">
        <f t="shared" si="7"/>
        <v>61</v>
      </c>
    </row>
    <row r="91" spans="1:11" ht="19.5" thickTop="1" x14ac:dyDescent="0.3">
      <c r="A91" s="17"/>
      <c r="B91" s="24"/>
      <c r="C91" s="22"/>
      <c r="D91" s="22"/>
      <c r="E91" s="22"/>
      <c r="F91" s="22"/>
      <c r="G91" s="22"/>
      <c r="H91" s="22"/>
      <c r="I91" s="22"/>
      <c r="J91" s="22"/>
      <c r="K91" s="24"/>
    </row>
    <row r="92" spans="1:11" x14ac:dyDescent="0.3">
      <c r="B92" s="25" t="s">
        <v>82</v>
      </c>
    </row>
    <row r="93" spans="1:11" ht="22.5" x14ac:dyDescent="0.3">
      <c r="A93" s="77">
        <v>4</v>
      </c>
      <c r="B93" s="1" t="s">
        <v>100</v>
      </c>
    </row>
    <row r="94" spans="1:11" ht="22.5" x14ac:dyDescent="0.3">
      <c r="A94" s="77"/>
      <c r="B94" s="1" t="s">
        <v>101</v>
      </c>
    </row>
    <row r="95" spans="1:11" ht="22.5" x14ac:dyDescent="0.3">
      <c r="A95" s="77">
        <v>5</v>
      </c>
      <c r="B95" s="1" t="s">
        <v>102</v>
      </c>
      <c r="C95" s="247"/>
      <c r="F95" s="216"/>
    </row>
    <row r="96" spans="1:11" x14ac:dyDescent="0.3">
      <c r="A96" s="7"/>
      <c r="B96" s="1" t="s">
        <v>453</v>
      </c>
      <c r="C96" s="247"/>
      <c r="F96" s="216"/>
    </row>
    <row r="97" spans="1:3" x14ac:dyDescent="0.3">
      <c r="A97" s="7"/>
      <c r="B97" s="1" t="s">
        <v>454</v>
      </c>
      <c r="C97" s="248"/>
    </row>
    <row r="98" spans="1:3" x14ac:dyDescent="0.3">
      <c r="A98" s="7"/>
      <c r="C98" s="216"/>
    </row>
    <row r="99" spans="1:3" x14ac:dyDescent="0.3">
      <c r="A99" s="7"/>
    </row>
    <row r="100" spans="1:3" x14ac:dyDescent="0.3">
      <c r="A100" s="7"/>
    </row>
    <row r="101" spans="1:3" x14ac:dyDescent="0.3">
      <c r="A101" s="7"/>
    </row>
    <row r="102" spans="1:3" x14ac:dyDescent="0.3">
      <c r="A102" s="7"/>
    </row>
    <row r="103" spans="1:3" x14ac:dyDescent="0.3">
      <c r="A103" s="7"/>
    </row>
    <row r="104" spans="1:3" x14ac:dyDescent="0.3">
      <c r="A104" s="7"/>
    </row>
    <row r="105" spans="1:3" x14ac:dyDescent="0.3">
      <c r="A105" s="7"/>
    </row>
    <row r="106" spans="1:3" x14ac:dyDescent="0.3">
      <c r="A106" s="7"/>
    </row>
    <row r="107" spans="1:3" x14ac:dyDescent="0.3">
      <c r="A107" s="7"/>
    </row>
    <row r="108" spans="1:3" x14ac:dyDescent="0.3">
      <c r="A108" s="7"/>
    </row>
    <row r="109" spans="1:3" x14ac:dyDescent="0.3">
      <c r="A109" s="7"/>
    </row>
    <row r="110" spans="1:3" x14ac:dyDescent="0.3">
      <c r="A110" s="7"/>
    </row>
    <row r="111" spans="1:3" x14ac:dyDescent="0.3">
      <c r="A111" s="7"/>
    </row>
    <row r="112" spans="1:3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</sheetData>
  <mergeCells count="16">
    <mergeCell ref="G7:H7"/>
    <mergeCell ref="I7:J7"/>
    <mergeCell ref="A1:K1"/>
    <mergeCell ref="A2:K2"/>
    <mergeCell ref="A3:K3"/>
    <mergeCell ref="A4:K4"/>
    <mergeCell ref="C7:D7"/>
    <mergeCell ref="E7:F7"/>
    <mergeCell ref="C62:D62"/>
    <mergeCell ref="E62:F62"/>
    <mergeCell ref="G62:H62"/>
    <mergeCell ref="I62:J62"/>
    <mergeCell ref="C39:D39"/>
    <mergeCell ref="E39:F39"/>
    <mergeCell ref="G39:H39"/>
    <mergeCell ref="I39:J39"/>
  </mergeCells>
  <phoneticPr fontId="0" type="noConversion"/>
  <printOptions horizontalCentered="1"/>
  <pageMargins left="0.25" right="0.25" top="0.5" bottom="0.5" header="0.25" footer="0.25"/>
  <pageSetup scale="39" orientation="portrait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163"/>
  <sheetViews>
    <sheetView zoomScale="75" zoomScaleNormal="75" zoomScaleSheetLayoutView="70" workbookViewId="0">
      <selection activeCell="C27" sqref="C27"/>
    </sheetView>
  </sheetViews>
  <sheetFormatPr defaultColWidth="9.140625" defaultRowHeight="18.75" x14ac:dyDescent="0.3"/>
  <cols>
    <col min="1" max="1" width="5.5703125" style="1" customWidth="1"/>
    <col min="2" max="2" width="104.5703125" style="1" customWidth="1"/>
    <col min="3" max="3" width="19.140625" style="1" bestFit="1" customWidth="1"/>
    <col min="4" max="4" width="17.140625" style="1" bestFit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8.28515625" style="1" customWidth="1"/>
    <col min="9" max="9" width="19.140625" style="1" bestFit="1" customWidth="1"/>
    <col min="10" max="10" width="17.140625" style="1" bestFit="1" customWidth="1"/>
    <col min="11" max="11" width="5.5703125" style="1" bestFit="1" customWidth="1"/>
    <col min="12" max="16384" width="9.140625" style="1"/>
  </cols>
  <sheetData>
    <row r="1" spans="1:1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</row>
    <row r="3" spans="1:1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</row>
    <row r="4" spans="1:11" x14ac:dyDescent="0.3">
      <c r="A4" s="425" t="str">
        <f>'Comparison of Revenues'!A5:H5</f>
        <v>Rate Effective Period - Twelve Months Ending December 31, 2026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</row>
    <row r="6" spans="1:11" x14ac:dyDescent="0.3">
      <c r="A6" s="8"/>
      <c r="B6" s="8"/>
      <c r="C6" s="9" t="s">
        <v>50</v>
      </c>
      <c r="D6" s="10"/>
      <c r="E6" s="9" t="s">
        <v>51</v>
      </c>
      <c r="F6" s="10"/>
      <c r="G6" s="9" t="s">
        <v>52</v>
      </c>
      <c r="H6" s="10"/>
      <c r="I6" s="9" t="s">
        <v>103</v>
      </c>
      <c r="J6" s="10"/>
      <c r="K6" s="8"/>
    </row>
    <row r="7" spans="1:11" x14ac:dyDescent="0.3">
      <c r="A7" s="11"/>
      <c r="B7" s="11"/>
      <c r="C7" s="427">
        <v>46143</v>
      </c>
      <c r="D7" s="428"/>
      <c r="E7" s="427">
        <v>46174</v>
      </c>
      <c r="F7" s="428"/>
      <c r="G7" s="427">
        <v>46204</v>
      </c>
      <c r="H7" s="428"/>
      <c r="I7" s="427">
        <v>46235</v>
      </c>
      <c r="J7" s="428"/>
      <c r="K7" s="11"/>
    </row>
    <row r="8" spans="1:11" ht="22.5" x14ac:dyDescent="0.3">
      <c r="A8" s="11" t="s">
        <v>8</v>
      </c>
      <c r="B8" s="14"/>
      <c r="C8" s="15" t="s">
        <v>68</v>
      </c>
      <c r="D8" s="16"/>
      <c r="E8" s="15" t="s">
        <v>68</v>
      </c>
      <c r="F8" s="16"/>
      <c r="G8" s="15" t="s">
        <v>68</v>
      </c>
      <c r="H8" s="16"/>
      <c r="I8" s="15" t="s">
        <v>68</v>
      </c>
      <c r="J8" s="16"/>
      <c r="K8" s="11" t="s">
        <v>8</v>
      </c>
    </row>
    <row r="9" spans="1:11" x14ac:dyDescent="0.3">
      <c r="A9" s="17" t="s">
        <v>10</v>
      </c>
      <c r="B9" s="17" t="s">
        <v>11</v>
      </c>
      <c r="C9" s="17" t="s">
        <v>69</v>
      </c>
      <c r="D9" s="17" t="s">
        <v>70</v>
      </c>
      <c r="E9" s="17" t="s">
        <v>69</v>
      </c>
      <c r="F9" s="17" t="s">
        <v>70</v>
      </c>
      <c r="G9" s="17" t="s">
        <v>69</v>
      </c>
      <c r="H9" s="17" t="s">
        <v>70</v>
      </c>
      <c r="I9" s="17" t="s">
        <v>69</v>
      </c>
      <c r="J9" s="17" t="s">
        <v>70</v>
      </c>
      <c r="K9" s="17" t="s">
        <v>10</v>
      </c>
    </row>
    <row r="10" spans="1:1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3">
      <c r="A11" s="11">
        <v>1</v>
      </c>
      <c r="B11" s="14" t="str">
        <f>'A-Revenues@Changed Rates'!B11</f>
        <v>Residential</v>
      </c>
      <c r="C11" s="18">
        <f>'A-Billing Determinants'!K12</f>
        <v>290350126.1599583</v>
      </c>
      <c r="D11" s="18"/>
      <c r="E11" s="18">
        <f>'A-Billing Determinants'!M12</f>
        <v>309972841.32164389</v>
      </c>
      <c r="F11" s="18"/>
      <c r="G11" s="18">
        <f>'B-Billing Determinants'!C12</f>
        <v>410150317.97409266</v>
      </c>
      <c r="H11" s="18"/>
      <c r="I11" s="18">
        <f>'B-Billing Determinants'!E12</f>
        <v>547959042.84375727</v>
      </c>
      <c r="J11" s="18"/>
      <c r="K11" s="11">
        <v>1</v>
      </c>
    </row>
    <row r="12" spans="1:11" x14ac:dyDescent="0.3">
      <c r="A12" s="11">
        <f>A11+1</f>
        <v>2</v>
      </c>
      <c r="B12" s="19"/>
      <c r="C12" s="20"/>
      <c r="D12" s="20"/>
      <c r="E12" s="20"/>
      <c r="F12" s="20"/>
      <c r="G12" s="20"/>
      <c r="H12" s="20"/>
      <c r="I12" s="20"/>
      <c r="J12" s="20"/>
      <c r="K12" s="11">
        <f>K11+1</f>
        <v>2</v>
      </c>
    </row>
    <row r="13" spans="1:11" x14ac:dyDescent="0.3">
      <c r="A13" s="11">
        <f t="shared" ref="A13:A33" si="0">A12+1</f>
        <v>3</v>
      </c>
      <c r="B13" s="14" t="str">
        <f>'A-Revenues@Changed Rates'!B13</f>
        <v xml:space="preserve">Small Commercial </v>
      </c>
      <c r="C13" s="18">
        <f>'A-Billing Determinants'!K14</f>
        <v>187866125.35447705</v>
      </c>
      <c r="D13" s="18"/>
      <c r="E13" s="18">
        <f>'A-Billing Determinants'!M14</f>
        <v>194140303.01661658</v>
      </c>
      <c r="F13" s="18"/>
      <c r="G13" s="18">
        <f>'B-Billing Determinants'!C14</f>
        <v>217323569.30803531</v>
      </c>
      <c r="H13" s="18"/>
      <c r="I13" s="18">
        <f>'B-Billing Determinants'!E14</f>
        <v>229243879.39853665</v>
      </c>
      <c r="J13" s="18"/>
      <c r="K13" s="11">
        <f t="shared" ref="K13:K33" si="1">K12+1</f>
        <v>3</v>
      </c>
    </row>
    <row r="14" spans="1:11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27"/>
      <c r="J14" s="27"/>
      <c r="K14" s="11">
        <f t="shared" si="1"/>
        <v>4</v>
      </c>
    </row>
    <row r="15" spans="1:11" x14ac:dyDescent="0.3">
      <c r="A15" s="11">
        <f t="shared" si="0"/>
        <v>5</v>
      </c>
      <c r="B15" s="14" t="str">
        <f>'A-Revenues@Changed Rates'!B15</f>
        <v xml:space="preserve">Medium and Large Commercial/Industrial </v>
      </c>
      <c r="C15" s="18">
        <f>'A-Billing Determinants'!K16</f>
        <v>693440612.41296256</v>
      </c>
      <c r="D15" s="18"/>
      <c r="E15" s="18">
        <f>'A-Billing Determinants'!M16</f>
        <v>723617546.56166637</v>
      </c>
      <c r="F15" s="18"/>
      <c r="G15" s="18">
        <f>'B-Billing Determinants'!C16</f>
        <v>806489656.84811842</v>
      </c>
      <c r="H15" s="18"/>
      <c r="I15" s="18">
        <f>'B-Billing Determinants'!E16</f>
        <v>833968518.35937226</v>
      </c>
      <c r="J15" s="18"/>
      <c r="K15" s="11">
        <f t="shared" si="1"/>
        <v>5</v>
      </c>
    </row>
    <row r="16" spans="1:11" x14ac:dyDescent="0.3">
      <c r="A16" s="11">
        <f t="shared" si="0"/>
        <v>6</v>
      </c>
      <c r="B16" s="14" t="str">
        <f>'A-Revenues@Changed Rates'!B16</f>
        <v xml:space="preserve">     Non-Coincident (100%)</v>
      </c>
      <c r="C16" s="18"/>
      <c r="D16" s="18">
        <f>'A-Billing Determinants'!L17</f>
        <v>0</v>
      </c>
      <c r="E16" s="18"/>
      <c r="F16" s="18">
        <f>'A-Billing Determinants'!N17</f>
        <v>0</v>
      </c>
      <c r="G16" s="18"/>
      <c r="H16" s="18">
        <f>'B-Billing Determinants'!D17</f>
        <v>0</v>
      </c>
      <c r="I16" s="18"/>
      <c r="J16" s="18">
        <f>'B-Billing Determinants'!F17</f>
        <v>0</v>
      </c>
      <c r="K16" s="11">
        <f t="shared" si="1"/>
        <v>6</v>
      </c>
    </row>
    <row r="17" spans="1:11" x14ac:dyDescent="0.3">
      <c r="A17" s="11">
        <f t="shared" si="0"/>
        <v>7</v>
      </c>
      <c r="B17" s="14" t="str">
        <f>'A-Revenues@Changed Rates'!B17</f>
        <v xml:space="preserve">     Non-Coincident (90%)</v>
      </c>
      <c r="C17" s="18"/>
      <c r="D17" s="18">
        <f>'A-Billing Determinants'!L18</f>
        <v>1661266.930896152</v>
      </c>
      <c r="E17" s="18"/>
      <c r="F17" s="18">
        <f>'A-Billing Determinants'!N18</f>
        <v>1731620.4057714671</v>
      </c>
      <c r="G17" s="18"/>
      <c r="H17" s="18">
        <f>'B-Billing Determinants'!D18</f>
        <v>1928989.3912187191</v>
      </c>
      <c r="I17" s="18"/>
      <c r="J17" s="18">
        <f>'B-Billing Determinants'!F18</f>
        <v>1996935.5768869664</v>
      </c>
      <c r="K17" s="11">
        <f t="shared" si="1"/>
        <v>7</v>
      </c>
    </row>
    <row r="18" spans="1:11" x14ac:dyDescent="0.3">
      <c r="A18" s="11">
        <f t="shared" si="0"/>
        <v>8</v>
      </c>
      <c r="B18" s="14" t="str">
        <f>'A-Revenues@Changed Rates'!B18</f>
        <v xml:space="preserve">     Maximum On-Peak Period Demand-Standard Customers</v>
      </c>
      <c r="C18" s="18"/>
      <c r="D18" s="18">
        <f>'A-Billing Determinants'!L19</f>
        <v>1419878.3086426107</v>
      </c>
      <c r="E18" s="18"/>
      <c r="F18" s="18">
        <f>'A-Billing Determinants'!N19</f>
        <v>1504852.9713927018</v>
      </c>
      <c r="G18" s="18"/>
      <c r="H18" s="18">
        <f>'B-Billing Determinants'!D19</f>
        <v>1673288.1227493715</v>
      </c>
      <c r="I18" s="18"/>
      <c r="J18" s="18">
        <f>'B-Billing Determinants'!F19</f>
        <v>1739492.1533405944</v>
      </c>
      <c r="K18" s="11">
        <f t="shared" si="1"/>
        <v>8</v>
      </c>
    </row>
    <row r="19" spans="1:11" x14ac:dyDescent="0.3">
      <c r="A19" s="11">
        <f t="shared" si="0"/>
        <v>9</v>
      </c>
      <c r="B19" s="14" t="str">
        <f>'A-Revenues@Changed Rates'!B19</f>
        <v xml:space="preserve">     Maximum Demand at the Time of System Peak-Standard Customers</v>
      </c>
      <c r="C19" s="18"/>
      <c r="D19" s="18">
        <f>'A-Billing Determinants'!L20</f>
        <v>130892.73138003012</v>
      </c>
      <c r="E19" s="18"/>
      <c r="F19" s="18">
        <f>'A-Billing Determinants'!N20</f>
        <v>126774.89078669998</v>
      </c>
      <c r="G19" s="18"/>
      <c r="H19" s="18">
        <f>'B-Billing Determinants'!D20</f>
        <v>143618.92444637683</v>
      </c>
      <c r="I19" s="18"/>
      <c r="J19" s="18">
        <f>'B-Billing Determinants'!F20</f>
        <v>143043.26313787894</v>
      </c>
      <c r="K19" s="11">
        <f t="shared" si="1"/>
        <v>9</v>
      </c>
    </row>
    <row r="20" spans="1:11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8"/>
      <c r="J20" s="18"/>
      <c r="K20" s="11">
        <f t="shared" si="1"/>
        <v>10</v>
      </c>
    </row>
    <row r="21" spans="1:11" x14ac:dyDescent="0.3">
      <c r="A21" s="11">
        <f t="shared" si="0"/>
        <v>11</v>
      </c>
      <c r="B21" s="127" t="s">
        <v>26</v>
      </c>
      <c r="C21" s="18">
        <f>'A-Billing Determinants'!K24</f>
        <v>195560</v>
      </c>
      <c r="D21" s="18"/>
      <c r="E21" s="18">
        <f>'A-Billing Determinants'!M24</f>
        <v>0</v>
      </c>
      <c r="F21" s="18"/>
      <c r="G21" s="18">
        <f>'B-Billing Determinants'!C24</f>
        <v>0</v>
      </c>
      <c r="H21" s="18"/>
      <c r="I21" s="18">
        <f>'B-Billing Determinants'!E24</f>
        <v>0</v>
      </c>
      <c r="J21" s="18"/>
      <c r="K21" s="11">
        <f t="shared" si="1"/>
        <v>11</v>
      </c>
    </row>
    <row r="22" spans="1:11" x14ac:dyDescent="0.3">
      <c r="A22" s="11">
        <f t="shared" si="0"/>
        <v>12</v>
      </c>
      <c r="B22" s="14" t="s">
        <v>74</v>
      </c>
      <c r="C22" s="18"/>
      <c r="D22" s="18">
        <f>'A-Billing Determinants'!L25</f>
        <v>8700</v>
      </c>
      <c r="E22" s="18"/>
      <c r="F22" s="18">
        <f>'A-Billing Determinants'!N25</f>
        <v>8800</v>
      </c>
      <c r="G22" s="18"/>
      <c r="H22" s="18">
        <f>'B-Billing Determinants'!D25</f>
        <v>9900</v>
      </c>
      <c r="I22" s="18"/>
      <c r="J22" s="18">
        <f>'B-Billing Determinants'!F25</f>
        <v>8000</v>
      </c>
      <c r="K22" s="11">
        <f t="shared" si="1"/>
        <v>12</v>
      </c>
    </row>
    <row r="23" spans="1:11" x14ac:dyDescent="0.3">
      <c r="A23" s="11">
        <f t="shared" si="0"/>
        <v>13</v>
      </c>
      <c r="B23" s="14" t="s">
        <v>77</v>
      </c>
      <c r="C23" s="18"/>
      <c r="D23" s="18">
        <f>'A-Billing Determinants'!L26</f>
        <v>0</v>
      </c>
      <c r="E23" s="18"/>
      <c r="F23" s="18">
        <f>'A-Billing Determinants'!N26</f>
        <v>0</v>
      </c>
      <c r="G23" s="18"/>
      <c r="H23" s="18">
        <f>'B-Billing Determinants'!D26</f>
        <v>0</v>
      </c>
      <c r="I23" s="18"/>
      <c r="J23" s="18">
        <f>'B-Billing Determinants'!F26</f>
        <v>0</v>
      </c>
      <c r="K23" s="11">
        <f t="shared" si="1"/>
        <v>13</v>
      </c>
    </row>
    <row r="24" spans="1:11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18"/>
      <c r="J24" s="18"/>
      <c r="K24" s="11">
        <f t="shared" si="1"/>
        <v>14</v>
      </c>
    </row>
    <row r="25" spans="1:11" x14ac:dyDescent="0.3">
      <c r="A25" s="11">
        <f t="shared" si="0"/>
        <v>15</v>
      </c>
      <c r="B25" s="14" t="s">
        <v>78</v>
      </c>
      <c r="C25" s="18"/>
      <c r="D25" s="18"/>
      <c r="E25" s="18"/>
      <c r="F25" s="18"/>
      <c r="G25" s="18"/>
      <c r="H25" s="18"/>
      <c r="I25" s="18"/>
      <c r="J25" s="18"/>
      <c r="K25" s="11">
        <f t="shared" si="1"/>
        <v>15</v>
      </c>
    </row>
    <row r="26" spans="1:11" x14ac:dyDescent="0.3">
      <c r="A26" s="11">
        <f t="shared" si="0"/>
        <v>16</v>
      </c>
      <c r="B26" s="14" t="s">
        <v>79</v>
      </c>
      <c r="C26" s="18">
        <f>'A-Billing Determinants'!K29</f>
        <v>13494394.209383002</v>
      </c>
      <c r="D26" s="18"/>
      <c r="E26" s="18">
        <f>'A-Billing Determinants'!M29</f>
        <v>15277102.085518412</v>
      </c>
      <c r="F26" s="18"/>
      <c r="G26" s="18">
        <f>'B-Billing Determinants'!C29</f>
        <v>17674212.425930995</v>
      </c>
      <c r="H26" s="18"/>
      <c r="I26" s="18">
        <f>'B-Billing Determinants'!E29</f>
        <v>19350930.552889984</v>
      </c>
      <c r="J26" s="18"/>
      <c r="K26" s="11">
        <f t="shared" si="1"/>
        <v>16</v>
      </c>
    </row>
    <row r="27" spans="1:11" x14ac:dyDescent="0.3">
      <c r="A27" s="11">
        <f t="shared" si="0"/>
        <v>17</v>
      </c>
      <c r="B27" s="14" t="s">
        <v>73</v>
      </c>
      <c r="C27" s="18">
        <f>'A-Billing Determinants'!K30</f>
        <v>18980076.654593214</v>
      </c>
      <c r="D27" s="18">
        <f>'A-Billing Determinants'!L30</f>
        <v>64106.284433600675</v>
      </c>
      <c r="E27" s="18">
        <f>'A-Billing Determinants'!M30</f>
        <v>19791045.53676001</v>
      </c>
      <c r="F27" s="18">
        <f>'A-Billing Determinants'!N30</f>
        <v>67541.628115989137</v>
      </c>
      <c r="G27" s="18">
        <f>'B-Billing Determinants'!C30</f>
        <v>21824505.864378165</v>
      </c>
      <c r="H27" s="18">
        <f>'B-Billing Determinants'!D30</f>
        <v>74481.29287404858</v>
      </c>
      <c r="I27" s="18">
        <f>'B-Billing Determinants'!E30</f>
        <v>21947825.423344754</v>
      </c>
      <c r="J27" s="18">
        <f>'B-Billing Determinants'!F30</f>
        <v>74902.150063007008</v>
      </c>
      <c r="K27" s="11">
        <f t="shared" si="1"/>
        <v>17</v>
      </c>
    </row>
    <row r="28" spans="1:11" x14ac:dyDescent="0.3">
      <c r="A28" s="11">
        <f t="shared" si="0"/>
        <v>18</v>
      </c>
      <c r="B28" s="14"/>
      <c r="C28" s="18"/>
      <c r="D28" s="18"/>
      <c r="E28" s="18"/>
      <c r="F28" s="18"/>
      <c r="G28" s="18"/>
      <c r="H28" s="18"/>
      <c r="I28" s="18"/>
      <c r="J28" s="18"/>
      <c r="K28" s="11">
        <f t="shared" si="1"/>
        <v>18</v>
      </c>
    </row>
    <row r="29" spans="1:11" x14ac:dyDescent="0.3">
      <c r="A29" s="11">
        <f t="shared" si="0"/>
        <v>19</v>
      </c>
      <c r="B29" s="14" t="str">
        <f>'A-Revenues@Changed Rates'!B29</f>
        <v>Street Lighting</v>
      </c>
      <c r="C29" s="18">
        <f>'A-Billing Determinants'!K32</f>
        <v>6687434.930758276</v>
      </c>
      <c r="D29" s="18"/>
      <c r="E29" s="18">
        <f>'A-Billing Determinants'!M32</f>
        <v>6721237.4505943088</v>
      </c>
      <c r="F29" s="18"/>
      <c r="G29" s="18">
        <f>'B-Billing Determinants'!C32</f>
        <v>6678722.3135911068</v>
      </c>
      <c r="H29" s="18"/>
      <c r="I29" s="18">
        <f>'B-Billing Determinants'!E32</f>
        <v>6838779.9659992624</v>
      </c>
      <c r="J29" s="18"/>
      <c r="K29" s="11">
        <f t="shared" si="1"/>
        <v>19</v>
      </c>
    </row>
    <row r="30" spans="1:11" x14ac:dyDescent="0.3">
      <c r="A30" s="11">
        <f t="shared" si="0"/>
        <v>20</v>
      </c>
      <c r="B30" s="14"/>
      <c r="C30" s="18"/>
      <c r="D30" s="18"/>
      <c r="E30" s="18"/>
      <c r="F30" s="18"/>
      <c r="G30" s="18"/>
      <c r="H30" s="18"/>
      <c r="I30" s="18"/>
      <c r="J30" s="18"/>
      <c r="K30" s="11">
        <f t="shared" si="1"/>
        <v>20</v>
      </c>
    </row>
    <row r="31" spans="1:11" x14ac:dyDescent="0.3">
      <c r="A31" s="11">
        <f t="shared" si="0"/>
        <v>21</v>
      </c>
      <c r="B31" s="14" t="str">
        <f>'A-Revenues@Changed Rates'!B31</f>
        <v>Standby</v>
      </c>
      <c r="C31" s="22"/>
      <c r="D31" s="22">
        <f>'A-Billing Determinants'!L36</f>
        <v>145506</v>
      </c>
      <c r="E31" s="22"/>
      <c r="F31" s="22">
        <f>'A-Billing Determinants'!N36</f>
        <v>145506</v>
      </c>
      <c r="G31" s="22"/>
      <c r="H31" s="22">
        <f>'B-Billing Determinants'!D36</f>
        <v>145506</v>
      </c>
      <c r="I31" s="22"/>
      <c r="J31" s="22">
        <f>'B-Billing Determinants'!F36</f>
        <v>145506</v>
      </c>
      <c r="K31" s="11">
        <f t="shared" si="1"/>
        <v>21</v>
      </c>
    </row>
    <row r="32" spans="1:11" x14ac:dyDescent="0.3">
      <c r="A32" s="11">
        <f t="shared" si="0"/>
        <v>22</v>
      </c>
      <c r="B32" s="14"/>
      <c r="C32" s="18"/>
      <c r="D32" s="18"/>
      <c r="E32" s="18"/>
      <c r="F32" s="18"/>
      <c r="G32" s="18"/>
      <c r="H32" s="18"/>
      <c r="I32" s="18"/>
      <c r="J32" s="18"/>
      <c r="K32" s="11">
        <f t="shared" si="1"/>
        <v>22</v>
      </c>
    </row>
    <row r="33" spans="1:11" ht="19.5" thickBot="1" x14ac:dyDescent="0.35">
      <c r="A33" s="11">
        <f t="shared" si="0"/>
        <v>23</v>
      </c>
      <c r="B33" s="19" t="s">
        <v>60</v>
      </c>
      <c r="C33" s="23">
        <f>SUM(C11:C31)</f>
        <v>1211014329.7221324</v>
      </c>
      <c r="D33" s="23"/>
      <c r="E33" s="23">
        <f>SUM(E11:E31)</f>
        <v>1269520075.9727998</v>
      </c>
      <c r="F33" s="23"/>
      <c r="G33" s="23">
        <f>SUM(G11:G31)</f>
        <v>1480140984.7341466</v>
      </c>
      <c r="H33" s="23"/>
      <c r="I33" s="23">
        <f>SUM(I11:I31)</f>
        <v>1659308976.5439005</v>
      </c>
      <c r="J33" s="23"/>
      <c r="K33" s="11">
        <f t="shared" si="1"/>
        <v>23</v>
      </c>
    </row>
    <row r="34" spans="1:11" ht="19.5" thickTop="1" x14ac:dyDescent="0.3">
      <c r="A34" s="17"/>
      <c r="B34" s="24"/>
      <c r="C34" s="22"/>
      <c r="D34" s="22"/>
      <c r="E34" s="22"/>
      <c r="F34" s="22"/>
      <c r="G34" s="22"/>
      <c r="H34" s="22"/>
      <c r="I34" s="22"/>
      <c r="J34" s="22"/>
      <c r="K34" s="24"/>
    </row>
    <row r="35" spans="1:11" x14ac:dyDescent="0.3">
      <c r="B35" s="97" t="str">
        <f>'A-Revenues@Changed Rates'!B35</f>
        <v xml:space="preserve">NOTES: </v>
      </c>
      <c r="C35" s="25"/>
      <c r="D35" s="25"/>
      <c r="E35" s="25"/>
      <c r="F35" s="25"/>
      <c r="G35" s="25"/>
      <c r="H35" s="25"/>
      <c r="I35" s="25"/>
      <c r="J35" s="25"/>
    </row>
    <row r="36" spans="1:11" ht="22.5" x14ac:dyDescent="0.3">
      <c r="A36" s="77">
        <v>1</v>
      </c>
      <c r="B36" s="74" t="s">
        <v>467</v>
      </c>
      <c r="C36" s="25"/>
      <c r="D36" s="25"/>
      <c r="E36" s="25"/>
      <c r="F36" s="25"/>
      <c r="G36" s="25"/>
      <c r="H36" s="25"/>
      <c r="I36" s="25"/>
      <c r="J36" s="25"/>
    </row>
    <row r="37" spans="1:11" x14ac:dyDescent="0.3">
      <c r="A37" s="7"/>
    </row>
    <row r="38" spans="1:11" x14ac:dyDescent="0.3">
      <c r="A38" s="8"/>
      <c r="B38" s="8"/>
      <c r="C38" s="9" t="s">
        <v>50</v>
      </c>
      <c r="D38" s="10"/>
      <c r="E38" s="9" t="s">
        <v>51</v>
      </c>
      <c r="F38" s="10"/>
      <c r="G38" s="9" t="s">
        <v>52</v>
      </c>
      <c r="H38" s="10"/>
      <c r="I38" s="9" t="s">
        <v>103</v>
      </c>
      <c r="J38" s="10"/>
      <c r="K38" s="8"/>
    </row>
    <row r="39" spans="1:11" x14ac:dyDescent="0.3">
      <c r="A39" s="11"/>
      <c r="B39" s="11"/>
      <c r="C39" s="427">
        <f>C7</f>
        <v>46143</v>
      </c>
      <c r="D39" s="428"/>
      <c r="E39" s="427">
        <f>E7</f>
        <v>46174</v>
      </c>
      <c r="F39" s="428"/>
      <c r="G39" s="427">
        <f>G7</f>
        <v>46204</v>
      </c>
      <c r="H39" s="428"/>
      <c r="I39" s="427">
        <f>I7</f>
        <v>46235</v>
      </c>
      <c r="J39" s="428"/>
      <c r="K39" s="11"/>
    </row>
    <row r="40" spans="1:11" x14ac:dyDescent="0.3">
      <c r="A40" s="11" t="s">
        <v>8</v>
      </c>
      <c r="B40" s="14"/>
      <c r="C40" s="15" t="s">
        <v>83</v>
      </c>
      <c r="D40" s="16"/>
      <c r="E40" s="15" t="s">
        <v>83</v>
      </c>
      <c r="F40" s="16"/>
      <c r="G40" s="15" t="s">
        <v>83</v>
      </c>
      <c r="H40" s="16"/>
      <c r="I40" s="15" t="s">
        <v>83</v>
      </c>
      <c r="J40" s="16"/>
      <c r="K40" s="11" t="s">
        <v>8</v>
      </c>
    </row>
    <row r="41" spans="1:11" x14ac:dyDescent="0.3">
      <c r="A41" s="17" t="s">
        <v>10</v>
      </c>
      <c r="B41" s="17" t="s">
        <v>11</v>
      </c>
      <c r="C41" s="17" t="s">
        <v>69</v>
      </c>
      <c r="D41" s="17" t="s">
        <v>70</v>
      </c>
      <c r="E41" s="17" t="s">
        <v>69</v>
      </c>
      <c r="F41" s="17" t="s">
        <v>70</v>
      </c>
      <c r="G41" s="17" t="s">
        <v>69</v>
      </c>
      <c r="H41" s="17" t="s">
        <v>70</v>
      </c>
      <c r="I41" s="17" t="s">
        <v>69</v>
      </c>
      <c r="J41" s="17" t="s">
        <v>70</v>
      </c>
      <c r="K41" s="17" t="s">
        <v>10</v>
      </c>
    </row>
    <row r="42" spans="1:1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22.5" x14ac:dyDescent="0.3">
      <c r="A43" s="11">
        <f>A33+1</f>
        <v>24</v>
      </c>
      <c r="B43" s="14" t="s">
        <v>84</v>
      </c>
      <c r="C43" s="102">
        <f>'A-Revenues@Changed Rates'!C43</f>
        <v>0.10392999999999999</v>
      </c>
      <c r="D43" s="47"/>
      <c r="E43" s="102">
        <f>C43</f>
        <v>0.10392999999999999</v>
      </c>
      <c r="F43" s="47"/>
      <c r="G43" s="102">
        <f>E43</f>
        <v>0.10392999999999999</v>
      </c>
      <c r="H43" s="47"/>
      <c r="I43" s="102">
        <f>G43</f>
        <v>0.10392999999999999</v>
      </c>
      <c r="J43" s="47"/>
      <c r="K43" s="11">
        <f>K33+1</f>
        <v>24</v>
      </c>
    </row>
    <row r="44" spans="1:11" x14ac:dyDescent="0.3">
      <c r="A44" s="11">
        <f>A43+1</f>
        <v>25</v>
      </c>
      <c r="B44" s="19"/>
      <c r="C44" s="20"/>
      <c r="D44" s="20"/>
      <c r="E44" s="20"/>
      <c r="F44" s="20"/>
      <c r="G44" s="20"/>
      <c r="H44" s="20"/>
      <c r="I44" s="20"/>
      <c r="J44" s="20"/>
      <c r="K44" s="11">
        <f>K43+1</f>
        <v>25</v>
      </c>
    </row>
    <row r="45" spans="1:11" ht="22.5" x14ac:dyDescent="0.3">
      <c r="A45" s="11">
        <f t="shared" ref="A45:A55" si="2">A44+1</f>
        <v>26</v>
      </c>
      <c r="B45" s="14" t="s">
        <v>85</v>
      </c>
      <c r="C45" s="102">
        <f>'A-Revenues@Changed Rates'!C45</f>
        <v>5.663E-2</v>
      </c>
      <c r="D45" s="47"/>
      <c r="E45" s="102">
        <f>C45</f>
        <v>5.663E-2</v>
      </c>
      <c r="F45" s="47"/>
      <c r="G45" s="102">
        <f>E45</f>
        <v>5.663E-2</v>
      </c>
      <c r="H45" s="47"/>
      <c r="I45" s="102">
        <f>G45</f>
        <v>5.663E-2</v>
      </c>
      <c r="J45" s="47"/>
      <c r="K45" s="11">
        <f t="shared" ref="K45:K55" si="3">K44+1</f>
        <v>26</v>
      </c>
    </row>
    <row r="46" spans="1:11" x14ac:dyDescent="0.3">
      <c r="A46" s="11">
        <f t="shared" si="2"/>
        <v>27</v>
      </c>
      <c r="B46" s="21"/>
      <c r="C46" s="27"/>
      <c r="D46" s="27"/>
      <c r="E46" s="27"/>
      <c r="F46" s="27"/>
      <c r="G46" s="27"/>
      <c r="H46" s="27"/>
      <c r="I46" s="27"/>
      <c r="J46" s="27"/>
      <c r="K46" s="11">
        <f t="shared" si="3"/>
        <v>27</v>
      </c>
    </row>
    <row r="47" spans="1:11" ht="22.5" x14ac:dyDescent="0.3">
      <c r="A47" s="11">
        <f t="shared" si="2"/>
        <v>28</v>
      </c>
      <c r="B47" s="14" t="s">
        <v>86</v>
      </c>
      <c r="C47" s="47"/>
      <c r="D47" s="47"/>
      <c r="E47" s="47"/>
      <c r="F47" s="47"/>
      <c r="G47" s="47"/>
      <c r="H47" s="47"/>
      <c r="I47" s="47"/>
      <c r="J47" s="47"/>
      <c r="K47" s="11">
        <f t="shared" si="3"/>
        <v>28</v>
      </c>
    </row>
    <row r="48" spans="1:11" x14ac:dyDescent="0.3">
      <c r="A48" s="11">
        <f t="shared" si="2"/>
        <v>29</v>
      </c>
      <c r="B48" s="14"/>
      <c r="C48" s="47"/>
      <c r="D48" s="47"/>
      <c r="E48" s="47"/>
      <c r="F48" s="47"/>
      <c r="G48" s="47"/>
      <c r="H48" s="47"/>
      <c r="I48" s="47"/>
      <c r="J48" s="47"/>
      <c r="K48" s="11">
        <f t="shared" si="3"/>
        <v>29</v>
      </c>
    </row>
    <row r="49" spans="1:11" ht="22.5" x14ac:dyDescent="0.3">
      <c r="A49" s="11">
        <f t="shared" si="2"/>
        <v>30</v>
      </c>
      <c r="B49" s="14" t="s">
        <v>87</v>
      </c>
      <c r="C49" s="47"/>
      <c r="D49" s="47"/>
      <c r="E49" s="47"/>
      <c r="F49" s="47"/>
      <c r="G49" s="47"/>
      <c r="H49" s="47"/>
      <c r="I49" s="47"/>
      <c r="J49" s="47"/>
      <c r="K49" s="11">
        <f t="shared" si="3"/>
        <v>30</v>
      </c>
    </row>
    <row r="50" spans="1:11" x14ac:dyDescent="0.3">
      <c r="A50" s="11">
        <f t="shared" si="2"/>
        <v>31</v>
      </c>
      <c r="B50" s="14"/>
      <c r="C50" s="47"/>
      <c r="D50" s="47"/>
      <c r="E50" s="47"/>
      <c r="F50" s="47"/>
      <c r="G50" s="47"/>
      <c r="H50" s="47"/>
      <c r="I50" s="47"/>
      <c r="J50" s="47"/>
      <c r="K50" s="11">
        <f t="shared" si="3"/>
        <v>31</v>
      </c>
    </row>
    <row r="51" spans="1:11" ht="22.5" x14ac:dyDescent="0.3">
      <c r="A51" s="11">
        <f t="shared" si="2"/>
        <v>32</v>
      </c>
      <c r="B51" s="14" t="s">
        <v>88</v>
      </c>
      <c r="C51" s="102">
        <f>'A-Revenues@Changed Rates'!I51</f>
        <v>3.3610000000000001E-2</v>
      </c>
      <c r="D51" s="47"/>
      <c r="E51" s="102">
        <f>C51</f>
        <v>3.3610000000000001E-2</v>
      </c>
      <c r="F51" s="47"/>
      <c r="G51" s="102">
        <f>E51</f>
        <v>3.3610000000000001E-2</v>
      </c>
      <c r="H51" s="47"/>
      <c r="I51" s="102">
        <f>G51</f>
        <v>3.3610000000000001E-2</v>
      </c>
      <c r="J51" s="47"/>
      <c r="K51" s="11">
        <f t="shared" si="3"/>
        <v>32</v>
      </c>
    </row>
    <row r="52" spans="1:11" x14ac:dyDescent="0.3">
      <c r="A52" s="11">
        <f t="shared" si="2"/>
        <v>33</v>
      </c>
      <c r="B52" s="14"/>
      <c r="C52" s="47"/>
      <c r="D52" s="47"/>
      <c r="E52" s="47"/>
      <c r="F52" s="47"/>
      <c r="G52" s="47"/>
      <c r="H52" s="47"/>
      <c r="I52" s="47"/>
      <c r="J52" s="47"/>
      <c r="K52" s="11">
        <f t="shared" si="3"/>
        <v>33</v>
      </c>
    </row>
    <row r="53" spans="1:11" ht="22.5" x14ac:dyDescent="0.3">
      <c r="A53" s="11">
        <f t="shared" si="2"/>
        <v>34</v>
      </c>
      <c r="B53" s="14" t="s">
        <v>89</v>
      </c>
      <c r="C53" s="102">
        <f>'A-Revenues@Changed Rates'!C53</f>
        <v>4.3999999999999997E-2</v>
      </c>
      <c r="D53" s="47"/>
      <c r="E53" s="102">
        <f>C53</f>
        <v>4.3999999999999997E-2</v>
      </c>
      <c r="F53" s="47"/>
      <c r="G53" s="102">
        <f>E53</f>
        <v>4.3999999999999997E-2</v>
      </c>
      <c r="H53" s="47"/>
      <c r="I53" s="102">
        <f>G53</f>
        <v>4.3999999999999997E-2</v>
      </c>
      <c r="J53" s="47"/>
      <c r="K53" s="11">
        <f t="shared" si="3"/>
        <v>34</v>
      </c>
    </row>
    <row r="54" spans="1:11" x14ac:dyDescent="0.3">
      <c r="A54" s="11">
        <f t="shared" si="2"/>
        <v>35</v>
      </c>
      <c r="B54" s="14"/>
      <c r="C54" s="47"/>
      <c r="D54" s="47"/>
      <c r="E54" s="47"/>
      <c r="F54" s="47"/>
      <c r="G54" s="47"/>
      <c r="H54" s="47"/>
      <c r="I54" s="47"/>
      <c r="J54" s="47"/>
      <c r="K54" s="11">
        <f t="shared" si="3"/>
        <v>35</v>
      </c>
    </row>
    <row r="55" spans="1:11" ht="22.5" x14ac:dyDescent="0.3">
      <c r="A55" s="11">
        <f t="shared" si="2"/>
        <v>36</v>
      </c>
      <c r="B55" s="19" t="s">
        <v>90</v>
      </c>
      <c r="C55" s="20"/>
      <c r="D55" s="20"/>
      <c r="E55" s="20"/>
      <c r="F55" s="20"/>
      <c r="G55" s="20"/>
      <c r="H55" s="20"/>
      <c r="I55" s="20"/>
      <c r="J55" s="20"/>
      <c r="K55" s="11">
        <f t="shared" si="3"/>
        <v>36</v>
      </c>
    </row>
    <row r="56" spans="1:11" x14ac:dyDescent="0.3">
      <c r="A56" s="17"/>
      <c r="B56" s="24"/>
      <c r="C56" s="57"/>
      <c r="D56" s="57"/>
      <c r="E56" s="57"/>
      <c r="F56" s="57"/>
      <c r="G56" s="57"/>
      <c r="H56" s="57"/>
      <c r="I56" s="57"/>
      <c r="J56" s="57"/>
      <c r="K56" s="24"/>
    </row>
    <row r="57" spans="1:11" x14ac:dyDescent="0.3">
      <c r="B57" s="97" t="str">
        <f>'A-Revenues@Changed Rates'!B57</f>
        <v>NOTES:</v>
      </c>
      <c r="C57" s="103"/>
      <c r="D57" s="103"/>
      <c r="E57" s="103"/>
      <c r="F57" s="103"/>
      <c r="G57" s="103"/>
      <c r="H57" s="103"/>
      <c r="I57" s="103"/>
      <c r="J57" s="103"/>
    </row>
    <row r="58" spans="1:11" ht="22.5" x14ac:dyDescent="0.3">
      <c r="A58" s="76" t="s">
        <v>91</v>
      </c>
      <c r="B58" s="1" t="str">
        <f>'A-Revenues@Changed Rates'!B58</f>
        <v>The changed rates information comes from Statement BL, Page BL-1, Column A, Lines 1 through 41.</v>
      </c>
    </row>
    <row r="59" spans="1:11" ht="22.5" x14ac:dyDescent="0.3">
      <c r="A59" s="76" t="s">
        <v>93</v>
      </c>
      <c r="B59" s="1" t="str">
        <f>'A-Revenues@Changed Rates'!B59</f>
        <v>The demand rates for Medium &amp; Large Commercial/Industrial, Schedule PA-T-1, and Standby customers are shown on Pages BG-6, BG-7, BG-8, BG-9, BG-13, and BG-14.</v>
      </c>
    </row>
    <row r="60" spans="1:11" x14ac:dyDescent="0.3">
      <c r="A60" s="7"/>
    </row>
    <row r="61" spans="1:11" x14ac:dyDescent="0.3">
      <c r="A61" s="8"/>
      <c r="B61" s="8"/>
      <c r="C61" s="9" t="s">
        <v>50</v>
      </c>
      <c r="D61" s="10"/>
      <c r="E61" s="9" t="s">
        <v>51</v>
      </c>
      <c r="F61" s="10"/>
      <c r="G61" s="9" t="s">
        <v>52</v>
      </c>
      <c r="H61" s="10"/>
      <c r="I61" s="9" t="s">
        <v>103</v>
      </c>
      <c r="J61" s="10"/>
      <c r="K61" s="8"/>
    </row>
    <row r="62" spans="1:11" x14ac:dyDescent="0.3">
      <c r="A62" s="11"/>
      <c r="B62" s="11"/>
      <c r="C62" s="427">
        <f>C39</f>
        <v>46143</v>
      </c>
      <c r="D62" s="428"/>
      <c r="E62" s="427">
        <f>E39</f>
        <v>46174</v>
      </c>
      <c r="F62" s="428"/>
      <c r="G62" s="427">
        <f>G39</f>
        <v>46204</v>
      </c>
      <c r="H62" s="428"/>
      <c r="I62" s="427">
        <f>I39</f>
        <v>46235</v>
      </c>
      <c r="J62" s="428"/>
      <c r="K62" s="11"/>
    </row>
    <row r="63" spans="1:11" ht="22.5" x14ac:dyDescent="0.3">
      <c r="A63" s="11" t="s">
        <v>8</v>
      </c>
      <c r="B63" s="14"/>
      <c r="C63" s="15" t="s">
        <v>95</v>
      </c>
      <c r="D63" s="16"/>
      <c r="E63" s="15" t="s">
        <v>95</v>
      </c>
      <c r="F63" s="16"/>
      <c r="G63" s="15" t="s">
        <v>95</v>
      </c>
      <c r="H63" s="16"/>
      <c r="I63" s="15" t="s">
        <v>95</v>
      </c>
      <c r="J63" s="16"/>
      <c r="K63" s="11" t="s">
        <v>8</v>
      </c>
    </row>
    <row r="64" spans="1:11" x14ac:dyDescent="0.3">
      <c r="A64" s="17" t="s">
        <v>10</v>
      </c>
      <c r="B64" s="17" t="s">
        <v>11</v>
      </c>
      <c r="C64" s="17" t="s">
        <v>69</v>
      </c>
      <c r="D64" s="17" t="s">
        <v>70</v>
      </c>
      <c r="E64" s="17" t="s">
        <v>69</v>
      </c>
      <c r="F64" s="17" t="s">
        <v>70</v>
      </c>
      <c r="G64" s="17" t="s">
        <v>69</v>
      </c>
      <c r="H64" s="17" t="s">
        <v>70</v>
      </c>
      <c r="I64" s="17" t="s">
        <v>69</v>
      </c>
      <c r="J64" s="17" t="s">
        <v>70</v>
      </c>
      <c r="K64" s="17" t="s">
        <v>10</v>
      </c>
    </row>
    <row r="65" spans="1:1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60"/>
    </row>
    <row r="66" spans="1:11" x14ac:dyDescent="0.3">
      <c r="A66" s="11">
        <f>A55+1</f>
        <v>37</v>
      </c>
      <c r="B66" s="14" t="str">
        <f>'A-Revenues@Changed Rates'!B66</f>
        <v>Residential</v>
      </c>
      <c r="C66" s="40">
        <f t="shared" ref="C66:J66" si="4">C11*C43</f>
        <v>30176088.611804467</v>
      </c>
      <c r="D66" s="40">
        <f t="shared" si="4"/>
        <v>0</v>
      </c>
      <c r="E66" s="40">
        <f t="shared" si="4"/>
        <v>32215477.398558449</v>
      </c>
      <c r="F66" s="40">
        <f t="shared" si="4"/>
        <v>0</v>
      </c>
      <c r="G66" s="40">
        <f t="shared" si="4"/>
        <v>42626922.547047451</v>
      </c>
      <c r="H66" s="40">
        <f t="shared" si="4"/>
        <v>0</v>
      </c>
      <c r="I66" s="40">
        <f t="shared" si="4"/>
        <v>56949383.322751693</v>
      </c>
      <c r="J66" s="40">
        <f t="shared" si="4"/>
        <v>0</v>
      </c>
      <c r="K66" s="61">
        <f>K55+1</f>
        <v>37</v>
      </c>
    </row>
    <row r="67" spans="1:11" x14ac:dyDescent="0.3">
      <c r="A67" s="11">
        <f>A66+1</f>
        <v>38</v>
      </c>
      <c r="B67" s="19"/>
      <c r="C67" s="20"/>
      <c r="D67" s="20"/>
      <c r="E67" s="20"/>
      <c r="F67" s="20"/>
      <c r="G67" s="20"/>
      <c r="H67" s="20"/>
      <c r="I67" s="20"/>
      <c r="J67" s="20"/>
      <c r="K67" s="61">
        <f>K66+1</f>
        <v>38</v>
      </c>
    </row>
    <row r="68" spans="1:11" x14ac:dyDescent="0.3">
      <c r="A68" s="11">
        <f t="shared" ref="A68:A86" si="5">A67+1</f>
        <v>39</v>
      </c>
      <c r="B68" s="14" t="s">
        <v>20</v>
      </c>
      <c r="C68" s="40">
        <f t="shared" ref="C68:J68" si="6">C13*C45</f>
        <v>10638858.678824035</v>
      </c>
      <c r="D68" s="40">
        <f t="shared" si="6"/>
        <v>0</v>
      </c>
      <c r="E68" s="40">
        <f t="shared" si="6"/>
        <v>10994165.359830998</v>
      </c>
      <c r="F68" s="40">
        <f t="shared" si="6"/>
        <v>0</v>
      </c>
      <c r="G68" s="40">
        <f t="shared" si="6"/>
        <v>12307033.729914039</v>
      </c>
      <c r="H68" s="40">
        <f t="shared" si="6"/>
        <v>0</v>
      </c>
      <c r="I68" s="40">
        <f t="shared" si="6"/>
        <v>12982080.890339131</v>
      </c>
      <c r="J68" s="40">
        <f t="shared" si="6"/>
        <v>0</v>
      </c>
      <c r="K68" s="61">
        <f t="shared" ref="K68:K90" si="7">K67+1</f>
        <v>39</v>
      </c>
    </row>
    <row r="69" spans="1:11" x14ac:dyDescent="0.3">
      <c r="A69" s="11">
        <f t="shared" si="5"/>
        <v>40</v>
      </c>
      <c r="B69" s="21"/>
      <c r="C69" s="63"/>
      <c r="D69" s="27"/>
      <c r="E69" s="63"/>
      <c r="F69" s="27"/>
      <c r="G69" s="63"/>
      <c r="H69" s="27"/>
      <c r="I69" s="63"/>
      <c r="J69" s="27"/>
      <c r="K69" s="61">
        <f t="shared" si="7"/>
        <v>40</v>
      </c>
    </row>
    <row r="70" spans="1:11" x14ac:dyDescent="0.3">
      <c r="A70" s="11">
        <f t="shared" si="5"/>
        <v>41</v>
      </c>
      <c r="B70" s="14" t="str">
        <f>'A-Revenues@Changed Rates'!B70</f>
        <v xml:space="preserve">Medium and Large Commercial/Industrial </v>
      </c>
      <c r="C70" s="40">
        <f>'A-Med &amp; Lrg C-I'!G13</f>
        <v>0</v>
      </c>
      <c r="D70" s="40"/>
      <c r="E70" s="40">
        <f>'A-Med &amp; Lrg C-I'!H13</f>
        <v>0</v>
      </c>
      <c r="F70" s="40"/>
      <c r="G70" s="40">
        <f>'A-Med &amp; Lrg C-I'!C42</f>
        <v>0</v>
      </c>
      <c r="H70" s="40"/>
      <c r="I70" s="40">
        <f>'A-Med &amp; Lrg C-I'!D42</f>
        <v>0</v>
      </c>
      <c r="J70" s="40"/>
      <c r="K70" s="61">
        <f t="shared" si="7"/>
        <v>41</v>
      </c>
    </row>
    <row r="71" spans="1:11" x14ac:dyDescent="0.3">
      <c r="A71" s="11">
        <f t="shared" si="5"/>
        <v>42</v>
      </c>
      <c r="B71" s="14" t="str">
        <f>'A-Revenues@Changed Rates'!B71</f>
        <v xml:space="preserve">     Non-Coincident (100%)</v>
      </c>
      <c r="C71" s="40"/>
      <c r="D71" s="40">
        <f>'A-Med &amp; Lrg C-I'!G33</f>
        <v>0</v>
      </c>
      <c r="E71" s="40"/>
      <c r="F71" s="40">
        <f>'A-Med &amp; Lrg C-I'!H33</f>
        <v>0</v>
      </c>
      <c r="G71" s="40"/>
      <c r="H71" s="40">
        <f>'A-Med &amp; Lrg C-I'!C62</f>
        <v>0</v>
      </c>
      <c r="I71" s="40"/>
      <c r="J71" s="40">
        <f>'A-Med &amp; Lrg C-I'!D62</f>
        <v>0</v>
      </c>
      <c r="K71" s="61">
        <f t="shared" si="7"/>
        <v>42</v>
      </c>
    </row>
    <row r="72" spans="1:11" x14ac:dyDescent="0.3">
      <c r="A72" s="11">
        <f t="shared" si="5"/>
        <v>43</v>
      </c>
      <c r="B72" s="14" t="str">
        <f>'A-Revenues@Changed Rates'!B72</f>
        <v xml:space="preserve">     Non-Coincident (90%)</v>
      </c>
      <c r="C72" s="40"/>
      <c r="D72" s="40">
        <f>'B-Med &amp; Lrg C-I'!G29</f>
        <v>34695181.780560799</v>
      </c>
      <c r="E72" s="40"/>
      <c r="F72" s="40">
        <f>'B-Med &amp; Lrg C-I'!H29</f>
        <v>36166371.705486268</v>
      </c>
      <c r="G72" s="40"/>
      <c r="H72" s="40">
        <f>'B-Med &amp; Lrg C-I'!C54</f>
        <v>40286626.282456569</v>
      </c>
      <c r="I72" s="40"/>
      <c r="J72" s="40">
        <f>'B-Med &amp; Lrg C-I'!D54</f>
        <v>41710296.119389184</v>
      </c>
      <c r="K72" s="61">
        <f t="shared" si="7"/>
        <v>43</v>
      </c>
    </row>
    <row r="73" spans="1:11" ht="22.5" x14ac:dyDescent="0.3">
      <c r="A73" s="11">
        <f t="shared" si="5"/>
        <v>44</v>
      </c>
      <c r="B73" s="14" t="s">
        <v>96</v>
      </c>
      <c r="C73" s="40"/>
      <c r="D73" s="40">
        <f>'C-Med &amp; Lrg C-I'!G29</f>
        <v>1253712.270094018</v>
      </c>
      <c r="E73" s="40"/>
      <c r="F73" s="40">
        <f>'C-Med &amp; Lrg C-I'!H29</f>
        <v>6448354.2109319987</v>
      </c>
      <c r="G73" s="40"/>
      <c r="H73" s="40">
        <f>'C-Med &amp; Lrg C-I'!C54</f>
        <v>7170105.4638232123</v>
      </c>
      <c r="I73" s="40"/>
      <c r="J73" s="40">
        <f>'C-Med &amp; Lrg C-I'!D54</f>
        <v>7453792.3405873198</v>
      </c>
      <c r="K73" s="61">
        <f t="shared" si="7"/>
        <v>44</v>
      </c>
    </row>
    <row r="74" spans="1:11" ht="22.5" x14ac:dyDescent="0.3">
      <c r="A74" s="11">
        <f t="shared" si="5"/>
        <v>45</v>
      </c>
      <c r="B74" s="14" t="s">
        <v>97</v>
      </c>
      <c r="C74" s="40"/>
      <c r="D74" s="40">
        <f>'D-Med &amp; Lrg C-I'!G29</f>
        <v>135230.676471621</v>
      </c>
      <c r="E74" s="40"/>
      <c r="F74" s="40">
        <f>'D-Med &amp; Lrg C-I'!H29</f>
        <v>711630.531779913</v>
      </c>
      <c r="G74" s="40"/>
      <c r="H74" s="40">
        <f>'D-Med &amp; Lrg C-I'!C62</f>
        <v>806181.81520970818</v>
      </c>
      <c r="I74" s="40"/>
      <c r="J74" s="40">
        <f>'D-Med &amp; Lrg C-I'!D62</f>
        <v>802950.43271314783</v>
      </c>
      <c r="K74" s="61">
        <f t="shared" si="7"/>
        <v>45</v>
      </c>
    </row>
    <row r="75" spans="1:11" x14ac:dyDescent="0.3">
      <c r="A75" s="11">
        <f t="shared" si="5"/>
        <v>46</v>
      </c>
      <c r="B75" s="14"/>
      <c r="C75" s="40"/>
      <c r="D75" s="40"/>
      <c r="E75" s="40"/>
      <c r="F75" s="40"/>
      <c r="G75" s="40"/>
      <c r="H75" s="40"/>
      <c r="I75" s="40"/>
      <c r="J75" s="18"/>
      <c r="K75" s="61">
        <f t="shared" si="7"/>
        <v>46</v>
      </c>
    </row>
    <row r="76" spans="1:11" x14ac:dyDescent="0.3">
      <c r="A76" s="11">
        <f t="shared" si="5"/>
        <v>47</v>
      </c>
      <c r="B76" s="127" t="s">
        <v>26</v>
      </c>
      <c r="C76" s="40">
        <f>'San Diego Unified Port District'!G13</f>
        <v>0</v>
      </c>
      <c r="D76" s="40"/>
      <c r="E76" s="40">
        <f>'San Diego Unified Port District'!H13</f>
        <v>0</v>
      </c>
      <c r="F76" s="40"/>
      <c r="G76" s="40">
        <f>'San Diego Unified Port District'!C46</f>
        <v>0</v>
      </c>
      <c r="H76" s="40"/>
      <c r="I76" s="40">
        <f>'San Diego Unified Port District'!D46</f>
        <v>0</v>
      </c>
      <c r="J76" s="18"/>
      <c r="K76" s="61">
        <f t="shared" si="7"/>
        <v>47</v>
      </c>
    </row>
    <row r="77" spans="1:11" x14ac:dyDescent="0.3">
      <c r="A77" s="11">
        <f t="shared" si="5"/>
        <v>48</v>
      </c>
      <c r="B77" s="14" t="s">
        <v>74</v>
      </c>
      <c r="C77" s="40"/>
      <c r="D77" s="40">
        <f>'San Diego Unified Port District'!G23</f>
        <v>9830.9999999999982</v>
      </c>
      <c r="E77" s="40"/>
      <c r="F77" s="40">
        <f>'San Diego Unified Port District'!H23</f>
        <v>9943.9999999999982</v>
      </c>
      <c r="G77" s="40"/>
      <c r="H77" s="40">
        <f>'San Diego Unified Port District'!C56</f>
        <v>11186.999999999998</v>
      </c>
      <c r="I77" s="40"/>
      <c r="J77" s="18">
        <f>'San Diego Unified Port District'!D49</f>
        <v>8000</v>
      </c>
      <c r="K77" s="61">
        <f t="shared" si="7"/>
        <v>48</v>
      </c>
    </row>
    <row r="78" spans="1:11" x14ac:dyDescent="0.3">
      <c r="A78" s="11">
        <f t="shared" si="5"/>
        <v>49</v>
      </c>
      <c r="B78" s="14" t="s">
        <v>77</v>
      </c>
      <c r="C78" s="40"/>
      <c r="D78" s="40">
        <f>'San Diego Unified Port District'!G35</f>
        <v>0</v>
      </c>
      <c r="E78" s="40"/>
      <c r="F78" s="40">
        <f>'San Diego Unified Port District'!H35</f>
        <v>0</v>
      </c>
      <c r="G78" s="40"/>
      <c r="H78" s="40">
        <f>'San Diego Unified Port District'!C68</f>
        <v>0</v>
      </c>
      <c r="I78" s="40"/>
      <c r="J78" s="18">
        <f>'San Diego Unified Port District'!D68</f>
        <v>0</v>
      </c>
      <c r="K78" s="61">
        <f t="shared" si="7"/>
        <v>49</v>
      </c>
    </row>
    <row r="79" spans="1:11" x14ac:dyDescent="0.3">
      <c r="A79" s="11">
        <f t="shared" si="5"/>
        <v>50</v>
      </c>
      <c r="B79" s="14"/>
      <c r="C79" s="40"/>
      <c r="D79" s="40"/>
      <c r="E79" s="40"/>
      <c r="F79" s="40"/>
      <c r="G79" s="40"/>
      <c r="H79" s="40"/>
      <c r="I79" s="40"/>
      <c r="J79" s="18"/>
      <c r="K79" s="61">
        <f t="shared" si="7"/>
        <v>50</v>
      </c>
    </row>
    <row r="80" spans="1:11" x14ac:dyDescent="0.3">
      <c r="A80" s="11">
        <f t="shared" si="5"/>
        <v>51</v>
      </c>
      <c r="B80" s="14" t="s">
        <v>78</v>
      </c>
      <c r="C80" s="40"/>
      <c r="D80" s="40"/>
      <c r="E80" s="40"/>
      <c r="F80" s="40"/>
      <c r="G80" s="40"/>
      <c r="H80" s="40"/>
      <c r="I80" s="40"/>
      <c r="J80" s="18"/>
      <c r="K80" s="61">
        <f t="shared" si="7"/>
        <v>51</v>
      </c>
    </row>
    <row r="81" spans="1:11" x14ac:dyDescent="0.3">
      <c r="A81" s="11">
        <f t="shared" si="5"/>
        <v>52</v>
      </c>
      <c r="B81" s="14" t="s">
        <v>79</v>
      </c>
      <c r="C81" s="40">
        <f>C26*C51</f>
        <v>453546.58937736269</v>
      </c>
      <c r="D81" s="40"/>
      <c r="E81" s="40">
        <f>E26*E51</f>
        <v>513463.40109427384</v>
      </c>
      <c r="F81" s="40"/>
      <c r="G81" s="40">
        <f>G26*G51</f>
        <v>594030.27963554079</v>
      </c>
      <c r="H81" s="40"/>
      <c r="I81" s="40">
        <f>I26*I51</f>
        <v>650384.77588263236</v>
      </c>
      <c r="J81" s="18"/>
      <c r="K81" s="61">
        <f t="shared" si="7"/>
        <v>52</v>
      </c>
    </row>
    <row r="82" spans="1:11" x14ac:dyDescent="0.3">
      <c r="A82" s="11">
        <f t="shared" si="5"/>
        <v>53</v>
      </c>
      <c r="B82" s="14" t="s">
        <v>80</v>
      </c>
      <c r="C82" s="40"/>
      <c r="D82" s="40">
        <f>'PA-T-1'!G33</f>
        <v>634642.23271581531</v>
      </c>
      <c r="E82" s="40"/>
      <c r="F82" s="40">
        <f>'PA-T-1'!H33</f>
        <v>669537.19764979312</v>
      </c>
      <c r="G82" s="40"/>
      <c r="H82" s="40">
        <f>'PA-T-1'!C62</f>
        <v>738329.79007532576</v>
      </c>
      <c r="I82" s="40"/>
      <c r="J82" s="18">
        <f>'PA-T-1'!D62</f>
        <v>742501.72893386334</v>
      </c>
      <c r="K82" s="61">
        <f t="shared" si="7"/>
        <v>53</v>
      </c>
    </row>
    <row r="83" spans="1:11" x14ac:dyDescent="0.3">
      <c r="A83" s="11">
        <f t="shared" si="5"/>
        <v>54</v>
      </c>
      <c r="B83" s="14"/>
      <c r="C83" s="40"/>
      <c r="D83" s="40"/>
      <c r="E83" s="40"/>
      <c r="F83" s="40"/>
      <c r="G83" s="40"/>
      <c r="H83" s="40"/>
      <c r="I83" s="40"/>
      <c r="J83" s="18"/>
      <c r="K83" s="61">
        <f t="shared" si="7"/>
        <v>54</v>
      </c>
    </row>
    <row r="84" spans="1:11" x14ac:dyDescent="0.3">
      <c r="A84" s="11">
        <f t="shared" si="5"/>
        <v>55</v>
      </c>
      <c r="B84" s="14" t="str">
        <f>'A-Revenues@Changed Rates'!B84</f>
        <v>Street Lighting</v>
      </c>
      <c r="C84" s="40">
        <f t="shared" ref="C84:J84" si="8">C29*C53</f>
        <v>294247.13695336413</v>
      </c>
      <c r="D84" s="40">
        <f t="shared" si="8"/>
        <v>0</v>
      </c>
      <c r="E84" s="40">
        <f t="shared" si="8"/>
        <v>295734.44782614958</v>
      </c>
      <c r="F84" s="40">
        <f t="shared" si="8"/>
        <v>0</v>
      </c>
      <c r="G84" s="40">
        <f t="shared" si="8"/>
        <v>293863.78179800865</v>
      </c>
      <c r="H84" s="40">
        <f t="shared" si="8"/>
        <v>0</v>
      </c>
      <c r="I84" s="40">
        <f t="shared" si="8"/>
        <v>300906.31850396754</v>
      </c>
      <c r="J84" s="40">
        <f t="shared" si="8"/>
        <v>0</v>
      </c>
      <c r="K84" s="61">
        <f t="shared" si="7"/>
        <v>55</v>
      </c>
    </row>
    <row r="85" spans="1:11" x14ac:dyDescent="0.3">
      <c r="A85" s="11">
        <f t="shared" si="5"/>
        <v>56</v>
      </c>
      <c r="B85" s="14"/>
      <c r="C85" s="40"/>
      <c r="D85" s="40"/>
      <c r="E85" s="40"/>
      <c r="F85" s="40"/>
      <c r="G85" s="40"/>
      <c r="H85" s="40"/>
      <c r="I85" s="40"/>
      <c r="J85" s="18"/>
      <c r="K85" s="61">
        <f t="shared" si="7"/>
        <v>56</v>
      </c>
    </row>
    <row r="86" spans="1:11" x14ac:dyDescent="0.3">
      <c r="A86" s="11">
        <f t="shared" si="5"/>
        <v>57</v>
      </c>
      <c r="B86" s="14" t="str">
        <f>'A-Revenues@Changed Rates'!B86</f>
        <v>Standby</v>
      </c>
      <c r="C86" s="40">
        <v>0</v>
      </c>
      <c r="D86" s="40">
        <f>Standby!G31</f>
        <v>1045415</v>
      </c>
      <c r="E86" s="40">
        <v>0</v>
      </c>
      <c r="F86" s="40">
        <f>Standby!H31</f>
        <v>1045415</v>
      </c>
      <c r="G86" s="40">
        <v>0</v>
      </c>
      <c r="H86" s="40">
        <f>Standby!C58</f>
        <v>1045415</v>
      </c>
      <c r="I86" s="40">
        <v>0</v>
      </c>
      <c r="J86" s="40">
        <f>Standby!D58</f>
        <v>1045415</v>
      </c>
      <c r="K86" s="61">
        <f t="shared" si="7"/>
        <v>57</v>
      </c>
    </row>
    <row r="87" spans="1:11" x14ac:dyDescent="0.3">
      <c r="A87" s="11">
        <f>A86+1</f>
        <v>58</v>
      </c>
      <c r="B87" s="14"/>
      <c r="C87" s="40"/>
      <c r="D87" s="40"/>
      <c r="E87" s="40"/>
      <c r="F87" s="40"/>
      <c r="G87" s="40"/>
      <c r="H87" s="40"/>
      <c r="I87" s="40"/>
      <c r="J87" s="18"/>
      <c r="K87" s="61">
        <f t="shared" si="7"/>
        <v>58</v>
      </c>
    </row>
    <row r="88" spans="1:11" x14ac:dyDescent="0.3">
      <c r="A88" s="11">
        <f>A87+1</f>
        <v>59</v>
      </c>
      <c r="B88" s="19" t="s">
        <v>98</v>
      </c>
      <c r="C88" s="64">
        <f t="shared" ref="C88:J88" si="9">SUM(C66:C86)</f>
        <v>41562741.016959228</v>
      </c>
      <c r="D88" s="64">
        <f t="shared" si="9"/>
        <v>37774012.95984225</v>
      </c>
      <c r="E88" s="64">
        <f t="shared" si="9"/>
        <v>44018840.607309863</v>
      </c>
      <c r="F88" s="64">
        <f t="shared" si="9"/>
        <v>45051252.645847976</v>
      </c>
      <c r="G88" s="64">
        <f t="shared" si="9"/>
        <v>55821850.338395037</v>
      </c>
      <c r="H88" s="64">
        <f t="shared" si="9"/>
        <v>50057845.351564817</v>
      </c>
      <c r="I88" s="64">
        <f t="shared" si="9"/>
        <v>70882755.307477415</v>
      </c>
      <c r="J88" s="64">
        <f t="shared" si="9"/>
        <v>51762955.621623516</v>
      </c>
      <c r="K88" s="11">
        <f t="shared" si="7"/>
        <v>59</v>
      </c>
    </row>
    <row r="89" spans="1:11" x14ac:dyDescent="0.3">
      <c r="A89" s="11">
        <f>A88+1</f>
        <v>60</v>
      </c>
      <c r="B89" s="19"/>
      <c r="C89" s="62"/>
      <c r="D89" s="62"/>
      <c r="E89" s="62"/>
      <c r="F89" s="62"/>
      <c r="G89" s="62"/>
      <c r="H89" s="62"/>
      <c r="I89" s="62"/>
      <c r="J89" s="62"/>
      <c r="K89" s="11">
        <f t="shared" si="7"/>
        <v>60</v>
      </c>
    </row>
    <row r="90" spans="1:11" ht="19.5" thickBot="1" x14ac:dyDescent="0.35">
      <c r="A90" s="11">
        <f>A89+1</f>
        <v>61</v>
      </c>
      <c r="B90" s="19" t="s">
        <v>99</v>
      </c>
      <c r="C90" s="18"/>
      <c r="D90" s="67">
        <f>D88+C88</f>
        <v>79336753.976801485</v>
      </c>
      <c r="E90" s="18"/>
      <c r="F90" s="67">
        <f>F88+E88</f>
        <v>89070093.253157839</v>
      </c>
      <c r="G90" s="62"/>
      <c r="H90" s="66">
        <f>H88+G88</f>
        <v>105879695.68995985</v>
      </c>
      <c r="I90" s="62"/>
      <c r="J90" s="66">
        <f>J88+I88</f>
        <v>122645710.92910093</v>
      </c>
      <c r="K90" s="11">
        <f t="shared" si="7"/>
        <v>61</v>
      </c>
    </row>
    <row r="91" spans="1:11" ht="19.5" thickTop="1" x14ac:dyDescent="0.3">
      <c r="A91" s="17"/>
      <c r="B91" s="24"/>
      <c r="C91" s="22"/>
      <c r="D91" s="22"/>
      <c r="E91" s="22"/>
      <c r="F91" s="22"/>
      <c r="G91" s="22"/>
      <c r="H91" s="22"/>
      <c r="I91" s="22"/>
      <c r="J91" s="22"/>
      <c r="K91" s="24"/>
    </row>
    <row r="92" spans="1:11" ht="19.5" x14ac:dyDescent="0.35">
      <c r="B92" s="25" t="str">
        <f>'A-Revenues@Changed Rates'!B92</f>
        <v xml:space="preserve">NOTES: </v>
      </c>
      <c r="C92" s="59"/>
      <c r="D92" s="59"/>
      <c r="E92" s="59"/>
      <c r="F92" s="59"/>
    </row>
    <row r="93" spans="1:11" ht="22.5" x14ac:dyDescent="0.3">
      <c r="A93" s="77">
        <v>4</v>
      </c>
      <c r="B93" s="1" t="str">
        <f>'A-Revenues@Changed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1" ht="22.5" x14ac:dyDescent="0.3">
      <c r="A94" s="77"/>
      <c r="B94" s="1" t="str">
        <f>'A-Revenues@Changed Rates'!B94</f>
        <v>The derivation of revenues for Medium &amp; Large Commercial/Industrial, San Diego Unified Port District, Schedule PA-T-1, and Standby customers are shown on Pages BG-6, BG-7, BG-8, BG-9, BG-13, and BG-14.</v>
      </c>
    </row>
    <row r="95" spans="1:11" ht="22.5" x14ac:dyDescent="0.3">
      <c r="A95" s="77">
        <v>5</v>
      </c>
      <c r="B95" s="1" t="str">
        <f>'A-Revenues@Changed Rates'!B95</f>
        <v>Revenues for Medium and Large Commercial/Industrial customers include revenues of Standard Customers that have Maximum On-Peak Demand rates and Maximum Demand at the Time of System Peak rates based on SDG&amp;E's</v>
      </c>
    </row>
    <row r="96" spans="1:11" x14ac:dyDescent="0.3">
      <c r="A96" s="7"/>
      <c r="B96" s="1" t="str">
        <f>'A-Revenues@Changed Rates'!B96</f>
        <v>on-peak period of 4-9 p.m. everyday year-round. Grandfathered Maximum On-Peak Demand rates and Maximum Demand at the Time of System Peak rates, which are based on SDG&amp;E's</v>
      </c>
    </row>
    <row r="97" spans="1:2" x14ac:dyDescent="0.3">
      <c r="A97" s="7"/>
      <c r="B97" s="1" t="str">
        <f>'A-Revenues@Changed Rates'!B97</f>
        <v>previous on-peak period of 11 a.m. - 6 p.m. summer and 5-8 p.m. winter on weekdays, are not included due to assumed revenue neutrality.</v>
      </c>
    </row>
    <row r="98" spans="1:2" x14ac:dyDescent="0.3">
      <c r="A98" s="7"/>
    </row>
    <row r="99" spans="1:2" x14ac:dyDescent="0.3">
      <c r="A99" s="7"/>
    </row>
    <row r="100" spans="1:2" x14ac:dyDescent="0.3">
      <c r="A100" s="7"/>
    </row>
    <row r="101" spans="1:2" x14ac:dyDescent="0.3">
      <c r="A101" s="7"/>
    </row>
    <row r="102" spans="1:2" x14ac:dyDescent="0.3">
      <c r="A102" s="7"/>
    </row>
    <row r="103" spans="1:2" x14ac:dyDescent="0.3">
      <c r="A103" s="7"/>
    </row>
    <row r="104" spans="1:2" x14ac:dyDescent="0.3">
      <c r="A104" s="7"/>
    </row>
    <row r="105" spans="1:2" x14ac:dyDescent="0.3">
      <c r="A105" s="7"/>
    </row>
    <row r="106" spans="1:2" x14ac:dyDescent="0.3">
      <c r="A106" s="7"/>
    </row>
    <row r="107" spans="1:2" x14ac:dyDescent="0.3">
      <c r="A107" s="7"/>
    </row>
    <row r="108" spans="1:2" x14ac:dyDescent="0.3">
      <c r="A108" s="7"/>
    </row>
    <row r="109" spans="1:2" x14ac:dyDescent="0.3">
      <c r="A109" s="7"/>
    </row>
    <row r="110" spans="1:2" x14ac:dyDescent="0.3">
      <c r="A110" s="7"/>
    </row>
    <row r="111" spans="1:2" x14ac:dyDescent="0.3">
      <c r="A111" s="7"/>
    </row>
    <row r="112" spans="1:2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</sheetData>
  <mergeCells count="16">
    <mergeCell ref="C7:D7"/>
    <mergeCell ref="C39:D39"/>
    <mergeCell ref="C62:D62"/>
    <mergeCell ref="A1:K1"/>
    <mergeCell ref="A2:K2"/>
    <mergeCell ref="A3:K3"/>
    <mergeCell ref="A4:K4"/>
    <mergeCell ref="E7:F7"/>
    <mergeCell ref="G7:H7"/>
    <mergeCell ref="I7:J7"/>
    <mergeCell ref="G62:H62"/>
    <mergeCell ref="I62:J62"/>
    <mergeCell ref="G39:H39"/>
    <mergeCell ref="I39:J39"/>
    <mergeCell ref="E39:F39"/>
    <mergeCell ref="E62:F62"/>
  </mergeCells>
  <phoneticPr fontId="0" type="noConversion"/>
  <printOptions horizontalCentered="1"/>
  <pageMargins left="0.25" right="0.25" top="0.5" bottom="0.5" header="0.25" footer="0.25"/>
  <pageSetup scale="39" orientation="portrait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64"/>
  <sheetViews>
    <sheetView zoomScale="70" zoomScaleNormal="70" zoomScaleSheetLayoutView="70" workbookViewId="0">
      <selection activeCell="B37" sqref="B37"/>
    </sheetView>
  </sheetViews>
  <sheetFormatPr defaultColWidth="9.140625" defaultRowHeight="18.75" x14ac:dyDescent="0.3"/>
  <cols>
    <col min="1" max="1" width="5.5703125" style="1" customWidth="1"/>
    <col min="2" max="2" width="81.5703125" style="1" customWidth="1"/>
    <col min="3" max="3" width="19.140625" style="1" bestFit="1" customWidth="1"/>
    <col min="4" max="4" width="19.5703125" style="1" bestFit="1" customWidth="1"/>
    <col min="5" max="5" width="19.140625" style="1" bestFit="1" customWidth="1"/>
    <col min="6" max="6" width="17.140625" style="1" bestFit="1" customWidth="1"/>
    <col min="7" max="7" width="19.140625" style="1" bestFit="1" customWidth="1"/>
    <col min="8" max="8" width="17.140625" style="1" bestFit="1" customWidth="1"/>
    <col min="9" max="9" width="19.140625" style="1" bestFit="1" customWidth="1"/>
    <col min="10" max="10" width="17.140625" style="1" bestFit="1" customWidth="1"/>
    <col min="11" max="11" width="20.5703125" style="1" bestFit="1" customWidth="1"/>
    <col min="12" max="12" width="19.42578125" style="1" bestFit="1" customWidth="1"/>
    <col min="13" max="13" width="5.5703125" style="1" bestFit="1" customWidth="1"/>
    <col min="14" max="14" width="16.5703125" style="1" bestFit="1" customWidth="1"/>
    <col min="15" max="16384" width="9.140625" style="1"/>
  </cols>
  <sheetData>
    <row r="1" spans="1:13" x14ac:dyDescent="0.3">
      <c r="A1" s="426" t="s">
        <v>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</row>
    <row r="2" spans="1:13" x14ac:dyDescent="0.3">
      <c r="A2" s="426" t="s">
        <v>1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</row>
    <row r="3" spans="1:13" x14ac:dyDescent="0.3">
      <c r="A3" s="426" t="s">
        <v>104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</row>
    <row r="4" spans="1:13" x14ac:dyDescent="0.3">
      <c r="A4" s="425" t="str">
        <f>'A-Billing Determinants'!A5</f>
        <v>Rate Effective Period - Twelve Months Ending December 31, 2026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</row>
    <row r="6" spans="1:13" x14ac:dyDescent="0.3">
      <c r="A6" s="8"/>
      <c r="B6" s="8"/>
      <c r="C6" s="9" t="s">
        <v>105</v>
      </c>
      <c r="D6" s="10"/>
      <c r="E6" s="9" t="s">
        <v>106</v>
      </c>
      <c r="F6" s="10"/>
      <c r="G6" s="9" t="s">
        <v>107</v>
      </c>
      <c r="H6" s="10"/>
      <c r="I6" s="9" t="s">
        <v>108</v>
      </c>
      <c r="J6" s="10"/>
      <c r="K6" s="9" t="s">
        <v>109</v>
      </c>
      <c r="L6" s="10"/>
      <c r="M6" s="8"/>
    </row>
    <row r="7" spans="1:13" x14ac:dyDescent="0.3">
      <c r="A7" s="11"/>
      <c r="B7" s="11"/>
      <c r="C7" s="427">
        <v>46266</v>
      </c>
      <c r="D7" s="428"/>
      <c r="E7" s="427">
        <v>46296</v>
      </c>
      <c r="F7" s="428"/>
      <c r="G7" s="427">
        <v>46327</v>
      </c>
      <c r="H7" s="428"/>
      <c r="I7" s="427">
        <v>46357</v>
      </c>
      <c r="J7" s="428"/>
      <c r="K7" s="427" t="s">
        <v>61</v>
      </c>
      <c r="L7" s="428"/>
      <c r="M7" s="11"/>
    </row>
    <row r="8" spans="1:13" ht="22.5" x14ac:dyDescent="0.3">
      <c r="A8" s="11" t="s">
        <v>8</v>
      </c>
      <c r="B8" s="14"/>
      <c r="C8" s="15" t="s">
        <v>68</v>
      </c>
      <c r="D8" s="16"/>
      <c r="E8" s="15" t="s">
        <v>68</v>
      </c>
      <c r="F8" s="16"/>
      <c r="G8" s="15" t="s">
        <v>68</v>
      </c>
      <c r="H8" s="16"/>
      <c r="I8" s="15" t="s">
        <v>68</v>
      </c>
      <c r="J8" s="16"/>
      <c r="K8" s="15" t="s">
        <v>68</v>
      </c>
      <c r="L8" s="16"/>
      <c r="M8" s="11" t="s">
        <v>8</v>
      </c>
    </row>
    <row r="9" spans="1:13" x14ac:dyDescent="0.3">
      <c r="A9" s="17" t="s">
        <v>10</v>
      </c>
      <c r="B9" s="17" t="s">
        <v>11</v>
      </c>
      <c r="C9" s="17" t="s">
        <v>69</v>
      </c>
      <c r="D9" s="17" t="s">
        <v>70</v>
      </c>
      <c r="E9" s="17" t="s">
        <v>69</v>
      </c>
      <c r="F9" s="17" t="s">
        <v>70</v>
      </c>
      <c r="G9" s="17" t="s">
        <v>69</v>
      </c>
      <c r="H9" s="17" t="s">
        <v>70</v>
      </c>
      <c r="I9" s="17" t="s">
        <v>69</v>
      </c>
      <c r="J9" s="17" t="s">
        <v>70</v>
      </c>
      <c r="K9" s="17" t="s">
        <v>69</v>
      </c>
      <c r="L9" s="17" t="s">
        <v>70</v>
      </c>
      <c r="M9" s="17" t="s">
        <v>10</v>
      </c>
    </row>
    <row r="10" spans="1:13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x14ac:dyDescent="0.3">
      <c r="A11" s="11">
        <v>1</v>
      </c>
      <c r="B11" s="14" t="s">
        <v>17</v>
      </c>
      <c r="C11" s="18">
        <f>'B-Billing Determinants'!G12</f>
        <v>615949423.59624326</v>
      </c>
      <c r="D11" s="18"/>
      <c r="E11" s="18">
        <f>'B-Billing Determinants'!I12</f>
        <v>448222747.76523018</v>
      </c>
      <c r="F11" s="18"/>
      <c r="G11" s="18">
        <f>'B-Billing Determinants'!K12</f>
        <v>385784288.64210707</v>
      </c>
      <c r="H11" s="18"/>
      <c r="I11" s="18">
        <f>'B-Billing Determinants'!M12</f>
        <v>452476117.17941707</v>
      </c>
      <c r="J11" s="18"/>
      <c r="K11" s="47">
        <f>SUM('A-Revenues@Changed Rates'!C11,'A-Revenues@Changed Rates'!E11,'A-Revenues@Changed Rates'!G11,'A-Revenues@Changed Rates'!I11,'B-Revenues@Changed Rates'!C11,'B-Revenues@Changed Rates'!E11,'B-Revenues@Changed Rates'!G11,'B-Revenues@Changed Rates'!I11,'C-Revenues@Changed Rates'!C11,'C-Revenues@Changed Rates'!E11,'C-Revenues@Changed Rates'!G11,'C-Revenues@Changed Rates'!I11)</f>
        <v>5139484424.0373611</v>
      </c>
      <c r="L11" s="47"/>
      <c r="M11" s="11">
        <v>1</v>
      </c>
    </row>
    <row r="12" spans="1:13" x14ac:dyDescent="0.3">
      <c r="A12" s="11">
        <f>A11+1</f>
        <v>2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1">
        <f>M11+1</f>
        <v>2</v>
      </c>
    </row>
    <row r="13" spans="1:13" x14ac:dyDescent="0.3">
      <c r="A13" s="11">
        <f t="shared" ref="A13:A33" si="0">A12+1</f>
        <v>3</v>
      </c>
      <c r="B13" s="14" t="s">
        <v>71</v>
      </c>
      <c r="C13" s="18">
        <f>'B-Billing Determinants'!G14</f>
        <v>239317965.71833527</v>
      </c>
      <c r="D13" s="18"/>
      <c r="E13" s="18">
        <f>'B-Billing Determinants'!I14</f>
        <v>211348576.79099375</v>
      </c>
      <c r="F13" s="18"/>
      <c r="G13" s="18">
        <f>'B-Billing Determinants'!K14</f>
        <v>195315561.0568178</v>
      </c>
      <c r="H13" s="18"/>
      <c r="I13" s="18">
        <f>'B-Billing Determinants'!M14</f>
        <v>194243997.91473109</v>
      </c>
      <c r="J13" s="18"/>
      <c r="K13" s="47">
        <f>SUM('A-Revenues@Changed Rates'!C13,'A-Revenues@Changed Rates'!E13,'A-Revenues@Changed Rates'!G13,'A-Revenues@Changed Rates'!I13,'B-Revenues@Changed Rates'!C13,'B-Revenues@Changed Rates'!E13,'B-Revenues@Changed Rates'!G13,'B-Revenues@Changed Rates'!I13,'C-Revenues@Changed Rates'!C13,'C-Revenues@Changed Rates'!E13,'C-Revenues@Changed Rates'!G13,'C-Revenues@Changed Rates'!I13)</f>
        <v>2442100457.0462527</v>
      </c>
      <c r="L13" s="47"/>
      <c r="M13" s="11">
        <f t="shared" ref="M13:M33" si="1">M12+1</f>
        <v>3</v>
      </c>
    </row>
    <row r="14" spans="1:13" x14ac:dyDescent="0.3">
      <c r="A14" s="11">
        <f t="shared" si="0"/>
        <v>4</v>
      </c>
      <c r="B14" s="21"/>
      <c r="C14" s="27"/>
      <c r="D14" s="27"/>
      <c r="E14" s="27"/>
      <c r="F14" s="27"/>
      <c r="G14" s="27"/>
      <c r="H14" s="27"/>
      <c r="I14" s="27"/>
      <c r="J14" s="27"/>
      <c r="K14" s="47"/>
      <c r="L14" s="47"/>
      <c r="M14" s="11">
        <f t="shared" si="1"/>
        <v>4</v>
      </c>
    </row>
    <row r="15" spans="1:13" x14ac:dyDescent="0.3">
      <c r="A15" s="11">
        <f t="shared" si="0"/>
        <v>5</v>
      </c>
      <c r="B15" s="14" t="s">
        <v>110</v>
      </c>
      <c r="C15" s="18">
        <f>'B-Billing Determinants'!G16</f>
        <v>867016873.16453326</v>
      </c>
      <c r="D15" s="18"/>
      <c r="E15" s="18">
        <f>'B-Billing Determinants'!I16</f>
        <v>796536574.47793376</v>
      </c>
      <c r="F15" s="18"/>
      <c r="G15" s="18">
        <f>'B-Billing Determinants'!K16</f>
        <v>728103253.38593173</v>
      </c>
      <c r="H15" s="18"/>
      <c r="I15" s="18">
        <f>'B-Billing Determinants'!M16</f>
        <v>763709820.81237149</v>
      </c>
      <c r="J15" s="18"/>
      <c r="K15" s="47">
        <f>SUM('A-Revenues@Changed Rates'!C15,'A-Revenues@Changed Rates'!E15,'A-Revenues@Changed Rates'!G15,'A-Revenues@Changed Rates'!I15,'B-Revenues@Changed Rates'!C15,'B-Revenues@Changed Rates'!E15,'B-Revenues@Changed Rates'!G15,'B-Revenues@Changed Rates'!I15,'C-Revenues@Changed Rates'!C15,'C-Revenues@Changed Rates'!E15,'C-Revenues@Changed Rates'!G15,'C-Revenues@Changed Rates'!I15)</f>
        <v>8982347254.9090309</v>
      </c>
      <c r="L15" s="47"/>
      <c r="M15" s="11">
        <f t="shared" si="1"/>
        <v>5</v>
      </c>
    </row>
    <row r="16" spans="1:13" x14ac:dyDescent="0.3">
      <c r="A16" s="11">
        <f t="shared" si="0"/>
        <v>6</v>
      </c>
      <c r="B16" s="14" t="s">
        <v>73</v>
      </c>
      <c r="C16" s="18"/>
      <c r="D16" s="18">
        <f>'B-Billing Determinants'!H17</f>
        <v>0</v>
      </c>
      <c r="E16" s="18"/>
      <c r="F16" s="18">
        <f>'B-Billing Determinants'!J17</f>
        <v>0</v>
      </c>
      <c r="G16" s="18"/>
      <c r="H16" s="18">
        <f>'B-Billing Determinants'!L17</f>
        <v>0</v>
      </c>
      <c r="I16" s="18"/>
      <c r="J16" s="18">
        <f>'B-Billing Determinants'!N17</f>
        <v>0</v>
      </c>
      <c r="K16" s="47"/>
      <c r="L16" s="47">
        <f>SUM('A-Revenues@Changed Rates'!D16,'A-Revenues@Changed Rates'!F16,'A-Revenues@Changed Rates'!H16,'A-Revenues@Changed Rates'!J16,'B-Revenues@Changed Rates'!D16,'B-Revenues@Changed Rates'!F16,'B-Revenues@Changed Rates'!H16,'B-Revenues@Changed Rates'!J16,'C-Revenues@Changed Rates'!D16,'C-Revenues@Changed Rates'!F16,'C-Revenues@Changed Rates'!H16,'C-Revenues@Changed Rates'!J16)</f>
        <v>0</v>
      </c>
      <c r="M16" s="11">
        <f t="shared" si="1"/>
        <v>6</v>
      </c>
    </row>
    <row r="17" spans="1:13" x14ac:dyDescent="0.3">
      <c r="A17" s="11">
        <f t="shared" si="0"/>
        <v>7</v>
      </c>
      <c r="B17" s="14" t="s">
        <v>74</v>
      </c>
      <c r="C17" s="18"/>
      <c r="D17" s="18">
        <f>'B-Billing Determinants'!H18</f>
        <v>2078031.1831154083</v>
      </c>
      <c r="E17" s="18"/>
      <c r="F17" s="18">
        <f>'B-Billing Determinants'!J18</f>
        <v>1907674.9101579236</v>
      </c>
      <c r="G17" s="18"/>
      <c r="H17" s="18">
        <f>'B-Billing Determinants'!L18</f>
        <v>1745882.8488525513</v>
      </c>
      <c r="I17" s="18"/>
      <c r="J17" s="18">
        <f>'B-Billing Determinants'!N18</f>
        <v>1825593.487219753</v>
      </c>
      <c r="K17" s="47"/>
      <c r="L17" s="47">
        <f>SUM('A-Revenues@Changed Rates'!D17,'A-Revenues@Changed Rates'!F17,'A-Revenues@Changed Rates'!H17,'A-Revenues@Changed Rates'!J17,'B-Revenues@Changed Rates'!D17,'B-Revenues@Changed Rates'!F17,'B-Revenues@Changed Rates'!H17,'B-Revenues@Changed Rates'!J17,'C-Revenues@Changed Rates'!D17,'C-Revenues@Changed Rates'!F17,'C-Revenues@Changed Rates'!H17,'C-Revenues@Changed Rates'!J17)</f>
        <v>21510546.86509084</v>
      </c>
      <c r="M17" s="11">
        <f t="shared" si="1"/>
        <v>7</v>
      </c>
    </row>
    <row r="18" spans="1:13" x14ac:dyDescent="0.3">
      <c r="A18" s="11">
        <f t="shared" si="0"/>
        <v>8</v>
      </c>
      <c r="B18" s="14" t="str">
        <f>'A-Revenues@Changed Rates'!B18</f>
        <v xml:space="preserve">     Maximum On-Peak Period Demand-Standard Customers</v>
      </c>
      <c r="C18" s="18"/>
      <c r="D18" s="18">
        <f>'B-Billing Determinants'!H19</f>
        <v>1816540.427557766</v>
      </c>
      <c r="E18" s="18"/>
      <c r="F18" s="18">
        <f>'B-Billing Determinants'!J19</f>
        <v>1662947.7122979141</v>
      </c>
      <c r="G18" s="18"/>
      <c r="H18" s="18">
        <f>'B-Billing Determinants'!L19</f>
        <v>1497257.5313144273</v>
      </c>
      <c r="I18" s="18"/>
      <c r="J18" s="18">
        <f>'B-Billing Determinants'!N19</f>
        <v>1547428.5644992178</v>
      </c>
      <c r="K18" s="47"/>
      <c r="L18" s="47">
        <f>SUM('A-Revenues@Changed Rates'!D18,'A-Revenues@Changed Rates'!F18,'A-Revenues@Changed Rates'!H18,'A-Revenues@Changed Rates'!J18,'B-Revenues@Changed Rates'!D18,'B-Revenues@Changed Rates'!F18,'B-Revenues@Changed Rates'!H18,'B-Revenues@Changed Rates'!J18,'C-Revenues@Changed Rates'!D18,'C-Revenues@Changed Rates'!F18,'C-Revenues@Changed Rates'!H18,'C-Revenues@Changed Rates'!J18)</f>
        <v>18531508.692553815</v>
      </c>
      <c r="M18" s="11">
        <f t="shared" si="1"/>
        <v>8</v>
      </c>
    </row>
    <row r="19" spans="1:13" x14ac:dyDescent="0.3">
      <c r="A19" s="11">
        <f t="shared" si="0"/>
        <v>9</v>
      </c>
      <c r="B19" s="14" t="str">
        <f>'A-Revenues@Changed Rates'!B19</f>
        <v xml:space="preserve">     Maximum Demand at the Time of System Peak-Standard Customers</v>
      </c>
      <c r="C19" s="18"/>
      <c r="D19" s="18">
        <f>'B-Billing Determinants'!H20</f>
        <v>143882.60368267121</v>
      </c>
      <c r="E19" s="18"/>
      <c r="F19" s="18">
        <f>'B-Billing Determinants'!J20</f>
        <v>135711.84062240092</v>
      </c>
      <c r="G19" s="18"/>
      <c r="H19" s="18">
        <f>'B-Billing Determinants'!L20</f>
        <v>133496.31514596919</v>
      </c>
      <c r="I19" s="18"/>
      <c r="J19" s="18">
        <f>'B-Billing Determinants'!N20</f>
        <v>154202.00313587949</v>
      </c>
      <c r="K19" s="47"/>
      <c r="L19" s="47">
        <f>SUM('A-Revenues@Changed Rates'!D19,'A-Revenues@Changed Rates'!F19,'A-Revenues@Changed Rates'!H19,'A-Revenues@Changed Rates'!J19,'B-Revenues@Changed Rates'!D19,'B-Revenues@Changed Rates'!F19,'B-Revenues@Changed Rates'!H19,'B-Revenues@Changed Rates'!J19,'C-Revenues@Changed Rates'!D19,'C-Revenues@Changed Rates'!F19,'C-Revenues@Changed Rates'!H19,'C-Revenues@Changed Rates'!J19)</f>
        <v>1634929.4455964067</v>
      </c>
      <c r="M19" s="11">
        <f t="shared" si="1"/>
        <v>9</v>
      </c>
    </row>
    <row r="20" spans="1:13" x14ac:dyDescent="0.3">
      <c r="A20" s="11">
        <f t="shared" si="0"/>
        <v>10</v>
      </c>
      <c r="B20" s="14"/>
      <c r="C20" s="18"/>
      <c r="D20" s="18"/>
      <c r="E20" s="18"/>
      <c r="F20" s="18"/>
      <c r="G20" s="18"/>
      <c r="H20" s="18"/>
      <c r="I20" s="18"/>
      <c r="J20" s="18"/>
      <c r="K20" s="47"/>
      <c r="L20" s="47"/>
      <c r="M20" s="11">
        <f t="shared" si="1"/>
        <v>10</v>
      </c>
    </row>
    <row r="21" spans="1:13" x14ac:dyDescent="0.3">
      <c r="A21" s="11">
        <f t="shared" si="0"/>
        <v>11</v>
      </c>
      <c r="B21" s="127" t="s">
        <v>26</v>
      </c>
      <c r="C21" s="18">
        <f>'B-Billing Determinants'!G24</f>
        <v>102320</v>
      </c>
      <c r="D21" s="18"/>
      <c r="E21" s="18">
        <f>'B-Billing Determinants'!I24</f>
        <v>747300</v>
      </c>
      <c r="F21" s="18"/>
      <c r="G21" s="18">
        <f>'B-Billing Determinants'!K24</f>
        <v>703620</v>
      </c>
      <c r="H21" s="18"/>
      <c r="I21" s="18">
        <f>'B-Billing Determinants'!M24</f>
        <v>339300</v>
      </c>
      <c r="J21" s="18"/>
      <c r="K21" s="47">
        <f>SUM('A-Revenues@Changed Rates'!C21,'A-Revenues@Changed Rates'!E21,'A-Revenues@Changed Rates'!G21,'A-Revenues@Changed Rates'!I21,'B-Revenues@Changed Rates'!C21,'B-Revenues@Changed Rates'!E21,'B-Revenues@Changed Rates'!G21,'B-Revenues@Changed Rates'!I21,'C-Revenues@Changed Rates'!C21,'C-Revenues@Changed Rates'!E21,'C-Revenues@Changed Rates'!G21,'C-Revenues@Changed Rates'!I21)</f>
        <v>4208810</v>
      </c>
      <c r="L21" s="47"/>
      <c r="M21" s="11">
        <f t="shared" si="1"/>
        <v>11</v>
      </c>
    </row>
    <row r="22" spans="1:13" x14ac:dyDescent="0.3">
      <c r="A22" s="11">
        <f t="shared" si="0"/>
        <v>12</v>
      </c>
      <c r="B22" s="14" t="s">
        <v>74</v>
      </c>
      <c r="C22" s="18"/>
      <c r="D22" s="18">
        <f>'B-Billing Determinants'!H25</f>
        <v>8000</v>
      </c>
      <c r="E22" s="18"/>
      <c r="F22" s="18">
        <f>'B-Billing Determinants'!J25</f>
        <v>16900</v>
      </c>
      <c r="G22" s="18"/>
      <c r="H22" s="18">
        <f>'B-Billing Determinants'!L25</f>
        <v>16600</v>
      </c>
      <c r="I22" s="18"/>
      <c r="J22" s="18">
        <f>'B-Billing Determinants'!N25</f>
        <v>9800</v>
      </c>
      <c r="K22" s="47"/>
      <c r="L22" s="47">
        <f>SUM('A-Revenues@Changed Rates'!C22:J22,'B-Revenues@Changed Rates'!C22:J22,'C-Revenues@Changed Rates'!C22:J22)</f>
        <v>146100</v>
      </c>
      <c r="M22" s="11">
        <f t="shared" si="1"/>
        <v>12</v>
      </c>
    </row>
    <row r="23" spans="1:13" x14ac:dyDescent="0.3">
      <c r="A23" s="11">
        <f t="shared" si="0"/>
        <v>13</v>
      </c>
      <c r="B23" s="14" t="s">
        <v>77</v>
      </c>
      <c r="C23" s="18"/>
      <c r="D23" s="18">
        <f>'B-Billing Determinants'!H26</f>
        <v>0</v>
      </c>
      <c r="E23" s="18"/>
      <c r="F23" s="18">
        <f>'B-Billing Determinants'!J26</f>
        <v>0</v>
      </c>
      <c r="G23" s="18"/>
      <c r="H23" s="18">
        <f>'B-Billing Determinants'!L26</f>
        <v>7580</v>
      </c>
      <c r="I23" s="18"/>
      <c r="J23" s="18">
        <f>'B-Billing Determinants'!N26</f>
        <v>0</v>
      </c>
      <c r="K23" s="47"/>
      <c r="L23" s="47">
        <f>SUM('A-Revenues@Changed Rates'!C23:J23,'B-Revenues@Changed Rates'!C23:J23,'C-Revenues@Changed Rates'!C23:J23)</f>
        <v>7580</v>
      </c>
      <c r="M23" s="11">
        <f t="shared" si="1"/>
        <v>13</v>
      </c>
    </row>
    <row r="24" spans="1:13" x14ac:dyDescent="0.3">
      <c r="A24" s="11">
        <f t="shared" si="0"/>
        <v>14</v>
      </c>
      <c r="B24" s="14"/>
      <c r="C24" s="18"/>
      <c r="D24" s="18"/>
      <c r="E24" s="18"/>
      <c r="F24" s="18"/>
      <c r="G24" s="18"/>
      <c r="H24" s="18"/>
      <c r="I24" s="18"/>
      <c r="J24" s="18"/>
      <c r="K24" s="47"/>
      <c r="L24" s="47"/>
      <c r="M24" s="11">
        <f t="shared" si="1"/>
        <v>14</v>
      </c>
    </row>
    <row r="25" spans="1:13" x14ac:dyDescent="0.3">
      <c r="A25" s="11">
        <f t="shared" si="0"/>
        <v>15</v>
      </c>
      <c r="B25" s="14" t="s">
        <v>78</v>
      </c>
      <c r="C25" s="18"/>
      <c r="D25" s="18"/>
      <c r="E25" s="18"/>
      <c r="F25" s="18"/>
      <c r="G25" s="18"/>
      <c r="H25" s="18"/>
      <c r="I25" s="18"/>
      <c r="J25" s="18"/>
      <c r="K25" s="47"/>
      <c r="L25" s="47"/>
      <c r="M25" s="11">
        <f t="shared" si="1"/>
        <v>15</v>
      </c>
    </row>
    <row r="26" spans="1:13" x14ac:dyDescent="0.3">
      <c r="A26" s="11">
        <f t="shared" si="0"/>
        <v>16</v>
      </c>
      <c r="B26" s="14" t="s">
        <v>79</v>
      </c>
      <c r="C26" s="18">
        <f>'B-Billing Determinants'!G29</f>
        <v>18944800.132352281</v>
      </c>
      <c r="D26" s="18"/>
      <c r="E26" s="18">
        <f>'B-Billing Determinants'!I29</f>
        <v>17483777.143699218</v>
      </c>
      <c r="F26" s="18"/>
      <c r="G26" s="18">
        <f>'B-Billing Determinants'!K29</f>
        <v>14421116.292368243</v>
      </c>
      <c r="H26" s="18"/>
      <c r="I26" s="18">
        <f>'B-Billing Determinants'!M29</f>
        <v>13285180.217291201</v>
      </c>
      <c r="J26" s="18"/>
      <c r="K26" s="47">
        <f>SUM('A-Revenues@Changed Rates'!C26,'A-Revenues@Changed Rates'!E26,'A-Revenues@Changed Rates'!G26,'A-Revenues@Changed Rates'!I26,'B-Revenues@Changed Rates'!C26,'B-Revenues@Changed Rates'!E26,'B-Revenues@Changed Rates'!G26,'B-Revenues@Changed Rates'!I26,'C-Revenues@Changed Rates'!C26,'C-Revenues@Changed Rates'!E26,'C-Revenues@Changed Rates'!G26,'C-Revenues@Changed Rates'!I26)</f>
        <v>164394714.88519129</v>
      </c>
      <c r="L26" s="47"/>
      <c r="M26" s="11">
        <f t="shared" si="1"/>
        <v>16</v>
      </c>
    </row>
    <row r="27" spans="1:13" x14ac:dyDescent="0.3">
      <c r="A27" s="11">
        <f t="shared" si="0"/>
        <v>17</v>
      </c>
      <c r="B27" s="14" t="s">
        <v>73</v>
      </c>
      <c r="C27" s="18">
        <f>'B-Billing Determinants'!G30</f>
        <v>21857831.109899174</v>
      </c>
      <c r="D27" s="18">
        <f>'B-Billing Determinants'!H30</f>
        <v>74595.023163621881</v>
      </c>
      <c r="E27" s="18">
        <f>'B-Billing Determinants'!I30</f>
        <v>21118824.263870798</v>
      </c>
      <c r="F27" s="18">
        <f>'B-Billing Determinants'!J30</f>
        <v>72072.987353188888</v>
      </c>
      <c r="G27" s="18">
        <f>'B-Billing Determinants'!K30</f>
        <v>19755426.797113776</v>
      </c>
      <c r="H27" s="18">
        <f>'B-Billing Determinants'!L30</f>
        <v>66725.073476269128</v>
      </c>
      <c r="I27" s="18">
        <f>'B-Billing Determinants'!M30</f>
        <v>18182715.474677801</v>
      </c>
      <c r="J27" s="18">
        <f>'B-Billing Determinants'!N30</f>
        <v>61413.151864844753</v>
      </c>
      <c r="K27" s="47">
        <f>SUM('A-Revenues@Changed Rates'!C27,'A-Revenues@Changed Rates'!E27,'A-Revenues@Changed Rates'!G27,'A-Revenues@Changed Rates'!I27,'B-Revenues@Changed Rates'!C27,'B-Revenues@Changed Rates'!E27,'B-Revenues@Changed Rates'!G27,'B-Revenues@Changed Rates'!I27,'C-Revenues@Changed Rates'!C27,'C-Revenues@Changed Rates'!E27,'C-Revenues@Changed Rates'!G27,'C-Revenues@Changed Rates'!I27)</f>
        <v>226880081.9751851</v>
      </c>
      <c r="L27" s="47">
        <f>SUM('A-Revenues@Changed Rates'!D27,'A-Revenues@Changed Rates'!F27,'A-Revenues@Changed Rates'!H27,'A-Revenues@Changed Rates'!J27,'B-Revenues@Changed Rates'!D27,'B-Revenues@Changed Rates'!F27,'B-Revenues@Changed Rates'!H27,'B-Revenues@Changed Rates'!J27,'C-Revenues@Changed Rates'!D27,'C-Revenues@Changed Rates'!F27,'C-Revenues@Changed Rates'!H27,'C-Revenues@Changed Rates'!J27)</f>
        <v>770048.41892945173</v>
      </c>
      <c r="M27" s="11">
        <f t="shared" si="1"/>
        <v>17</v>
      </c>
    </row>
    <row r="28" spans="1:13" x14ac:dyDescent="0.3">
      <c r="A28" s="11">
        <f t="shared" si="0"/>
        <v>18</v>
      </c>
      <c r="B28" s="14"/>
      <c r="C28" s="18"/>
      <c r="D28" s="18"/>
      <c r="E28" s="18"/>
      <c r="F28" s="18"/>
      <c r="G28" s="18"/>
      <c r="H28" s="18"/>
      <c r="I28" s="18"/>
      <c r="J28" s="18"/>
      <c r="K28" s="47"/>
      <c r="L28" s="47"/>
      <c r="M28" s="11">
        <f t="shared" si="1"/>
        <v>18</v>
      </c>
    </row>
    <row r="29" spans="1:13" x14ac:dyDescent="0.3">
      <c r="A29" s="11">
        <f t="shared" si="0"/>
        <v>19</v>
      </c>
      <c r="B29" s="14" t="s">
        <v>39</v>
      </c>
      <c r="C29" s="18">
        <f>'B-Billing Determinants'!G32</f>
        <v>6753591.5071859909</v>
      </c>
      <c r="D29" s="18"/>
      <c r="E29" s="18">
        <f>'B-Billing Determinants'!I32</f>
        <v>6782648.6053437786</v>
      </c>
      <c r="F29" s="18"/>
      <c r="G29" s="18">
        <f>'B-Billing Determinants'!K32</f>
        <v>7119936.6196114337</v>
      </c>
      <c r="H29" s="18"/>
      <c r="I29" s="18">
        <f>'B-Billing Determinants'!M32</f>
        <v>7138909.4377961857</v>
      </c>
      <c r="J29" s="18"/>
      <c r="K29" s="47">
        <f>SUM('A-Revenues@Changed Rates'!C29,'A-Revenues@Changed Rates'!E29,'A-Revenues@Changed Rates'!G29,'A-Revenues@Changed Rates'!I29,'B-Revenues@Changed Rates'!C29,'B-Revenues@Changed Rates'!E29,'B-Revenues@Changed Rates'!G29,'B-Revenues@Changed Rates'!I29,'C-Revenues@Changed Rates'!C29,'C-Revenues@Changed Rates'!E29,'C-Revenues@Changed Rates'!G29,'C-Revenues@Changed Rates'!I29)</f>
        <v>82252759.895366594</v>
      </c>
      <c r="L29" s="47"/>
      <c r="M29" s="11">
        <f t="shared" si="1"/>
        <v>19</v>
      </c>
    </row>
    <row r="30" spans="1:13" x14ac:dyDescent="0.3">
      <c r="A30" s="11">
        <f t="shared" si="0"/>
        <v>20</v>
      </c>
      <c r="B30" s="14"/>
      <c r="C30" s="18"/>
      <c r="D30" s="18"/>
      <c r="E30" s="18"/>
      <c r="F30" s="18"/>
      <c r="G30" s="18"/>
      <c r="H30" s="18"/>
      <c r="I30" s="18"/>
      <c r="J30" s="18"/>
      <c r="K30" s="47"/>
      <c r="L30" s="47"/>
      <c r="M30" s="11">
        <f t="shared" si="1"/>
        <v>20</v>
      </c>
    </row>
    <row r="31" spans="1:13" x14ac:dyDescent="0.3">
      <c r="A31" s="11">
        <f t="shared" si="0"/>
        <v>21</v>
      </c>
      <c r="B31" s="14" t="s">
        <v>111</v>
      </c>
      <c r="C31" s="22"/>
      <c r="D31" s="22">
        <f>'B-Billing Determinants'!H36</f>
        <v>145506</v>
      </c>
      <c r="E31" s="22"/>
      <c r="F31" s="22">
        <f>'B-Billing Determinants'!J36</f>
        <v>145506</v>
      </c>
      <c r="G31" s="22"/>
      <c r="H31" s="22">
        <f>'B-Billing Determinants'!L36</f>
        <v>145506</v>
      </c>
      <c r="I31" s="22"/>
      <c r="J31" s="22">
        <f>'B-Billing Determinants'!N36</f>
        <v>145506</v>
      </c>
      <c r="K31" s="57"/>
      <c r="L31" s="57">
        <f>SUM('A-Revenues@Changed Rates'!D31,'A-Revenues@Changed Rates'!F31,'A-Revenues@Changed Rates'!H31,'A-Revenues@Changed Rates'!J31,'B-Revenues@Changed Rates'!D31,'B-Revenues@Changed Rates'!F31,'B-Revenues@Changed Rates'!H31,'B-Revenues@Changed Rates'!J31,'C-Revenues@Changed Rates'!D31,'C-Revenues@Changed Rates'!F31,'C-Revenues@Changed Rates'!H31,'C-Revenues@Changed Rates'!J31)</f>
        <v>1746072</v>
      </c>
      <c r="M31" s="11">
        <f t="shared" si="1"/>
        <v>21</v>
      </c>
    </row>
    <row r="32" spans="1:13" x14ac:dyDescent="0.3">
      <c r="A32" s="11">
        <f t="shared" si="0"/>
        <v>22</v>
      </c>
      <c r="B32" s="14"/>
      <c r="C32" s="18"/>
      <c r="D32" s="18"/>
      <c r="E32" s="18"/>
      <c r="F32" s="18"/>
      <c r="G32" s="18"/>
      <c r="H32" s="18"/>
      <c r="I32" s="18"/>
      <c r="J32" s="18"/>
      <c r="K32" s="47"/>
      <c r="L32" s="47"/>
      <c r="M32" s="11">
        <f t="shared" si="1"/>
        <v>22</v>
      </c>
    </row>
    <row r="33" spans="1:13" ht="19.5" thickBot="1" x14ac:dyDescent="0.35">
      <c r="A33" s="11">
        <f t="shared" si="0"/>
        <v>23</v>
      </c>
      <c r="B33" s="19" t="s">
        <v>60</v>
      </c>
      <c r="C33" s="23">
        <f>SUM(C11:C31)</f>
        <v>1769942805.2285492</v>
      </c>
      <c r="D33" s="23"/>
      <c r="E33" s="23">
        <f>SUM(E11:E31)</f>
        <v>1502240449.0470715</v>
      </c>
      <c r="F33" s="23"/>
      <c r="G33" s="23">
        <f>SUM(G11:G31)</f>
        <v>1351203202.7939498</v>
      </c>
      <c r="H33" s="23"/>
      <c r="I33" s="23">
        <f>SUM(I11:I31)</f>
        <v>1449376041.0362847</v>
      </c>
      <c r="J33" s="23"/>
      <c r="K33" s="23">
        <f>SUM(K11:K31)</f>
        <v>17041668502.748388</v>
      </c>
      <c r="L33" s="58"/>
      <c r="M33" s="11">
        <f t="shared" si="1"/>
        <v>23</v>
      </c>
    </row>
    <row r="34" spans="1:13" ht="19.5" thickTop="1" x14ac:dyDescent="0.3">
      <c r="A34" s="17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4"/>
    </row>
    <row r="35" spans="1:13" x14ac:dyDescent="0.3">
      <c r="B35" s="97" t="str">
        <f>'A-Revenues@Changed Rates'!B35</f>
        <v xml:space="preserve">NOTES: 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</row>
    <row r="36" spans="1:13" ht="22.5" x14ac:dyDescent="0.3">
      <c r="A36" s="77">
        <v>1</v>
      </c>
      <c r="B36" s="74" t="s">
        <v>468</v>
      </c>
      <c r="C36" s="25"/>
      <c r="D36" s="25"/>
      <c r="E36" s="25"/>
      <c r="F36" s="25"/>
      <c r="G36" s="25"/>
      <c r="H36" s="25"/>
      <c r="I36" s="25"/>
      <c r="J36" s="25"/>
      <c r="K36" s="223"/>
      <c r="L36" s="25"/>
    </row>
    <row r="37" spans="1:13" x14ac:dyDescent="0.3">
      <c r="A37" s="7"/>
    </row>
    <row r="38" spans="1:13" x14ac:dyDescent="0.3">
      <c r="A38" s="8"/>
      <c r="B38" s="8"/>
      <c r="C38" s="9" t="s">
        <v>105</v>
      </c>
      <c r="D38" s="10"/>
      <c r="E38" s="9" t="s">
        <v>106</v>
      </c>
      <c r="F38" s="10"/>
      <c r="G38" s="9" t="s">
        <v>107</v>
      </c>
      <c r="H38" s="10"/>
      <c r="I38" s="9" t="s">
        <v>108</v>
      </c>
      <c r="J38" s="10"/>
      <c r="K38" s="9" t="s">
        <v>109</v>
      </c>
      <c r="L38" s="10"/>
      <c r="M38" s="8"/>
    </row>
    <row r="39" spans="1:13" x14ac:dyDescent="0.3">
      <c r="A39" s="11"/>
      <c r="B39" s="11"/>
      <c r="C39" s="427">
        <f>C7</f>
        <v>46266</v>
      </c>
      <c r="D39" s="428"/>
      <c r="E39" s="427">
        <f>E7</f>
        <v>46296</v>
      </c>
      <c r="F39" s="428"/>
      <c r="G39" s="427">
        <f>G7</f>
        <v>46327</v>
      </c>
      <c r="H39" s="428"/>
      <c r="I39" s="427">
        <f>I7</f>
        <v>46357</v>
      </c>
      <c r="J39" s="428"/>
      <c r="K39" s="12" t="s">
        <v>61</v>
      </c>
      <c r="L39" s="13"/>
      <c r="M39" s="11"/>
    </row>
    <row r="40" spans="1:13" x14ac:dyDescent="0.3">
      <c r="A40" s="11" t="s">
        <v>8</v>
      </c>
      <c r="B40" s="14"/>
      <c r="C40" s="15" t="s">
        <v>83</v>
      </c>
      <c r="D40" s="16"/>
      <c r="E40" s="15" t="s">
        <v>83</v>
      </c>
      <c r="F40" s="16"/>
      <c r="G40" s="15" t="s">
        <v>83</v>
      </c>
      <c r="H40" s="16"/>
      <c r="I40" s="15" t="s">
        <v>83</v>
      </c>
      <c r="J40" s="16"/>
      <c r="K40" s="15" t="s">
        <v>83</v>
      </c>
      <c r="L40" s="16"/>
      <c r="M40" s="11" t="s">
        <v>8</v>
      </c>
    </row>
    <row r="41" spans="1:13" x14ac:dyDescent="0.3">
      <c r="A41" s="17" t="s">
        <v>10</v>
      </c>
      <c r="B41" s="17" t="s">
        <v>11</v>
      </c>
      <c r="C41" s="17" t="s">
        <v>69</v>
      </c>
      <c r="D41" s="17" t="s">
        <v>70</v>
      </c>
      <c r="E41" s="17" t="s">
        <v>69</v>
      </c>
      <c r="F41" s="17" t="s">
        <v>70</v>
      </c>
      <c r="G41" s="17" t="s">
        <v>69</v>
      </c>
      <c r="H41" s="17" t="s">
        <v>70</v>
      </c>
      <c r="I41" s="17" t="s">
        <v>69</v>
      </c>
      <c r="J41" s="17" t="s">
        <v>70</v>
      </c>
      <c r="K41" s="17" t="s">
        <v>69</v>
      </c>
      <c r="L41" s="17" t="s">
        <v>70</v>
      </c>
      <c r="M41" s="17" t="s">
        <v>10</v>
      </c>
    </row>
    <row r="42" spans="1:13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 ht="22.5" x14ac:dyDescent="0.3">
      <c r="A43" s="11">
        <f>A33+1</f>
        <v>24</v>
      </c>
      <c r="B43" s="14" t="s">
        <v>84</v>
      </c>
      <c r="C43" s="102">
        <f>'A-Revenues@Changed Rates'!C43</f>
        <v>0.10392999999999999</v>
      </c>
      <c r="D43" s="47"/>
      <c r="E43" s="102">
        <f>C43</f>
        <v>0.10392999999999999</v>
      </c>
      <c r="F43" s="47"/>
      <c r="G43" s="102">
        <f>E43</f>
        <v>0.10392999999999999</v>
      </c>
      <c r="H43" s="47"/>
      <c r="I43" s="102">
        <f>G43</f>
        <v>0.10392999999999999</v>
      </c>
      <c r="J43" s="47"/>
      <c r="K43" s="47"/>
      <c r="L43" s="47"/>
      <c r="M43" s="11">
        <f>M33+1</f>
        <v>24</v>
      </c>
    </row>
    <row r="44" spans="1:13" x14ac:dyDescent="0.3">
      <c r="A44" s="11">
        <f>A43+1</f>
        <v>25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1">
        <f>M43+1</f>
        <v>25</v>
      </c>
    </row>
    <row r="45" spans="1:13" ht="22.5" x14ac:dyDescent="0.3">
      <c r="A45" s="11">
        <f t="shared" ref="A45:A55" si="2">A44+1</f>
        <v>26</v>
      </c>
      <c r="B45" s="14" t="s">
        <v>85</v>
      </c>
      <c r="C45" s="102">
        <f>'A-Revenues@Changed Rates'!C45</f>
        <v>5.663E-2</v>
      </c>
      <c r="D45" s="47"/>
      <c r="E45" s="102">
        <f>C45</f>
        <v>5.663E-2</v>
      </c>
      <c r="F45" s="47"/>
      <c r="G45" s="102">
        <f>E45</f>
        <v>5.663E-2</v>
      </c>
      <c r="H45" s="47"/>
      <c r="I45" s="102">
        <f>G45</f>
        <v>5.663E-2</v>
      </c>
      <c r="J45" s="47"/>
      <c r="K45" s="47"/>
      <c r="L45" s="47"/>
      <c r="M45" s="11">
        <f t="shared" ref="M45:M55" si="3">M44+1</f>
        <v>26</v>
      </c>
    </row>
    <row r="46" spans="1:13" x14ac:dyDescent="0.3">
      <c r="A46" s="11">
        <f t="shared" si="2"/>
        <v>27</v>
      </c>
      <c r="B46" s="2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11">
        <f t="shared" si="3"/>
        <v>27</v>
      </c>
    </row>
    <row r="47" spans="1:13" ht="22.5" x14ac:dyDescent="0.3">
      <c r="A47" s="11">
        <f t="shared" si="2"/>
        <v>28</v>
      </c>
      <c r="B47" s="14" t="s">
        <v>86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1">
        <f t="shared" si="3"/>
        <v>28</v>
      </c>
    </row>
    <row r="48" spans="1:13" x14ac:dyDescent="0.3">
      <c r="A48" s="11">
        <f t="shared" si="2"/>
        <v>29</v>
      </c>
      <c r="B48" s="14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1">
        <f t="shared" si="3"/>
        <v>29</v>
      </c>
    </row>
    <row r="49" spans="1:13" ht="22.5" x14ac:dyDescent="0.3">
      <c r="A49" s="11">
        <f t="shared" si="2"/>
        <v>30</v>
      </c>
      <c r="B49" s="14" t="s">
        <v>87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1">
        <f t="shared" si="3"/>
        <v>30</v>
      </c>
    </row>
    <row r="50" spans="1:13" x14ac:dyDescent="0.3">
      <c r="A50" s="11">
        <f t="shared" si="2"/>
        <v>31</v>
      </c>
      <c r="B50" s="14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1">
        <f t="shared" si="3"/>
        <v>31</v>
      </c>
    </row>
    <row r="51" spans="1:13" ht="22.5" x14ac:dyDescent="0.3">
      <c r="A51" s="11">
        <f t="shared" si="2"/>
        <v>32</v>
      </c>
      <c r="B51" s="14" t="s">
        <v>88</v>
      </c>
      <c r="C51" s="102">
        <f>'B-Revenues@Changed Rates'!I51</f>
        <v>3.3610000000000001E-2</v>
      </c>
      <c r="D51" s="47"/>
      <c r="E51" s="102">
        <f>C51</f>
        <v>3.3610000000000001E-2</v>
      </c>
      <c r="F51" s="47"/>
      <c r="G51" s="102">
        <f>E51</f>
        <v>3.3610000000000001E-2</v>
      </c>
      <c r="H51" s="47"/>
      <c r="I51" s="102">
        <f>G51</f>
        <v>3.3610000000000001E-2</v>
      </c>
      <c r="J51" s="47"/>
      <c r="K51" s="47"/>
      <c r="L51" s="47"/>
      <c r="M51" s="11">
        <f t="shared" si="3"/>
        <v>32</v>
      </c>
    </row>
    <row r="52" spans="1:13" x14ac:dyDescent="0.3">
      <c r="A52" s="11">
        <f t="shared" si="2"/>
        <v>33</v>
      </c>
      <c r="B52" s="14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1">
        <f t="shared" si="3"/>
        <v>33</v>
      </c>
    </row>
    <row r="53" spans="1:13" ht="22.5" x14ac:dyDescent="0.3">
      <c r="A53" s="11">
        <f t="shared" si="2"/>
        <v>34</v>
      </c>
      <c r="B53" s="14" t="s">
        <v>89</v>
      </c>
      <c r="C53" s="102">
        <f>'A-Revenues@Changed Rates'!C53</f>
        <v>4.3999999999999997E-2</v>
      </c>
      <c r="D53" s="47"/>
      <c r="E53" s="102">
        <f>C53</f>
        <v>4.3999999999999997E-2</v>
      </c>
      <c r="F53" s="47"/>
      <c r="G53" s="102">
        <f>E53</f>
        <v>4.3999999999999997E-2</v>
      </c>
      <c r="H53" s="47"/>
      <c r="I53" s="102">
        <f>G53</f>
        <v>4.3999999999999997E-2</v>
      </c>
      <c r="J53" s="47"/>
      <c r="K53" s="47"/>
      <c r="L53" s="47"/>
      <c r="M53" s="11">
        <f t="shared" si="3"/>
        <v>34</v>
      </c>
    </row>
    <row r="54" spans="1:13" x14ac:dyDescent="0.3">
      <c r="A54" s="11">
        <f t="shared" si="2"/>
        <v>35</v>
      </c>
      <c r="B54" s="14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1">
        <f t="shared" si="3"/>
        <v>35</v>
      </c>
    </row>
    <row r="55" spans="1:13" ht="22.5" x14ac:dyDescent="0.3">
      <c r="A55" s="11">
        <f t="shared" si="2"/>
        <v>36</v>
      </c>
      <c r="B55" s="19" t="s">
        <v>90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11">
        <f t="shared" si="3"/>
        <v>36</v>
      </c>
    </row>
    <row r="56" spans="1:13" x14ac:dyDescent="0.3">
      <c r="A56" s="17"/>
      <c r="B56" s="24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24"/>
    </row>
    <row r="57" spans="1:13" x14ac:dyDescent="0.3">
      <c r="B57" s="97" t="str">
        <f>'A-Revenues@Changed Rates'!B57</f>
        <v>NOTES:</v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</row>
    <row r="58" spans="1:13" ht="22.5" x14ac:dyDescent="0.3">
      <c r="A58" s="76" t="s">
        <v>91</v>
      </c>
      <c r="B58" s="1" t="str">
        <f>'A-Revenues@Changed Rates'!B58</f>
        <v>The changed rates information comes from Statement BL, Page BL-1, Column A, Lines 1 through 41.</v>
      </c>
    </row>
    <row r="59" spans="1:13" ht="22.5" x14ac:dyDescent="0.3">
      <c r="A59" s="76" t="s">
        <v>93</v>
      </c>
      <c r="B59" s="1" t="str">
        <f>'A-Revenues@Changed Rates'!B59</f>
        <v>The demand rates for Medium &amp; Large Commercial/Industrial, Schedule PA-T-1, and Standby customers are shown on Pages BG-6, BG-7, BG-8, BG-9, BG-13, and BG-14.</v>
      </c>
    </row>
    <row r="60" spans="1:13" x14ac:dyDescent="0.3">
      <c r="A60" s="7"/>
    </row>
    <row r="61" spans="1:13" x14ac:dyDescent="0.3">
      <c r="A61" s="8"/>
      <c r="B61" s="8"/>
      <c r="C61" s="9" t="s">
        <v>105</v>
      </c>
      <c r="D61" s="10"/>
      <c r="E61" s="9" t="s">
        <v>106</v>
      </c>
      <c r="F61" s="10"/>
      <c r="G61" s="9" t="s">
        <v>107</v>
      </c>
      <c r="H61" s="10"/>
      <c r="I61" s="9" t="s">
        <v>108</v>
      </c>
      <c r="J61" s="10"/>
      <c r="K61" s="9" t="s">
        <v>109</v>
      </c>
      <c r="L61" s="10"/>
      <c r="M61" s="8"/>
    </row>
    <row r="62" spans="1:13" x14ac:dyDescent="0.3">
      <c r="A62" s="11"/>
      <c r="B62" s="11"/>
      <c r="C62" s="427">
        <f>C39</f>
        <v>46266</v>
      </c>
      <c r="D62" s="428"/>
      <c r="E62" s="427">
        <f>E39</f>
        <v>46296</v>
      </c>
      <c r="F62" s="428"/>
      <c r="G62" s="427">
        <f>G39</f>
        <v>46327</v>
      </c>
      <c r="H62" s="428"/>
      <c r="I62" s="427">
        <f>I39</f>
        <v>46357</v>
      </c>
      <c r="J62" s="428"/>
      <c r="K62" s="12" t="s">
        <v>61</v>
      </c>
      <c r="L62" s="13"/>
      <c r="M62" s="11"/>
    </row>
    <row r="63" spans="1:13" ht="22.5" x14ac:dyDescent="0.3">
      <c r="A63" s="11" t="s">
        <v>8</v>
      </c>
      <c r="B63" s="14"/>
      <c r="C63" s="15" t="s">
        <v>95</v>
      </c>
      <c r="D63" s="16"/>
      <c r="E63" s="15" t="s">
        <v>95</v>
      </c>
      <c r="F63" s="16"/>
      <c r="G63" s="15" t="s">
        <v>95</v>
      </c>
      <c r="H63" s="16"/>
      <c r="I63" s="15" t="s">
        <v>95</v>
      </c>
      <c r="J63" s="16"/>
      <c r="K63" s="15" t="s">
        <v>112</v>
      </c>
      <c r="L63" s="16"/>
      <c r="M63" s="11" t="s">
        <v>8</v>
      </c>
    </row>
    <row r="64" spans="1:13" x14ac:dyDescent="0.3">
      <c r="A64" s="17" t="s">
        <v>10</v>
      </c>
      <c r="B64" s="17" t="s">
        <v>11</v>
      </c>
      <c r="C64" s="17" t="s">
        <v>69</v>
      </c>
      <c r="D64" s="17" t="s">
        <v>70</v>
      </c>
      <c r="E64" s="17" t="s">
        <v>69</v>
      </c>
      <c r="F64" s="17" t="s">
        <v>70</v>
      </c>
      <c r="G64" s="17" t="s">
        <v>69</v>
      </c>
      <c r="H64" s="17" t="s">
        <v>70</v>
      </c>
      <c r="I64" s="17" t="s">
        <v>69</v>
      </c>
      <c r="J64" s="17" t="s">
        <v>70</v>
      </c>
      <c r="K64" s="17" t="s">
        <v>69</v>
      </c>
      <c r="L64" s="17" t="s">
        <v>70</v>
      </c>
      <c r="M64" s="17" t="s">
        <v>10</v>
      </c>
    </row>
    <row r="65" spans="1:14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60"/>
    </row>
    <row r="66" spans="1:14" x14ac:dyDescent="0.3">
      <c r="A66" s="11">
        <f>A55+1</f>
        <v>37</v>
      </c>
      <c r="B66" s="14" t="s">
        <v>17</v>
      </c>
      <c r="C66" s="40">
        <f t="shared" ref="C66:J66" si="4">C11*C43</f>
        <v>64015623.594357558</v>
      </c>
      <c r="D66" s="40">
        <f t="shared" si="4"/>
        <v>0</v>
      </c>
      <c r="E66" s="40">
        <f t="shared" si="4"/>
        <v>46583790.175240368</v>
      </c>
      <c r="F66" s="40">
        <f t="shared" si="4"/>
        <v>0</v>
      </c>
      <c r="G66" s="40">
        <f t="shared" si="4"/>
        <v>40094561.118574187</v>
      </c>
      <c r="H66" s="40">
        <f t="shared" si="4"/>
        <v>0</v>
      </c>
      <c r="I66" s="40">
        <f t="shared" si="4"/>
        <v>47025842.858456813</v>
      </c>
      <c r="J66" s="40">
        <f t="shared" si="4"/>
        <v>0</v>
      </c>
      <c r="K66" s="40">
        <f>SUM('A-Revenues@Changed Rates'!C66,'A-Revenues@Changed Rates'!E66,'A-Revenues@Changed Rates'!G66,'A-Revenues@Changed Rates'!I66,'B-Revenues@Changed Rates'!C66,'B-Revenues@Changed Rates'!E66,'B-Revenues@Changed Rates'!G66,'B-Revenues@Changed Rates'!I66,C66,E66,G66,I66)</f>
        <v>534146616.19020295</v>
      </c>
      <c r="L66" s="40">
        <f>SUM('A-Revenues@Changed Rates'!D66,'A-Revenues@Changed Rates'!F66,'A-Revenues@Changed Rates'!H66,'A-Revenues@Changed Rates'!J66,'B-Revenues@Changed Rates'!D66,'B-Revenues@Changed Rates'!F66,'B-Revenues@Changed Rates'!H66,'B-Revenues@Changed Rates'!J66,D66,F66,H66,J66)</f>
        <v>0</v>
      </c>
      <c r="M66" s="61">
        <f>M55+1</f>
        <v>37</v>
      </c>
    </row>
    <row r="67" spans="1:14" x14ac:dyDescent="0.3">
      <c r="A67" s="11">
        <f>A66+1</f>
        <v>38</v>
      </c>
      <c r="B67" s="19"/>
      <c r="C67" s="20"/>
      <c r="D67" s="20"/>
      <c r="E67" s="20"/>
      <c r="F67" s="20"/>
      <c r="G67" s="20"/>
      <c r="H67" s="20"/>
      <c r="I67" s="20"/>
      <c r="J67" s="20"/>
      <c r="K67" s="62"/>
      <c r="L67" s="62"/>
      <c r="M67" s="61">
        <f>M66+1</f>
        <v>38</v>
      </c>
    </row>
    <row r="68" spans="1:14" x14ac:dyDescent="0.3">
      <c r="A68" s="11">
        <f t="shared" ref="A68:A86" si="5">A67+1</f>
        <v>39</v>
      </c>
      <c r="B68" s="14" t="s">
        <v>20</v>
      </c>
      <c r="C68" s="40">
        <f t="shared" ref="C68:J68" si="6">C13*C45</f>
        <v>13552576.398629326</v>
      </c>
      <c r="D68" s="40">
        <f t="shared" si="6"/>
        <v>0</v>
      </c>
      <c r="E68" s="40">
        <f t="shared" si="6"/>
        <v>11968669.903673977</v>
      </c>
      <c r="F68" s="40">
        <f t="shared" si="6"/>
        <v>0</v>
      </c>
      <c r="G68" s="40">
        <f t="shared" si="6"/>
        <v>11060720.222647592</v>
      </c>
      <c r="H68" s="40">
        <f t="shared" si="6"/>
        <v>0</v>
      </c>
      <c r="I68" s="40">
        <f t="shared" si="6"/>
        <v>11000037.601911221</v>
      </c>
      <c r="J68" s="40">
        <f t="shared" si="6"/>
        <v>0</v>
      </c>
      <c r="K68" s="40">
        <f>SUM('A-Revenues@Changed Rates'!C68,'A-Revenues@Changed Rates'!E68,'A-Revenues@Changed Rates'!G68,'A-Revenues@Changed Rates'!I68,'B-Revenues@Changed Rates'!C68,'B-Revenues@Changed Rates'!E68,'B-Revenues@Changed Rates'!G68,'B-Revenues@Changed Rates'!I68,C68,E68,G68,I68)</f>
        <v>138296148.88252929</v>
      </c>
      <c r="L68" s="40">
        <f>SUM('A-Revenues@Changed Rates'!D68,'A-Revenues@Changed Rates'!F68,'A-Revenues@Changed Rates'!H68,'A-Revenues@Changed Rates'!J68,'B-Revenues@Changed Rates'!D68,'B-Revenues@Changed Rates'!F68,'B-Revenues@Changed Rates'!H68,'B-Revenues@Changed Rates'!J68,D68,F68,H68,J68)</f>
        <v>0</v>
      </c>
      <c r="M68" s="61">
        <f t="shared" ref="M68:M90" si="7">M67+1</f>
        <v>39</v>
      </c>
    </row>
    <row r="69" spans="1:14" x14ac:dyDescent="0.3">
      <c r="A69" s="11">
        <f t="shared" si="5"/>
        <v>40</v>
      </c>
      <c r="B69" s="21"/>
      <c r="C69" s="63"/>
      <c r="D69" s="27"/>
      <c r="E69" s="63"/>
      <c r="F69" s="27"/>
      <c r="G69" s="63"/>
      <c r="H69" s="27"/>
      <c r="I69" s="63"/>
      <c r="J69" s="27"/>
      <c r="K69" s="40"/>
      <c r="L69" s="40"/>
      <c r="M69" s="61">
        <f t="shared" si="7"/>
        <v>40</v>
      </c>
    </row>
    <row r="70" spans="1:14" x14ac:dyDescent="0.3">
      <c r="A70" s="11">
        <f t="shared" si="5"/>
        <v>41</v>
      </c>
      <c r="B70" s="14" t="s">
        <v>110</v>
      </c>
      <c r="C70" s="40">
        <f>'A-Med &amp; Lrg C-I'!E42</f>
        <v>0</v>
      </c>
      <c r="D70" s="40"/>
      <c r="E70" s="40">
        <f>'A-Med &amp; Lrg C-I'!F42</f>
        <v>0</v>
      </c>
      <c r="F70" s="40"/>
      <c r="G70" s="40">
        <f>'A-Med &amp; Lrg C-I'!G42</f>
        <v>0</v>
      </c>
      <c r="H70" s="40"/>
      <c r="I70" s="40">
        <f>'A-Med &amp; Lrg C-I'!H42</f>
        <v>0</v>
      </c>
      <c r="J70" s="40"/>
      <c r="K70" s="40">
        <f>SUM('A-Revenues@Changed Rates'!C70,'A-Revenues@Changed Rates'!E70,'A-Revenues@Changed Rates'!G70,'A-Revenues@Changed Rates'!I70,'B-Revenues@Changed Rates'!C70,'B-Revenues@Changed Rates'!E70,'B-Revenues@Changed Rates'!G70,'B-Revenues@Changed Rates'!I70,C70,E70,G70,I70)</f>
        <v>0</v>
      </c>
      <c r="L70" s="40"/>
      <c r="M70" s="61">
        <f t="shared" si="7"/>
        <v>41</v>
      </c>
    </row>
    <row r="71" spans="1:14" x14ac:dyDescent="0.3">
      <c r="A71" s="11">
        <f t="shared" si="5"/>
        <v>42</v>
      </c>
      <c r="B71" s="14" t="s">
        <v>73</v>
      </c>
      <c r="C71" s="40"/>
      <c r="D71" s="40">
        <f>'A-Med &amp; Lrg C-I'!E62</f>
        <v>0</v>
      </c>
      <c r="E71" s="40"/>
      <c r="F71" s="40">
        <f>'A-Med &amp; Lrg C-I'!F62</f>
        <v>0</v>
      </c>
      <c r="G71" s="40"/>
      <c r="H71" s="40">
        <f>'A-Med &amp; Lrg C-I'!G62</f>
        <v>0</v>
      </c>
      <c r="I71" s="40"/>
      <c r="J71" s="40">
        <f>'A-Med &amp; Lrg C-I'!H62</f>
        <v>0</v>
      </c>
      <c r="K71" s="40"/>
      <c r="L71" s="40">
        <f>SUM('A-Revenues@Changed Rates'!D71,'A-Revenues@Changed Rates'!F71,'A-Revenues@Changed Rates'!H71,'A-Revenues@Changed Rates'!J71,'B-Revenues@Changed Rates'!D71,'B-Revenues@Changed Rates'!F71,'B-Revenues@Changed Rates'!H71,'B-Revenues@Changed Rates'!J71,'C-Revenues@Changed Rates'!D71,F71,H71,J71)</f>
        <v>0</v>
      </c>
      <c r="M71" s="61">
        <f t="shared" si="7"/>
        <v>42</v>
      </c>
    </row>
    <row r="72" spans="1:14" x14ac:dyDescent="0.3">
      <c r="A72" s="11">
        <f t="shared" si="5"/>
        <v>43</v>
      </c>
      <c r="B72" s="14" t="s">
        <v>74</v>
      </c>
      <c r="C72" s="40"/>
      <c r="D72" s="40">
        <f>'B-Med &amp; Lrg C-I'!E54</f>
        <v>43408231.570682958</v>
      </c>
      <c r="E72" s="40"/>
      <c r="F72" s="40">
        <f>'B-Med &amp; Lrg C-I'!F54</f>
        <v>39846664.615651399</v>
      </c>
      <c r="G72" s="40"/>
      <c r="H72" s="40">
        <f>'B-Med &amp; Lrg C-I'!G54</f>
        <v>36465631.42689126</v>
      </c>
      <c r="I72" s="40"/>
      <c r="J72" s="40">
        <f>'B-Med &amp; Lrg C-I'!H54</f>
        <v>38118777.428029932</v>
      </c>
      <c r="K72" s="40"/>
      <c r="L72" s="40">
        <f>SUM('A-Revenues@Changed Rates'!D72,'A-Revenues@Changed Rates'!F72,'A-Revenues@Changed Rates'!H72,'A-Revenues@Changed Rates'!J72,'B-Revenues@Changed Rates'!D72,'B-Revenues@Changed Rates'!F72,'B-Revenues@Changed Rates'!H72,'B-Revenues@Changed Rates'!J72,'C-Revenues@Changed Rates'!D72,F72,H72,J72)</f>
        <v>449258438.65885913</v>
      </c>
      <c r="M72" s="61">
        <f t="shared" si="7"/>
        <v>43</v>
      </c>
    </row>
    <row r="73" spans="1:14" ht="22.5" x14ac:dyDescent="0.3">
      <c r="A73" s="11">
        <f t="shared" si="5"/>
        <v>44</v>
      </c>
      <c r="B73" s="14" t="s">
        <v>96</v>
      </c>
      <c r="C73" s="40"/>
      <c r="D73" s="40">
        <f>'C-Med &amp; Lrg C-I'!E54</f>
        <v>7783947.22810004</v>
      </c>
      <c r="E73" s="40"/>
      <c r="F73" s="40">
        <f>'C-Med &amp; Lrg C-I'!F54</f>
        <v>7125796.3980573304</v>
      </c>
      <c r="G73" s="40"/>
      <c r="H73" s="40">
        <f>'C-Med &amp; Lrg C-I'!G54</f>
        <v>1322035.9287649754</v>
      </c>
      <c r="I73" s="40"/>
      <c r="J73" s="40">
        <f>'C-Med &amp; Lrg C-I'!H54</f>
        <v>1366335.5279096356</v>
      </c>
      <c r="K73" s="40"/>
      <c r="L73" s="40">
        <f>SUM('A-Revenues@Changed Rates'!D73,'A-Revenues@Changed Rates'!F73,'A-Revenues@Changed Rates'!H73,'A-Revenues@Changed Rates'!J73,'B-Revenues@Changed Rates'!D73,'B-Revenues@Changed Rates'!F73,'B-Revenues@Changed Rates'!H73,'B-Revenues@Changed Rates'!J73,'C-Revenues@Changed Rates'!D73,F73,H73,J73)</f>
        <v>44930372.158766441</v>
      </c>
      <c r="M73" s="61">
        <f t="shared" si="7"/>
        <v>44</v>
      </c>
    </row>
    <row r="74" spans="1:14" ht="22.5" x14ac:dyDescent="0.3">
      <c r="A74" s="11">
        <f t="shared" si="5"/>
        <v>45</v>
      </c>
      <c r="B74" s="14" t="s">
        <v>97</v>
      </c>
      <c r="C74" s="40"/>
      <c r="D74" s="40">
        <f>'D-Med &amp; Lrg C-I'!E62</f>
        <v>807661.93634394137</v>
      </c>
      <c r="E74" s="40"/>
      <c r="F74" s="40">
        <f>'D-Med &amp; Lrg C-I'!F62</f>
        <v>761796.66739718383</v>
      </c>
      <c r="G74" s="40"/>
      <c r="H74" s="40">
        <f>'D-Med &amp; Lrg C-I'!G62</f>
        <v>137920.54618559498</v>
      </c>
      <c r="I74" s="40"/>
      <c r="J74" s="40">
        <f>'D-Med &amp; Lrg C-I'!H62</f>
        <v>159312.44598143868</v>
      </c>
      <c r="K74" s="40"/>
      <c r="L74" s="40">
        <f>SUM('A-Revenues@Changed Rates'!D74,'A-Revenues@Changed Rates'!F74,'A-Revenues@Changed Rates'!H74,'A-Revenues@Changed Rates'!J74,'B-Revenues@Changed Rates'!D74,'B-Revenues@Changed Rates'!F74,'B-Revenues@Changed Rates'!H74,'B-Revenues@Changed Rates'!J74,'C-Revenues@Changed Rates'!D74,F74,H74,J74)</f>
        <v>4863334.9546927437</v>
      </c>
      <c r="M74" s="61">
        <f t="shared" si="7"/>
        <v>45</v>
      </c>
    </row>
    <row r="75" spans="1:14" x14ac:dyDescent="0.3">
      <c r="A75" s="11">
        <f t="shared" si="5"/>
        <v>46</v>
      </c>
      <c r="B75" s="14"/>
      <c r="C75" s="40"/>
      <c r="D75" s="18"/>
      <c r="E75" s="40"/>
      <c r="F75" s="18"/>
      <c r="G75" s="40"/>
      <c r="H75" s="18"/>
      <c r="I75" s="40"/>
      <c r="J75" s="40"/>
      <c r="K75" s="40"/>
      <c r="L75" s="40"/>
      <c r="M75" s="61">
        <f t="shared" si="7"/>
        <v>46</v>
      </c>
    </row>
    <row r="76" spans="1:14" x14ac:dyDescent="0.3">
      <c r="A76" s="11">
        <f t="shared" si="5"/>
        <v>47</v>
      </c>
      <c r="B76" s="127" t="s">
        <v>26</v>
      </c>
      <c r="C76" s="40">
        <f>'San Diego Unified Port District'!E46</f>
        <v>0</v>
      </c>
      <c r="D76" s="18"/>
      <c r="E76" s="40">
        <f>'San Diego Unified Port District'!F46</f>
        <v>0</v>
      </c>
      <c r="F76" s="18"/>
      <c r="G76" s="40">
        <f>'San Diego Unified Port District'!G46</f>
        <v>0</v>
      </c>
      <c r="H76" s="18"/>
      <c r="I76" s="40">
        <f>'San Diego Unified Port District'!H46</f>
        <v>0</v>
      </c>
      <c r="J76" s="18"/>
      <c r="K76" s="40">
        <f>SUM('A-Revenues@Changed Rates'!C76:J76,'B-Revenues@Changed Rates'!C76:J76,'C-Revenues@Changed Rates'!C76:J76)</f>
        <v>0</v>
      </c>
      <c r="L76" s="14"/>
      <c r="M76" s="61">
        <f t="shared" si="7"/>
        <v>47</v>
      </c>
    </row>
    <row r="77" spans="1:14" x14ac:dyDescent="0.3">
      <c r="A77" s="11">
        <f t="shared" si="5"/>
        <v>48</v>
      </c>
      <c r="B77" s="14" t="s">
        <v>74</v>
      </c>
      <c r="C77" s="40"/>
      <c r="D77" s="18">
        <f>'San Diego Unified Port District'!E56</f>
        <v>9040</v>
      </c>
      <c r="E77" s="40"/>
      <c r="F77" s="18">
        <f>'San Diego Unified Port District'!F56</f>
        <v>19097</v>
      </c>
      <c r="G77" s="40"/>
      <c r="H77" s="18">
        <f>'San Diego Unified Port District'!G56</f>
        <v>18758</v>
      </c>
      <c r="I77" s="40"/>
      <c r="J77" s="18">
        <f>'San Diego Unified Port District'!H56</f>
        <v>11073.999999999998</v>
      </c>
      <c r="K77" s="40"/>
      <c r="L77" s="40">
        <f>SUM('A-Revenues@Changed Rates'!C77:J77,'B-Revenues@Changed Rates'!C77:J77,'C-Revenues@Changed Rates'!C77:J77)</f>
        <v>164053</v>
      </c>
      <c r="M77" s="61">
        <f t="shared" si="7"/>
        <v>48</v>
      </c>
      <c r="N77" s="216"/>
    </row>
    <row r="78" spans="1:14" x14ac:dyDescent="0.3">
      <c r="A78" s="11">
        <f t="shared" si="5"/>
        <v>49</v>
      </c>
      <c r="B78" s="14" t="s">
        <v>77</v>
      </c>
      <c r="C78" s="40"/>
      <c r="D78" s="18">
        <f>'San Diego Unified Port District'!E68</f>
        <v>0</v>
      </c>
      <c r="E78" s="40"/>
      <c r="F78" s="18">
        <f>'San Diego Unified Port District'!F68</f>
        <v>0</v>
      </c>
      <c r="G78" s="40"/>
      <c r="H78" s="18">
        <f>'San Diego Unified Port District'!G68</f>
        <v>17737.2</v>
      </c>
      <c r="I78" s="40"/>
      <c r="J78" s="18">
        <f>'San Diego Unified Port District'!H68</f>
        <v>0</v>
      </c>
      <c r="K78" s="40"/>
      <c r="L78" s="40">
        <f>SUM('A-Revenues@Changed Rates'!C78:J78,'B-Revenues@Changed Rates'!C78:J78,'C-Revenues@Changed Rates'!C78:J78)</f>
        <v>17737.2</v>
      </c>
      <c r="M78" s="61">
        <f t="shared" si="7"/>
        <v>49</v>
      </c>
    </row>
    <row r="79" spans="1:14" x14ac:dyDescent="0.3">
      <c r="A79" s="11">
        <f t="shared" si="5"/>
        <v>50</v>
      </c>
      <c r="B79" s="14"/>
      <c r="C79" s="40"/>
      <c r="D79" s="18"/>
      <c r="E79" s="40"/>
      <c r="F79" s="18"/>
      <c r="G79" s="40"/>
      <c r="H79" s="18"/>
      <c r="I79" s="40"/>
      <c r="J79" s="40"/>
      <c r="K79" s="40"/>
      <c r="L79" s="40"/>
      <c r="M79" s="61">
        <f t="shared" si="7"/>
        <v>50</v>
      </c>
    </row>
    <row r="80" spans="1:14" x14ac:dyDescent="0.3">
      <c r="A80" s="11">
        <f t="shared" si="5"/>
        <v>51</v>
      </c>
      <c r="B80" s="14" t="str">
        <f>B25</f>
        <v>Agricultural</v>
      </c>
      <c r="C80" s="40"/>
      <c r="D80" s="18"/>
      <c r="E80" s="40"/>
      <c r="F80" s="18"/>
      <c r="G80" s="40"/>
      <c r="H80" s="18"/>
      <c r="I80" s="40"/>
      <c r="J80" s="40"/>
      <c r="K80" s="40"/>
      <c r="L80" s="40"/>
      <c r="M80" s="61">
        <f t="shared" si="7"/>
        <v>51</v>
      </c>
    </row>
    <row r="81" spans="1:14" x14ac:dyDescent="0.3">
      <c r="A81" s="11">
        <f t="shared" si="5"/>
        <v>52</v>
      </c>
      <c r="B81" s="14" t="str">
        <f>B26</f>
        <v xml:space="preserve">     Schedules PA and TOU-PA</v>
      </c>
      <c r="C81" s="40">
        <f>C26*C51</f>
        <v>636734.73244836018</v>
      </c>
      <c r="D81" s="18"/>
      <c r="E81" s="40">
        <f>E26*E51</f>
        <v>587629.74979973072</v>
      </c>
      <c r="F81" s="18"/>
      <c r="G81" s="40">
        <f>G26*G51</f>
        <v>484693.71858649666</v>
      </c>
      <c r="H81" s="18"/>
      <c r="I81" s="40">
        <f>I26*I51</f>
        <v>446514.90710315725</v>
      </c>
      <c r="J81" s="18"/>
      <c r="K81" s="40">
        <f>SUM('A-Revenues@Changed Rates'!C81:J81,'B-Revenues@Changed Rates'!C81:J81,'C-Revenues@Changed Rates'!C81:J81)</f>
        <v>5525306.3672912801</v>
      </c>
      <c r="L81" s="14"/>
      <c r="M81" s="61">
        <f t="shared" si="7"/>
        <v>52</v>
      </c>
    </row>
    <row r="82" spans="1:14" x14ac:dyDescent="0.3">
      <c r="A82" s="11">
        <f t="shared" si="5"/>
        <v>53</v>
      </c>
      <c r="B82" s="14" t="s">
        <v>80</v>
      </c>
      <c r="C82" s="40"/>
      <c r="D82" s="18">
        <f>'PA-T-1'!E62</f>
        <v>739457.19344851724</v>
      </c>
      <c r="E82" s="40"/>
      <c r="F82" s="18">
        <f>'PA-T-1'!F62</f>
        <v>714456.36305707484</v>
      </c>
      <c r="G82" s="40"/>
      <c r="H82" s="18">
        <f>'PA-T-1'!G62</f>
        <v>660567.83641808992</v>
      </c>
      <c r="I82" s="40"/>
      <c r="J82" s="18">
        <f>'PA-T-1'!H62</f>
        <v>607980.63968268235</v>
      </c>
      <c r="K82" s="40"/>
      <c r="L82" s="40">
        <f>SUM('A-Revenues@Changed Rates'!C82:J82,'B-Revenues@Changed Rates'!C82:J82,'C-Revenues@Changed Rates'!C82:J82)</f>
        <v>7628126.8163362294</v>
      </c>
      <c r="M82" s="61">
        <f t="shared" si="7"/>
        <v>53</v>
      </c>
    </row>
    <row r="83" spans="1:14" x14ac:dyDescent="0.3">
      <c r="A83" s="11">
        <f t="shared" si="5"/>
        <v>54</v>
      </c>
      <c r="B83" s="14"/>
      <c r="C83" s="40"/>
      <c r="D83" s="18"/>
      <c r="E83" s="40"/>
      <c r="F83" s="18"/>
      <c r="G83" s="40"/>
      <c r="H83" s="18"/>
      <c r="I83" s="40"/>
      <c r="J83" s="40"/>
      <c r="K83" s="40"/>
      <c r="L83" s="40"/>
      <c r="M83" s="61">
        <f t="shared" si="7"/>
        <v>54</v>
      </c>
    </row>
    <row r="84" spans="1:14" x14ac:dyDescent="0.3">
      <c r="A84" s="11">
        <f t="shared" si="5"/>
        <v>55</v>
      </c>
      <c r="B84" s="14" t="s">
        <v>39</v>
      </c>
      <c r="C84" s="40">
        <f t="shared" ref="C84:J84" si="8">C29*C53</f>
        <v>297158.02631618356</v>
      </c>
      <c r="D84" s="40">
        <f t="shared" si="8"/>
        <v>0</v>
      </c>
      <c r="E84" s="40">
        <f t="shared" si="8"/>
        <v>298436.53863512626</v>
      </c>
      <c r="F84" s="40">
        <f t="shared" si="8"/>
        <v>0</v>
      </c>
      <c r="G84" s="40">
        <f t="shared" si="8"/>
        <v>313277.21126290306</v>
      </c>
      <c r="H84" s="40">
        <f t="shared" si="8"/>
        <v>0</v>
      </c>
      <c r="I84" s="40">
        <f t="shared" si="8"/>
        <v>314112.01526303217</v>
      </c>
      <c r="J84" s="40">
        <f t="shared" si="8"/>
        <v>0</v>
      </c>
      <c r="K84" s="40">
        <f>SUM('A-Revenues@Changed Rates'!C84,'A-Revenues@Changed Rates'!E84,'A-Revenues@Changed Rates'!G84,'A-Revenues@Changed Rates'!I84,'B-Revenues@Changed Rates'!C84,'B-Revenues@Changed Rates'!E84,'B-Revenues@Changed Rates'!G84,'B-Revenues@Changed Rates'!I84,C84,E84,G84,I84)</f>
        <v>3619121.4353961307</v>
      </c>
      <c r="L84" s="40">
        <f>SUM('A-Revenues@Changed Rates'!D84,'A-Revenues@Changed Rates'!F84,'A-Revenues@Changed Rates'!H84,'A-Revenues@Changed Rates'!J84,'B-Revenues@Changed Rates'!D84,'B-Revenues@Changed Rates'!F84,'B-Revenues@Changed Rates'!H84,'B-Revenues@Changed Rates'!J84,D84,F84,H84,J84)</f>
        <v>0</v>
      </c>
      <c r="M84" s="61">
        <f t="shared" si="7"/>
        <v>55</v>
      </c>
    </row>
    <row r="85" spans="1:14" x14ac:dyDescent="0.3">
      <c r="A85" s="11">
        <f t="shared" si="5"/>
        <v>56</v>
      </c>
      <c r="B85" s="14"/>
      <c r="C85" s="40"/>
      <c r="D85" s="18"/>
      <c r="E85" s="40"/>
      <c r="F85" s="18"/>
      <c r="G85" s="40"/>
      <c r="H85" s="18"/>
      <c r="I85" s="40"/>
      <c r="J85" s="18"/>
      <c r="K85" s="40"/>
      <c r="L85" s="40"/>
      <c r="M85" s="61">
        <f t="shared" si="7"/>
        <v>56</v>
      </c>
    </row>
    <row r="86" spans="1:14" x14ac:dyDescent="0.3">
      <c r="A86" s="11">
        <f t="shared" si="5"/>
        <v>57</v>
      </c>
      <c r="B86" s="14" t="s">
        <v>111</v>
      </c>
      <c r="C86" s="40">
        <v>0</v>
      </c>
      <c r="D86" s="40">
        <f>Standby!E58</f>
        <v>1045415</v>
      </c>
      <c r="E86" s="40">
        <v>0</v>
      </c>
      <c r="F86" s="40">
        <f>Standby!F58</f>
        <v>1045415</v>
      </c>
      <c r="G86" s="40">
        <v>0</v>
      </c>
      <c r="H86" s="40">
        <f>Standby!G58</f>
        <v>1045415</v>
      </c>
      <c r="I86" s="40">
        <v>0</v>
      </c>
      <c r="J86" s="40">
        <f>Standby!H58</f>
        <v>1045415</v>
      </c>
      <c r="K86" s="40">
        <f>SUM('A-Revenues@Changed Rates'!C86,'A-Revenues@Changed Rates'!E86,'A-Revenues@Changed Rates'!G86,'A-Revenues@Changed Rates'!I86,'B-Revenues@Changed Rates'!C86,'B-Revenues@Changed Rates'!E86,'B-Revenues@Changed Rates'!G86,'B-Revenues@Changed Rates'!I86,C86,E86,G86,I86)</f>
        <v>0</v>
      </c>
      <c r="L86" s="40">
        <f>SUM('A-Revenues@Changed Rates'!D86,'A-Revenues@Changed Rates'!F86,'A-Revenues@Changed Rates'!H86,'A-Revenues@Changed Rates'!J86,'B-Revenues@Changed Rates'!D86,'B-Revenues@Changed Rates'!F86,'B-Revenues@Changed Rates'!H86,'B-Revenues@Changed Rates'!J86,D86,F86,H86,J86)</f>
        <v>12544980</v>
      </c>
      <c r="M86" s="61">
        <f t="shared" si="7"/>
        <v>57</v>
      </c>
    </row>
    <row r="87" spans="1:14" x14ac:dyDescent="0.3">
      <c r="A87" s="11">
        <f>A86+1</f>
        <v>58</v>
      </c>
      <c r="B87" s="14"/>
      <c r="C87" s="40"/>
      <c r="D87" s="18"/>
      <c r="E87" s="40"/>
      <c r="F87" s="18"/>
      <c r="G87" s="40"/>
      <c r="H87" s="18"/>
      <c r="I87" s="40"/>
      <c r="J87" s="18"/>
      <c r="K87" s="40"/>
      <c r="L87" s="18"/>
      <c r="M87" s="61">
        <f t="shared" si="7"/>
        <v>58</v>
      </c>
    </row>
    <row r="88" spans="1:14" x14ac:dyDescent="0.3">
      <c r="A88" s="11">
        <f>A87+1</f>
        <v>59</v>
      </c>
      <c r="B88" s="19" t="s">
        <v>98</v>
      </c>
      <c r="C88" s="64">
        <f t="shared" ref="C88:J88" si="9">SUM(C66:C86)</f>
        <v>78502092.751751423</v>
      </c>
      <c r="D88" s="64">
        <f t="shared" si="9"/>
        <v>53793752.928575449</v>
      </c>
      <c r="E88" s="64">
        <f t="shared" si="9"/>
        <v>59438526.3673492</v>
      </c>
      <c r="F88" s="64">
        <f t="shared" si="9"/>
        <v>49513226.044162989</v>
      </c>
      <c r="G88" s="64">
        <f t="shared" si="9"/>
        <v>51953252.271071181</v>
      </c>
      <c r="H88" s="64">
        <f t="shared" si="9"/>
        <v>39668065.938259929</v>
      </c>
      <c r="I88" s="64">
        <f t="shared" si="9"/>
        <v>58786507.382734224</v>
      </c>
      <c r="J88" s="64">
        <f t="shared" si="9"/>
        <v>41308895.041603684</v>
      </c>
      <c r="K88" s="65">
        <f>SUM('A-Revenues@Changed Rates'!C88,'A-Revenues@Changed Rates'!E88,'A-Revenues@Changed Rates'!G88,'A-Revenues@Changed Rates'!I88,'B-Revenues@Changed Rates'!C88,'B-Revenues@Changed Rates'!E88,'B-Revenues@Changed Rates'!G88,'B-Revenues@Changed Rates'!I88,C88,E88,G88,I88)</f>
        <v>681587192.8754195</v>
      </c>
      <c r="L88" s="65">
        <f>SUM('A-Revenues@Changed Rates'!D88,'A-Revenues@Changed Rates'!F88,'A-Revenues@Changed Rates'!H88,'A-Revenues@Changed Rates'!J88,'B-Revenues@Changed Rates'!D88,'B-Revenues@Changed Rates'!F88,'B-Revenues@Changed Rates'!H88,'B-Revenues@Changed Rates'!J88,D88,F88,H88,J88)</f>
        <v>519407042.78865457</v>
      </c>
      <c r="M88" s="11">
        <f t="shared" si="7"/>
        <v>59</v>
      </c>
    </row>
    <row r="89" spans="1:14" x14ac:dyDescent="0.3">
      <c r="A89" s="11">
        <f>A88+1</f>
        <v>60</v>
      </c>
      <c r="B89" s="19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11">
        <f t="shared" si="7"/>
        <v>60</v>
      </c>
    </row>
    <row r="90" spans="1:14" ht="19.5" thickBot="1" x14ac:dyDescent="0.35">
      <c r="A90" s="11">
        <f>A89+1</f>
        <v>61</v>
      </c>
      <c r="B90" s="19" t="s">
        <v>99</v>
      </c>
      <c r="C90" s="62"/>
      <c r="D90" s="66">
        <f>D88+C88</f>
        <v>132295845.68032688</v>
      </c>
      <c r="E90" s="62"/>
      <c r="F90" s="66">
        <f>F88+E88</f>
        <v>108951752.4115122</v>
      </c>
      <c r="G90" s="62"/>
      <c r="H90" s="66">
        <f>H88+G88</f>
        <v>91621318.20933111</v>
      </c>
      <c r="I90" s="62"/>
      <c r="J90" s="66">
        <f>J88+I88</f>
        <v>100095402.42433791</v>
      </c>
      <c r="K90" s="62"/>
      <c r="L90" s="66">
        <f>L88+K88</f>
        <v>1200994235.6640739</v>
      </c>
      <c r="M90" s="11">
        <f t="shared" si="7"/>
        <v>61</v>
      </c>
      <c r="N90" s="46"/>
    </row>
    <row r="91" spans="1:14" ht="19.5" thickTop="1" x14ac:dyDescent="0.3">
      <c r="A91" s="17"/>
      <c r="B91" s="2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4"/>
    </row>
    <row r="92" spans="1:14" x14ac:dyDescent="0.3">
      <c r="B92" s="25" t="str">
        <f>'A-Revenues@Changed Rates'!B92</f>
        <v xml:space="preserve">NOTES: </v>
      </c>
    </row>
    <row r="93" spans="1:14" ht="22.5" x14ac:dyDescent="0.3">
      <c r="A93" s="77">
        <v>4</v>
      </c>
      <c r="B93" s="1" t="str">
        <f>'A-Revenues@Changed Rates'!B93</f>
        <v>The revenues above are derived by multiplying the forecast billing determinants by the rates, except for Medium &amp; Large Commercial/Industrial, San Diego Unified Port District, Schedule PA-T-1, and Standby customers.</v>
      </c>
    </row>
    <row r="94" spans="1:14" ht="22.5" x14ac:dyDescent="0.3">
      <c r="A94" s="77"/>
      <c r="B94" s="1" t="str">
        <f>'A-Revenues@Changed Rates'!B94</f>
        <v>The derivation of revenues for Medium &amp; Large Commercial/Industrial, San Diego Unified Port District, Schedule PA-T-1, and Standby customers are shown on Pages BG-6, BG-7, BG-8, BG-9, BG-13, and BG-14.</v>
      </c>
    </row>
    <row r="95" spans="1:14" ht="22.5" x14ac:dyDescent="0.3">
      <c r="A95" s="77">
        <v>5</v>
      </c>
      <c r="B95" s="1" t="str">
        <f>'A-Revenues@Changed Rates'!B95</f>
        <v>Revenues for Medium and Large Commercial/Industrial customers include revenues of Standard Customers that have Maximum On-Peak Demand rates and Maximum Demand at the Time of System Peak rates based on SDG&amp;E's</v>
      </c>
    </row>
    <row r="96" spans="1:14" x14ac:dyDescent="0.3">
      <c r="A96" s="7"/>
      <c r="B96" s="1" t="str">
        <f>'A-Revenues@Changed Rates'!B96</f>
        <v>on-peak period of 4-9 p.m. everyday year-round. Grandfathered Maximum On-Peak Demand rates and Maximum Demand at the Time of System Peak rates, which are based on SDG&amp;E's</v>
      </c>
    </row>
    <row r="97" spans="1:2" x14ac:dyDescent="0.3">
      <c r="A97" s="7"/>
      <c r="B97" s="1" t="str">
        <f>'A-Revenues@Changed Rates'!B97</f>
        <v>previous on-peak period of 11 a.m. - 6 p.m. summer and 5-8 p.m. winter on weekdays, are not included due to assumed revenue neutrality.</v>
      </c>
    </row>
    <row r="98" spans="1:2" x14ac:dyDescent="0.3">
      <c r="A98" s="7"/>
    </row>
    <row r="99" spans="1:2" x14ac:dyDescent="0.3">
      <c r="A99" s="7"/>
    </row>
    <row r="100" spans="1:2" x14ac:dyDescent="0.3">
      <c r="A100" s="7"/>
    </row>
    <row r="101" spans="1:2" x14ac:dyDescent="0.3">
      <c r="A101" s="7"/>
    </row>
    <row r="102" spans="1:2" x14ac:dyDescent="0.3">
      <c r="A102" s="7"/>
    </row>
    <row r="103" spans="1:2" x14ac:dyDescent="0.3">
      <c r="A103" s="7"/>
    </row>
    <row r="104" spans="1:2" x14ac:dyDescent="0.3">
      <c r="A104" s="7"/>
    </row>
    <row r="105" spans="1:2" x14ac:dyDescent="0.3">
      <c r="A105" s="7"/>
    </row>
    <row r="106" spans="1:2" x14ac:dyDescent="0.3">
      <c r="A106" s="7"/>
    </row>
    <row r="107" spans="1:2" x14ac:dyDescent="0.3">
      <c r="A107" s="7"/>
    </row>
    <row r="108" spans="1:2" x14ac:dyDescent="0.3">
      <c r="A108" s="7"/>
    </row>
    <row r="109" spans="1:2" x14ac:dyDescent="0.3">
      <c r="A109" s="7"/>
    </row>
    <row r="110" spans="1:2" x14ac:dyDescent="0.3">
      <c r="A110" s="7"/>
    </row>
    <row r="111" spans="1:2" x14ac:dyDescent="0.3">
      <c r="A111" s="7"/>
    </row>
    <row r="112" spans="1:2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</sheetData>
  <mergeCells count="17">
    <mergeCell ref="A1:M1"/>
    <mergeCell ref="A2:M2"/>
    <mergeCell ref="A3:M3"/>
    <mergeCell ref="A4:M4"/>
    <mergeCell ref="K7:L7"/>
    <mergeCell ref="C7:D7"/>
    <mergeCell ref="E7:F7"/>
    <mergeCell ref="G7:H7"/>
    <mergeCell ref="I7:J7"/>
    <mergeCell ref="C62:D62"/>
    <mergeCell ref="E62:F62"/>
    <mergeCell ref="G62:H62"/>
    <mergeCell ref="I62:J62"/>
    <mergeCell ref="C39:D39"/>
    <mergeCell ref="E39:F39"/>
    <mergeCell ref="G39:H39"/>
    <mergeCell ref="I39:J39"/>
  </mergeCells>
  <phoneticPr fontId="3" type="noConversion"/>
  <printOptions horizontalCentered="1"/>
  <pageMargins left="0.25" right="0.25" top="0.5" bottom="0.5" header="0.25" footer="0.25"/>
  <pageSetup scale="37" orientation="portrait" r:id="rId1"/>
  <headerFooter scaleWithDoc="0">
    <oddFooter xml:space="preserve">&amp;L&amp;"Times New Roman,Regular"&amp;9Statement BG-Revenue Data to Reflect Changed Rates&amp;C&amp;"Times New Roman,Regular"&amp;9Page BG-&amp;P&amp;12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87"/>
  <sheetViews>
    <sheetView zoomScale="70" zoomScaleNormal="70" zoomScaleSheetLayoutView="70" workbookViewId="0">
      <selection activeCell="A2" sqref="A2:K2"/>
    </sheetView>
  </sheetViews>
  <sheetFormatPr defaultColWidth="6" defaultRowHeight="18.75" x14ac:dyDescent="0.3"/>
  <cols>
    <col min="1" max="1" width="5.5703125" style="1" bestFit="1" customWidth="1"/>
    <col min="2" max="2" width="46.42578125" style="1" customWidth="1"/>
    <col min="3" max="3" width="19.140625" style="1" bestFit="1" customWidth="1"/>
    <col min="4" max="8" width="17.140625" style="1" bestFit="1" customWidth="1"/>
    <col min="9" max="9" width="20.5703125" style="1" bestFit="1" customWidth="1"/>
    <col min="10" max="10" width="53.28515625" style="1" bestFit="1" customWidth="1"/>
    <col min="11" max="11" width="5.5703125" style="1" bestFit="1" customWidth="1"/>
    <col min="12" max="15" width="6" style="1" customWidth="1"/>
    <col min="16" max="16384" width="6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113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94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93">
        <f>'Summary of Revs @ Changed Rates'!H8</f>
        <v>46174</v>
      </c>
      <c r="I8" s="24"/>
      <c r="J8" s="95" t="s">
        <v>115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8"/>
      <c r="K9" s="11"/>
    </row>
    <row r="10" spans="1:17" x14ac:dyDescent="0.3">
      <c r="A10" s="11">
        <v>1</v>
      </c>
      <c r="B10" s="38" t="s">
        <v>116</v>
      </c>
      <c r="C10" s="14"/>
      <c r="D10" s="14"/>
      <c r="E10" s="14"/>
      <c r="F10" s="14"/>
      <c r="G10" s="14"/>
      <c r="H10" s="14"/>
      <c r="I10" s="14"/>
      <c r="J10" s="11"/>
      <c r="K10" s="11">
        <v>1</v>
      </c>
    </row>
    <row r="11" spans="1:17" x14ac:dyDescent="0.3">
      <c r="A11" s="11">
        <f>A10+1</f>
        <v>2</v>
      </c>
      <c r="B11" s="14" t="s">
        <v>117</v>
      </c>
      <c r="C11" s="18">
        <f>'Workpaper 1'!C147*1000</f>
        <v>718797731.45195258</v>
      </c>
      <c r="D11" s="18">
        <f>'Workpaper 1'!D147*1000</f>
        <v>680989309.74619114</v>
      </c>
      <c r="E11" s="18">
        <f>'Workpaper 1'!E147*1000</f>
        <v>682843723.33270192</v>
      </c>
      <c r="F11" s="18">
        <f>'Workpaper 1'!F147*1000</f>
        <v>686833634.35529459</v>
      </c>
      <c r="G11" s="18">
        <f>'Workpaper 1'!G147*1000</f>
        <v>693440612.41296256</v>
      </c>
      <c r="H11" s="18">
        <f>'Workpaper 1'!H147*1000</f>
        <v>723617546.56166637</v>
      </c>
      <c r="I11" s="14"/>
      <c r="J11" s="11" t="s">
        <v>118</v>
      </c>
      <c r="K11" s="11">
        <f t="shared" ref="K11:K33" si="0">K10+1</f>
        <v>2</v>
      </c>
    </row>
    <row r="12" spans="1:17" x14ac:dyDescent="0.3">
      <c r="A12" s="11">
        <f t="shared" ref="A12:A33" si="1">A11+1</f>
        <v>3</v>
      </c>
      <c r="B12" s="14" t="s">
        <v>119</v>
      </c>
      <c r="C12" s="24">
        <v>0</v>
      </c>
      <c r="D12" s="24">
        <f>C12</f>
        <v>0</v>
      </c>
      <c r="E12" s="24">
        <f>D12</f>
        <v>0</v>
      </c>
      <c r="F12" s="24">
        <f>E12</f>
        <v>0</v>
      </c>
      <c r="G12" s="24">
        <f>F12</f>
        <v>0</v>
      </c>
      <c r="H12" s="24">
        <f>G12</f>
        <v>0</v>
      </c>
      <c r="I12" s="14"/>
      <c r="J12" s="11"/>
      <c r="K12" s="11">
        <f t="shared" si="0"/>
        <v>3</v>
      </c>
    </row>
    <row r="13" spans="1:17" ht="19.5" thickBot="1" x14ac:dyDescent="0.35">
      <c r="A13" s="11">
        <f t="shared" si="1"/>
        <v>4</v>
      </c>
      <c r="B13" s="14" t="s">
        <v>120</v>
      </c>
      <c r="C13" s="42">
        <f t="shared" ref="C13:H13" si="2">C11*C12</f>
        <v>0</v>
      </c>
      <c r="D13" s="42">
        <f t="shared" si="2"/>
        <v>0</v>
      </c>
      <c r="E13" s="42">
        <f t="shared" si="2"/>
        <v>0</v>
      </c>
      <c r="F13" s="42">
        <f t="shared" si="2"/>
        <v>0</v>
      </c>
      <c r="G13" s="42">
        <f t="shared" si="2"/>
        <v>0</v>
      </c>
      <c r="H13" s="42">
        <f t="shared" si="2"/>
        <v>0</v>
      </c>
      <c r="I13" s="14"/>
      <c r="J13" s="11" t="s">
        <v>121</v>
      </c>
      <c r="K13" s="11">
        <f t="shared" si="0"/>
        <v>4</v>
      </c>
    </row>
    <row r="14" spans="1:17" ht="19.5" thickTop="1" x14ac:dyDescent="0.3">
      <c r="A14" s="11">
        <f t="shared" si="1"/>
        <v>5</v>
      </c>
      <c r="B14" s="14"/>
      <c r="C14" s="14"/>
      <c r="D14" s="14"/>
      <c r="E14" s="14"/>
      <c r="F14" s="14"/>
      <c r="G14" s="14"/>
      <c r="H14" s="14"/>
      <c r="I14" s="14"/>
      <c r="J14" s="11"/>
      <c r="K14" s="11">
        <f t="shared" si="0"/>
        <v>5</v>
      </c>
    </row>
    <row r="15" spans="1:17" x14ac:dyDescent="0.3">
      <c r="A15" s="11">
        <f t="shared" si="1"/>
        <v>6</v>
      </c>
      <c r="B15" s="32" t="s">
        <v>122</v>
      </c>
      <c r="C15" s="14"/>
      <c r="D15" s="14"/>
      <c r="E15" s="14"/>
      <c r="F15" s="14"/>
      <c r="G15" s="14"/>
      <c r="H15" s="14"/>
      <c r="I15" s="14"/>
      <c r="J15" s="11"/>
      <c r="K15" s="11">
        <f t="shared" si="0"/>
        <v>6</v>
      </c>
    </row>
    <row r="16" spans="1:17" x14ac:dyDescent="0.3">
      <c r="A16" s="11">
        <f t="shared" si="1"/>
        <v>7</v>
      </c>
      <c r="B16" s="14" t="s">
        <v>123</v>
      </c>
      <c r="C16" s="18">
        <f>'Workpaper 1'!C45*1000</f>
        <v>0</v>
      </c>
      <c r="D16" s="18">
        <f>'Workpaper 1'!D45*1000</f>
        <v>0</v>
      </c>
      <c r="E16" s="18">
        <f>'Workpaper 1'!E45*1000</f>
        <v>0</v>
      </c>
      <c r="F16" s="18">
        <f>'Workpaper 1'!F45*1000</f>
        <v>0</v>
      </c>
      <c r="G16" s="18">
        <f>'Workpaper 1'!G45*1000</f>
        <v>0</v>
      </c>
      <c r="H16" s="18">
        <f>'Workpaper 1'!H45*1000</f>
        <v>0</v>
      </c>
      <c r="I16" s="14"/>
      <c r="J16" s="11" t="s">
        <v>124</v>
      </c>
      <c r="K16" s="11">
        <f t="shared" si="0"/>
        <v>7</v>
      </c>
    </row>
    <row r="17" spans="1:11" x14ac:dyDescent="0.3">
      <c r="A17" s="11">
        <f t="shared" si="1"/>
        <v>8</v>
      </c>
      <c r="B17" s="14" t="s">
        <v>125</v>
      </c>
      <c r="C17" s="18">
        <f>'Workpaper 1'!C46*1000</f>
        <v>0</v>
      </c>
      <c r="D17" s="18">
        <f>'Workpaper 1'!D46*1000</f>
        <v>0</v>
      </c>
      <c r="E17" s="18">
        <f>'Workpaper 1'!E46*1000</f>
        <v>0</v>
      </c>
      <c r="F17" s="18">
        <f>'Workpaper 1'!F46*1000</f>
        <v>0</v>
      </c>
      <c r="G17" s="18">
        <f>'Workpaper 1'!G46*1000</f>
        <v>0</v>
      </c>
      <c r="H17" s="18">
        <f>'Workpaper 1'!H46*1000</f>
        <v>0</v>
      </c>
      <c r="I17" s="14"/>
      <c r="J17" s="11" t="s">
        <v>126</v>
      </c>
      <c r="K17" s="11">
        <f t="shared" si="0"/>
        <v>8</v>
      </c>
    </row>
    <row r="18" spans="1:11" x14ac:dyDescent="0.3">
      <c r="A18" s="11">
        <f t="shared" si="1"/>
        <v>9</v>
      </c>
      <c r="B18" s="14" t="s">
        <v>127</v>
      </c>
      <c r="C18" s="18">
        <f>'Workpaper 1'!C47*1000</f>
        <v>0</v>
      </c>
      <c r="D18" s="18">
        <f>'Workpaper 1'!D47*1000</f>
        <v>0</v>
      </c>
      <c r="E18" s="18">
        <f>'Workpaper 1'!E47*1000</f>
        <v>0</v>
      </c>
      <c r="F18" s="18">
        <f>'Workpaper 1'!F47*1000</f>
        <v>0</v>
      </c>
      <c r="G18" s="18">
        <f>'Workpaper 1'!G47*1000</f>
        <v>0</v>
      </c>
      <c r="H18" s="18">
        <f>'Workpaper 1'!H47*1000</f>
        <v>0</v>
      </c>
      <c r="I18" s="14"/>
      <c r="J18" s="11" t="s">
        <v>128</v>
      </c>
      <c r="K18" s="11">
        <f t="shared" si="0"/>
        <v>9</v>
      </c>
    </row>
    <row r="19" spans="1:11" ht="19.5" thickBot="1" x14ac:dyDescent="0.35">
      <c r="A19" s="11">
        <f t="shared" si="1"/>
        <v>10</v>
      </c>
      <c r="B19" s="14" t="s">
        <v>129</v>
      </c>
      <c r="C19" s="33">
        <f t="shared" ref="C19:H19" si="3">SUM(C16:C18)</f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  <c r="H19" s="33">
        <f t="shared" si="3"/>
        <v>0</v>
      </c>
      <c r="I19" s="14"/>
      <c r="J19" s="50" t="s">
        <v>130</v>
      </c>
      <c r="K19" s="11">
        <f t="shared" si="0"/>
        <v>10</v>
      </c>
    </row>
    <row r="20" spans="1:11" ht="20.25" thickTop="1" thickBot="1" x14ac:dyDescent="0.35">
      <c r="A20" s="11">
        <f t="shared" si="1"/>
        <v>11</v>
      </c>
      <c r="B20" s="14" t="s">
        <v>131</v>
      </c>
      <c r="C20" s="35">
        <f>'A-Billing Determinants'!D17</f>
        <v>0</v>
      </c>
      <c r="D20" s="35">
        <f>'A-Billing Determinants'!F17</f>
        <v>0</v>
      </c>
      <c r="E20" s="35">
        <f>'A-Billing Determinants'!H17</f>
        <v>0</v>
      </c>
      <c r="F20" s="35">
        <f>'A-Billing Determinants'!J17</f>
        <v>0</v>
      </c>
      <c r="G20" s="35">
        <f>'A-Billing Determinants'!L17</f>
        <v>0</v>
      </c>
      <c r="H20" s="35">
        <f>'A-Billing Determinants'!N17</f>
        <v>0</v>
      </c>
      <c r="I20" s="14"/>
      <c r="J20" s="11" t="s">
        <v>132</v>
      </c>
      <c r="K20" s="11">
        <f t="shared" si="0"/>
        <v>11</v>
      </c>
    </row>
    <row r="21" spans="1:11" ht="20.25" thickTop="1" thickBot="1" x14ac:dyDescent="0.35">
      <c r="A21" s="11">
        <f t="shared" si="1"/>
        <v>12</v>
      </c>
      <c r="B21" s="14" t="s">
        <v>133</v>
      </c>
      <c r="C21" s="35">
        <f t="shared" ref="C21:H21" si="4">C19-C20</f>
        <v>0</v>
      </c>
      <c r="D21" s="35">
        <f t="shared" si="4"/>
        <v>0</v>
      </c>
      <c r="E21" s="35">
        <f t="shared" si="4"/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14"/>
      <c r="J21" s="36" t="s">
        <v>134</v>
      </c>
      <c r="K21" s="11">
        <f>K20+1</f>
        <v>12</v>
      </c>
    </row>
    <row r="22" spans="1:11" ht="19.5" thickTop="1" x14ac:dyDescent="0.3">
      <c r="A22" s="11">
        <f t="shared" si="1"/>
        <v>13</v>
      </c>
      <c r="B22" s="14"/>
      <c r="C22" s="37"/>
      <c r="D22" s="37"/>
      <c r="E22" s="37"/>
      <c r="F22" s="37"/>
      <c r="G22" s="37"/>
      <c r="H22" s="37"/>
      <c r="I22" s="14"/>
      <c r="J22" s="36"/>
      <c r="K22" s="11">
        <f t="shared" si="0"/>
        <v>13</v>
      </c>
    </row>
    <row r="23" spans="1:11" x14ac:dyDescent="0.3">
      <c r="A23" s="11">
        <f t="shared" si="1"/>
        <v>14</v>
      </c>
      <c r="B23" s="38" t="s">
        <v>135</v>
      </c>
      <c r="C23" s="37"/>
      <c r="D23" s="37"/>
      <c r="E23" s="37"/>
      <c r="F23" s="37"/>
      <c r="G23" s="37"/>
      <c r="H23" s="37"/>
      <c r="I23" s="14"/>
      <c r="J23" s="36"/>
      <c r="K23" s="11">
        <f t="shared" si="0"/>
        <v>14</v>
      </c>
    </row>
    <row r="24" spans="1:11" x14ac:dyDescent="0.3">
      <c r="A24" s="11">
        <f t="shared" si="1"/>
        <v>15</v>
      </c>
      <c r="B24" s="38" t="s">
        <v>136</v>
      </c>
      <c r="C24" s="14"/>
      <c r="D24" s="14"/>
      <c r="E24" s="14"/>
      <c r="F24" s="14"/>
      <c r="G24" s="14"/>
      <c r="H24" s="14"/>
      <c r="I24" s="14"/>
      <c r="J24" s="11"/>
      <c r="K24" s="11">
        <f t="shared" si="0"/>
        <v>15</v>
      </c>
    </row>
    <row r="25" spans="1:11" x14ac:dyDescent="0.3">
      <c r="A25" s="11">
        <f t="shared" si="1"/>
        <v>16</v>
      </c>
      <c r="B25" s="14" t="s">
        <v>123</v>
      </c>
      <c r="C25" s="51">
        <f>'[2]Transmission Rates Summary'!$F$19</f>
        <v>23.44</v>
      </c>
      <c r="D25" s="51">
        <f t="shared" ref="D25:H27" si="5">C25</f>
        <v>23.44</v>
      </c>
      <c r="E25" s="51">
        <f t="shared" si="5"/>
        <v>23.44</v>
      </c>
      <c r="F25" s="51">
        <f t="shared" si="5"/>
        <v>23.44</v>
      </c>
      <c r="G25" s="51">
        <f t="shared" si="5"/>
        <v>23.44</v>
      </c>
      <c r="H25" s="51">
        <f t="shared" si="5"/>
        <v>23.44</v>
      </c>
      <c r="I25" s="14"/>
      <c r="J25" s="11" t="s">
        <v>137</v>
      </c>
      <c r="K25" s="11">
        <f t="shared" si="0"/>
        <v>16</v>
      </c>
    </row>
    <row r="26" spans="1:11" x14ac:dyDescent="0.3">
      <c r="A26" s="11">
        <f t="shared" si="1"/>
        <v>17</v>
      </c>
      <c r="B26" s="14" t="s">
        <v>138</v>
      </c>
      <c r="C26" s="51">
        <f>'[2]Transmission Rates Summary'!$E$19</f>
        <v>22.65</v>
      </c>
      <c r="D26" s="51">
        <f t="shared" si="5"/>
        <v>22.65</v>
      </c>
      <c r="E26" s="51">
        <f t="shared" si="5"/>
        <v>22.65</v>
      </c>
      <c r="F26" s="51">
        <f t="shared" si="5"/>
        <v>22.65</v>
      </c>
      <c r="G26" s="51">
        <f t="shared" si="5"/>
        <v>22.65</v>
      </c>
      <c r="H26" s="51">
        <f t="shared" si="5"/>
        <v>22.65</v>
      </c>
      <c r="I26" s="14"/>
      <c r="J26" s="11" t="s">
        <v>139</v>
      </c>
      <c r="K26" s="11">
        <f t="shared" si="0"/>
        <v>17</v>
      </c>
    </row>
    <row r="27" spans="1:11" x14ac:dyDescent="0.3">
      <c r="A27" s="11">
        <f t="shared" si="1"/>
        <v>18</v>
      </c>
      <c r="B27" s="14" t="s">
        <v>127</v>
      </c>
      <c r="C27" s="51">
        <f>'[2]Transmission Rates Summary'!$D$19</f>
        <v>22.55</v>
      </c>
      <c r="D27" s="51">
        <f t="shared" si="5"/>
        <v>22.55</v>
      </c>
      <c r="E27" s="51">
        <f t="shared" si="5"/>
        <v>22.55</v>
      </c>
      <c r="F27" s="51">
        <f t="shared" si="5"/>
        <v>22.55</v>
      </c>
      <c r="G27" s="51">
        <f t="shared" si="5"/>
        <v>22.55</v>
      </c>
      <c r="H27" s="51">
        <f t="shared" si="5"/>
        <v>22.55</v>
      </c>
      <c r="I27" s="14"/>
      <c r="J27" s="11" t="s">
        <v>140</v>
      </c>
      <c r="K27" s="11">
        <f t="shared" si="0"/>
        <v>18</v>
      </c>
    </row>
    <row r="28" spans="1:11" x14ac:dyDescent="0.3">
      <c r="A28" s="11">
        <f t="shared" si="1"/>
        <v>19</v>
      </c>
      <c r="B28" s="38" t="s">
        <v>141</v>
      </c>
      <c r="C28" s="51"/>
      <c r="D28" s="39"/>
      <c r="E28" s="39"/>
      <c r="F28" s="39"/>
      <c r="G28" s="39"/>
      <c r="H28" s="39"/>
      <c r="I28" s="14"/>
      <c r="J28" s="11"/>
      <c r="K28" s="11">
        <f t="shared" si="0"/>
        <v>19</v>
      </c>
    </row>
    <row r="29" spans="1:11" x14ac:dyDescent="0.3">
      <c r="A29" s="11">
        <f t="shared" si="1"/>
        <v>20</v>
      </c>
      <c r="B29" s="38" t="s">
        <v>142</v>
      </c>
      <c r="C29" s="37"/>
      <c r="D29" s="37"/>
      <c r="E29" s="37"/>
      <c r="F29" s="37"/>
      <c r="G29" s="37"/>
      <c r="H29" s="37"/>
      <c r="I29" s="14"/>
      <c r="J29" s="36"/>
      <c r="K29" s="11">
        <f t="shared" si="0"/>
        <v>20</v>
      </c>
    </row>
    <row r="30" spans="1:11" x14ac:dyDescent="0.3">
      <c r="A30" s="11">
        <f t="shared" si="1"/>
        <v>21</v>
      </c>
      <c r="B30" s="14" t="s">
        <v>123</v>
      </c>
      <c r="C30" s="40">
        <f t="shared" ref="C30:H32" si="6">C25*C16</f>
        <v>0</v>
      </c>
      <c r="D30" s="40">
        <f t="shared" si="6"/>
        <v>0</v>
      </c>
      <c r="E30" s="40">
        <f t="shared" si="6"/>
        <v>0</v>
      </c>
      <c r="F30" s="40">
        <f t="shared" si="6"/>
        <v>0</v>
      </c>
      <c r="G30" s="40">
        <f t="shared" si="6"/>
        <v>0</v>
      </c>
      <c r="H30" s="40">
        <f t="shared" si="6"/>
        <v>0</v>
      </c>
      <c r="I30" s="14"/>
      <c r="J30" s="36" t="s">
        <v>143</v>
      </c>
      <c r="K30" s="11">
        <f t="shared" si="0"/>
        <v>21</v>
      </c>
    </row>
    <row r="31" spans="1:11" x14ac:dyDescent="0.3">
      <c r="A31" s="11">
        <f t="shared" si="1"/>
        <v>22</v>
      </c>
      <c r="B31" s="14" t="s">
        <v>125</v>
      </c>
      <c r="C31" s="37">
        <f t="shared" si="6"/>
        <v>0</v>
      </c>
      <c r="D31" s="37">
        <f t="shared" si="6"/>
        <v>0</v>
      </c>
      <c r="E31" s="37">
        <f t="shared" si="6"/>
        <v>0</v>
      </c>
      <c r="F31" s="37">
        <f t="shared" si="6"/>
        <v>0</v>
      </c>
      <c r="G31" s="37">
        <f t="shared" si="6"/>
        <v>0</v>
      </c>
      <c r="H31" s="37">
        <f t="shared" si="6"/>
        <v>0</v>
      </c>
      <c r="I31" s="14"/>
      <c r="J31" s="36" t="s">
        <v>144</v>
      </c>
      <c r="K31" s="11">
        <f t="shared" si="0"/>
        <v>22</v>
      </c>
    </row>
    <row r="32" spans="1:11" x14ac:dyDescent="0.3">
      <c r="A32" s="11">
        <f t="shared" si="1"/>
        <v>23</v>
      </c>
      <c r="B32" s="14" t="s">
        <v>127</v>
      </c>
      <c r="C32" s="37">
        <f t="shared" si="6"/>
        <v>0</v>
      </c>
      <c r="D32" s="37">
        <f t="shared" si="6"/>
        <v>0</v>
      </c>
      <c r="E32" s="37">
        <f t="shared" si="6"/>
        <v>0</v>
      </c>
      <c r="F32" s="37">
        <f t="shared" si="6"/>
        <v>0</v>
      </c>
      <c r="G32" s="37">
        <f t="shared" si="6"/>
        <v>0</v>
      </c>
      <c r="H32" s="37">
        <f t="shared" si="6"/>
        <v>0</v>
      </c>
      <c r="I32" s="14"/>
      <c r="J32" s="36" t="s">
        <v>145</v>
      </c>
      <c r="K32" s="11">
        <f t="shared" si="0"/>
        <v>23</v>
      </c>
    </row>
    <row r="33" spans="1:17" ht="19.5" thickBot="1" x14ac:dyDescent="0.35">
      <c r="A33" s="11">
        <f t="shared" si="1"/>
        <v>24</v>
      </c>
      <c r="B33" s="14" t="s">
        <v>146</v>
      </c>
      <c r="C33" s="42">
        <f t="shared" ref="C33:H33" si="7">SUM(C30:C32)</f>
        <v>0</v>
      </c>
      <c r="D33" s="42">
        <f t="shared" si="7"/>
        <v>0</v>
      </c>
      <c r="E33" s="42">
        <f t="shared" si="7"/>
        <v>0</v>
      </c>
      <c r="F33" s="42">
        <f t="shared" si="7"/>
        <v>0</v>
      </c>
      <c r="G33" s="42">
        <f t="shared" si="7"/>
        <v>0</v>
      </c>
      <c r="H33" s="42">
        <f t="shared" si="7"/>
        <v>0</v>
      </c>
      <c r="I33" s="14"/>
      <c r="J33" s="50" t="s">
        <v>147</v>
      </c>
      <c r="K33" s="11">
        <f t="shared" si="0"/>
        <v>24</v>
      </c>
    </row>
    <row r="34" spans="1:17" ht="19.5" thickTop="1" x14ac:dyDescent="0.3">
      <c r="A34" s="17"/>
      <c r="B34" s="24"/>
      <c r="C34" s="24"/>
      <c r="D34" s="24"/>
      <c r="E34" s="24"/>
      <c r="F34" s="24"/>
      <c r="G34" s="24"/>
      <c r="H34" s="24"/>
      <c r="I34" s="24"/>
      <c r="J34" s="17"/>
      <c r="K34" s="17"/>
    </row>
    <row r="35" spans="1:17" x14ac:dyDescent="0.3">
      <c r="A35" s="7"/>
      <c r="O35" s="46"/>
      <c r="P35" s="7"/>
      <c r="Q35" s="7"/>
    </row>
    <row r="36" spans="1:17" x14ac:dyDescent="0.3">
      <c r="A36" s="8" t="s">
        <v>8</v>
      </c>
      <c r="B36" s="28"/>
      <c r="C36" s="8" t="str">
        <f>C7</f>
        <v>(A)</v>
      </c>
      <c r="D36" s="8" t="str">
        <f t="shared" ref="D36:I36" si="8">D7</f>
        <v>(B)</v>
      </c>
      <c r="E36" s="8" t="str">
        <f t="shared" si="8"/>
        <v>(C)</v>
      </c>
      <c r="F36" s="8" t="str">
        <f t="shared" si="8"/>
        <v>(D)</v>
      </c>
      <c r="G36" s="8" t="str">
        <f t="shared" si="8"/>
        <v>(E)</v>
      </c>
      <c r="H36" s="8" t="str">
        <f t="shared" si="8"/>
        <v>(F)</v>
      </c>
      <c r="I36" s="8" t="str">
        <f t="shared" si="8"/>
        <v>(G)</v>
      </c>
      <c r="J36" s="28"/>
      <c r="K36" s="8" t="s">
        <v>8</v>
      </c>
      <c r="O36" s="46"/>
      <c r="P36" s="7"/>
      <c r="Q36" s="7"/>
    </row>
    <row r="37" spans="1:17" ht="22.5" x14ac:dyDescent="0.3">
      <c r="A37" s="17" t="s">
        <v>10</v>
      </c>
      <c r="B37" s="17" t="s">
        <v>114</v>
      </c>
      <c r="C37" s="29">
        <f>'Summary of Revs @ Changed Rates'!C30</f>
        <v>46204</v>
      </c>
      <c r="D37" s="29">
        <f>'Summary of Revs @ Changed Rates'!D30</f>
        <v>46235</v>
      </c>
      <c r="E37" s="29">
        <f>'Summary of Revs @ Changed Rates'!E30</f>
        <v>46266</v>
      </c>
      <c r="F37" s="29">
        <f>'Summary of Revs @ Changed Rates'!F30</f>
        <v>46296</v>
      </c>
      <c r="G37" s="29">
        <f>'Summary of Revs @ Changed Rates'!G30</f>
        <v>46327</v>
      </c>
      <c r="H37" s="29">
        <f>'Summary of Revs @ Changed Rates'!H30</f>
        <v>46357</v>
      </c>
      <c r="I37" s="30" t="s">
        <v>61</v>
      </c>
      <c r="J37" s="17" t="s">
        <v>115</v>
      </c>
      <c r="K37" s="17" t="s">
        <v>10</v>
      </c>
      <c r="O37" s="46"/>
      <c r="P37" s="7"/>
      <c r="Q37" s="7"/>
    </row>
    <row r="38" spans="1:17" x14ac:dyDescent="0.3">
      <c r="A38" s="11"/>
      <c r="B38" s="14"/>
      <c r="C38" s="31"/>
      <c r="D38" s="31"/>
      <c r="E38" s="31"/>
      <c r="F38" s="31"/>
      <c r="G38" s="31"/>
      <c r="H38" s="31"/>
      <c r="I38" s="11"/>
      <c r="J38" s="11"/>
      <c r="K38" s="11"/>
      <c r="O38" s="46"/>
      <c r="P38" s="7"/>
      <c r="Q38" s="7"/>
    </row>
    <row r="39" spans="1:17" x14ac:dyDescent="0.3">
      <c r="A39" s="11">
        <f>A33+1</f>
        <v>25</v>
      </c>
      <c r="B39" s="38" t="s">
        <v>116</v>
      </c>
      <c r="C39" s="14"/>
      <c r="D39" s="14"/>
      <c r="E39" s="14"/>
      <c r="F39" s="14"/>
      <c r="G39" s="14"/>
      <c r="H39" s="14"/>
      <c r="I39" s="14"/>
      <c r="J39" s="11"/>
      <c r="K39" s="11">
        <f>K33+1</f>
        <v>25</v>
      </c>
      <c r="O39" s="46"/>
      <c r="P39" s="7"/>
      <c r="Q39" s="7"/>
    </row>
    <row r="40" spans="1:17" x14ac:dyDescent="0.3">
      <c r="A40" s="11">
        <f>A39+1</f>
        <v>26</v>
      </c>
      <c r="B40" s="14" t="s">
        <v>117</v>
      </c>
      <c r="C40" s="47">
        <f>'Workpaper 1'!I147*1000</f>
        <v>806489656.84811842</v>
      </c>
      <c r="D40" s="47">
        <f>'Workpaper 1'!J147*1000</f>
        <v>833968518.35937226</v>
      </c>
      <c r="E40" s="47">
        <f>'Workpaper 1'!K147*1000</f>
        <v>867016873.16453326</v>
      </c>
      <c r="F40" s="47">
        <f>'Workpaper 1'!L147*1000</f>
        <v>796536574.47793376</v>
      </c>
      <c r="G40" s="47">
        <f>'Workpaper 1'!M147*1000</f>
        <v>728103253.38593173</v>
      </c>
      <c r="H40" s="47">
        <f>'Workpaper 1'!N147*1000</f>
        <v>763709820.81237149</v>
      </c>
      <c r="I40" s="37">
        <f>SUM(C11:H11,C40:H40)</f>
        <v>8982347254.9090309</v>
      </c>
      <c r="J40" s="11" t="str">
        <f>J11</f>
        <v>(Page BG-21.3, Line 145) x 1000</v>
      </c>
      <c r="K40" s="11">
        <f t="shared" ref="K40:K62" si="9">K39+1</f>
        <v>26</v>
      </c>
      <c r="O40" s="46"/>
      <c r="P40" s="7"/>
      <c r="Q40" s="7"/>
    </row>
    <row r="41" spans="1:17" x14ac:dyDescent="0.3">
      <c r="A41" s="11">
        <f t="shared" ref="A41:A62" si="10">A40+1</f>
        <v>27</v>
      </c>
      <c r="B41" s="14" t="s">
        <v>119</v>
      </c>
      <c r="C41" s="24">
        <f>H12</f>
        <v>0</v>
      </c>
      <c r="D41" s="24">
        <f>C41</f>
        <v>0</v>
      </c>
      <c r="E41" s="24">
        <f>D41</f>
        <v>0</v>
      </c>
      <c r="F41" s="24">
        <f>E41</f>
        <v>0</v>
      </c>
      <c r="G41" s="24">
        <f>F41</f>
        <v>0</v>
      </c>
      <c r="H41" s="24">
        <f>G41</f>
        <v>0</v>
      </c>
      <c r="I41" s="37">
        <f>SUM(C12:H12,C41:H41)</f>
        <v>0</v>
      </c>
      <c r="J41" s="11"/>
      <c r="K41" s="11">
        <f t="shared" si="9"/>
        <v>27</v>
      </c>
      <c r="O41" s="46"/>
      <c r="P41" s="7"/>
      <c r="Q41" s="7"/>
    </row>
    <row r="42" spans="1:17" ht="19.5" thickBot="1" x14ac:dyDescent="0.35">
      <c r="A42" s="11">
        <f t="shared" si="10"/>
        <v>28</v>
      </c>
      <c r="B42" s="14"/>
      <c r="C42" s="54">
        <f t="shared" ref="C42:H42" si="11">C40*C41</f>
        <v>0</v>
      </c>
      <c r="D42" s="54">
        <f t="shared" si="11"/>
        <v>0</v>
      </c>
      <c r="E42" s="54">
        <f t="shared" si="11"/>
        <v>0</v>
      </c>
      <c r="F42" s="54">
        <f t="shared" si="11"/>
        <v>0</v>
      </c>
      <c r="G42" s="54">
        <f t="shared" si="11"/>
        <v>0</v>
      </c>
      <c r="H42" s="54">
        <f t="shared" si="11"/>
        <v>0</v>
      </c>
      <c r="I42" s="54">
        <f>SUM(C13:H13,C42:H42)</f>
        <v>0</v>
      </c>
      <c r="J42" s="11" t="s">
        <v>148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10"/>
        <v>29</v>
      </c>
      <c r="B43" s="14"/>
      <c r="C43" s="14"/>
      <c r="D43" s="14"/>
      <c r="E43" s="14"/>
      <c r="F43" s="14"/>
      <c r="G43" s="14"/>
      <c r="H43" s="14"/>
      <c r="I43" s="14"/>
      <c r="J43" s="11"/>
      <c r="K43" s="11">
        <f t="shared" si="9"/>
        <v>29</v>
      </c>
      <c r="O43" s="46"/>
      <c r="P43" s="7"/>
      <c r="Q43" s="7"/>
    </row>
    <row r="44" spans="1:17" x14ac:dyDescent="0.3">
      <c r="A44" s="11">
        <f t="shared" si="10"/>
        <v>30</v>
      </c>
      <c r="B44" s="32" t="s">
        <v>122</v>
      </c>
      <c r="C44" s="14"/>
      <c r="D44" s="14"/>
      <c r="E44" s="14"/>
      <c r="F44" s="14"/>
      <c r="G44" s="14"/>
      <c r="H44" s="14"/>
      <c r="I44" s="14"/>
      <c r="J44" s="11"/>
      <c r="K44" s="11">
        <f t="shared" si="9"/>
        <v>30</v>
      </c>
      <c r="O44" s="46"/>
      <c r="P44" s="7"/>
      <c r="Q44" s="7"/>
    </row>
    <row r="45" spans="1:17" x14ac:dyDescent="0.3">
      <c r="A45" s="11">
        <f t="shared" si="10"/>
        <v>31</v>
      </c>
      <c r="B45" s="14" t="s">
        <v>123</v>
      </c>
      <c r="C45" s="47">
        <f>'Workpaper 1'!I45*1000</f>
        <v>0</v>
      </c>
      <c r="D45" s="47">
        <f>'Workpaper 1'!J45*1000</f>
        <v>0</v>
      </c>
      <c r="E45" s="47">
        <f>'Workpaper 1'!K45*1000</f>
        <v>0</v>
      </c>
      <c r="F45" s="47">
        <f>'Workpaper 1'!L45*1000</f>
        <v>0</v>
      </c>
      <c r="G45" s="47">
        <f>'Workpaper 1'!M45*1000</f>
        <v>0</v>
      </c>
      <c r="H45" s="47">
        <f>'Workpaper 1'!N45*1000</f>
        <v>0</v>
      </c>
      <c r="I45" s="37">
        <f>SUM(C16:H16,C45:H45)</f>
        <v>0</v>
      </c>
      <c r="J45" s="11" t="str">
        <f>J16</f>
        <v>(Page BG-21.1, Line 43) x 1000</v>
      </c>
      <c r="K45" s="11">
        <f t="shared" si="9"/>
        <v>31</v>
      </c>
      <c r="O45" s="46"/>
      <c r="P45" s="7"/>
      <c r="Q45" s="7"/>
    </row>
    <row r="46" spans="1:17" x14ac:dyDescent="0.3">
      <c r="A46" s="11">
        <f t="shared" si="10"/>
        <v>32</v>
      </c>
      <c r="B46" s="14" t="s">
        <v>125</v>
      </c>
      <c r="C46" s="47">
        <f>'Workpaper 1'!I46*1000</f>
        <v>0</v>
      </c>
      <c r="D46" s="47">
        <f>'Workpaper 1'!J46*1000</f>
        <v>0</v>
      </c>
      <c r="E46" s="47">
        <f>'Workpaper 1'!K46*1000</f>
        <v>0</v>
      </c>
      <c r="F46" s="47">
        <f>'Workpaper 1'!L46*1000</f>
        <v>0</v>
      </c>
      <c r="G46" s="47">
        <f>'Workpaper 1'!M46*1000</f>
        <v>0</v>
      </c>
      <c r="H46" s="47">
        <f>'Workpaper 1'!N46*1000</f>
        <v>0</v>
      </c>
      <c r="I46" s="37">
        <f>SUM(C17:H17,C46:H46)</f>
        <v>0</v>
      </c>
      <c r="J46" s="11" t="str">
        <f>J17</f>
        <v>(Page BG-21.1, Line 44) x 1000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10"/>
        <v>33</v>
      </c>
      <c r="B47" s="14" t="s">
        <v>127</v>
      </c>
      <c r="C47" s="47">
        <f>'Workpaper 1'!I47*1000</f>
        <v>0</v>
      </c>
      <c r="D47" s="47">
        <f>'Workpaper 1'!J47*1000</f>
        <v>0</v>
      </c>
      <c r="E47" s="47">
        <f>'Workpaper 1'!K47*1000</f>
        <v>0</v>
      </c>
      <c r="F47" s="47">
        <f>'Workpaper 1'!L47*1000</f>
        <v>0</v>
      </c>
      <c r="G47" s="47">
        <f>'Workpaper 1'!M47*1000</f>
        <v>0</v>
      </c>
      <c r="H47" s="47">
        <f>'Workpaper 1'!N47*1000</f>
        <v>0</v>
      </c>
      <c r="I47" s="37">
        <f>SUM(C18:H18,C47:H47)</f>
        <v>0</v>
      </c>
      <c r="J47" s="11" t="str">
        <f>J18</f>
        <v>(Page BG-21.1, Line 45) x 1000</v>
      </c>
      <c r="K47" s="11">
        <f t="shared" si="9"/>
        <v>33</v>
      </c>
      <c r="O47" s="46"/>
      <c r="P47" s="7"/>
      <c r="Q47" s="7"/>
    </row>
    <row r="48" spans="1:17" ht="19.5" thickBot="1" x14ac:dyDescent="0.35">
      <c r="A48" s="11">
        <f t="shared" si="10"/>
        <v>34</v>
      </c>
      <c r="B48" s="14" t="s">
        <v>129</v>
      </c>
      <c r="C48" s="48">
        <f t="shared" ref="C48:I48" si="12">SUM(C45:C47)</f>
        <v>0</v>
      </c>
      <c r="D48" s="48">
        <f t="shared" si="12"/>
        <v>0</v>
      </c>
      <c r="E48" s="48">
        <f t="shared" si="12"/>
        <v>0</v>
      </c>
      <c r="F48" s="48">
        <f t="shared" si="12"/>
        <v>0</v>
      </c>
      <c r="G48" s="48">
        <f t="shared" si="12"/>
        <v>0</v>
      </c>
      <c r="H48" s="48">
        <f t="shared" si="12"/>
        <v>0</v>
      </c>
      <c r="I48" s="49">
        <f t="shared" si="12"/>
        <v>0</v>
      </c>
      <c r="J48" s="50" t="s">
        <v>149</v>
      </c>
      <c r="K48" s="11">
        <f t="shared" si="9"/>
        <v>34</v>
      </c>
      <c r="O48" s="46"/>
      <c r="P48" s="7"/>
      <c r="Q48" s="7"/>
    </row>
    <row r="49" spans="1:17" ht="20.25" thickTop="1" thickBot="1" x14ac:dyDescent="0.35">
      <c r="A49" s="11">
        <f t="shared" si="10"/>
        <v>35</v>
      </c>
      <c r="B49" s="14" t="s">
        <v>131</v>
      </c>
      <c r="C49" s="35">
        <f>'B-Billing Determinants'!D17</f>
        <v>0</v>
      </c>
      <c r="D49" s="35">
        <f>'B-Billing Determinants'!F17</f>
        <v>0</v>
      </c>
      <c r="E49" s="35">
        <f>'B-Billing Determinants'!H17</f>
        <v>0</v>
      </c>
      <c r="F49" s="35">
        <f>'B-Billing Determinants'!J17</f>
        <v>0</v>
      </c>
      <c r="G49" s="35">
        <f>'B-Billing Determinants'!L17</f>
        <v>0</v>
      </c>
      <c r="H49" s="35">
        <f>'B-Billing Determinants'!N17</f>
        <v>0</v>
      </c>
      <c r="I49" s="37">
        <f>SUM(C20:H20,C49:H49)</f>
        <v>0</v>
      </c>
      <c r="J49" s="11" t="s">
        <v>150</v>
      </c>
      <c r="K49" s="11">
        <f t="shared" si="9"/>
        <v>35</v>
      </c>
      <c r="O49" s="46"/>
      <c r="P49" s="7"/>
      <c r="Q49" s="7"/>
    </row>
    <row r="50" spans="1:17" ht="20.25" thickTop="1" thickBot="1" x14ac:dyDescent="0.35">
      <c r="A50" s="11">
        <f t="shared" si="10"/>
        <v>36</v>
      </c>
      <c r="B50" s="14" t="s">
        <v>133</v>
      </c>
      <c r="C50" s="35">
        <f t="shared" ref="C50:I50" si="13">C48-C49</f>
        <v>0</v>
      </c>
      <c r="D50" s="35">
        <f t="shared" si="13"/>
        <v>0</v>
      </c>
      <c r="E50" s="35">
        <f t="shared" si="13"/>
        <v>0</v>
      </c>
      <c r="F50" s="35">
        <f t="shared" si="13"/>
        <v>0</v>
      </c>
      <c r="G50" s="35">
        <f t="shared" si="13"/>
        <v>0</v>
      </c>
      <c r="H50" s="35">
        <f t="shared" si="13"/>
        <v>0</v>
      </c>
      <c r="I50" s="35">
        <f t="shared" si="13"/>
        <v>0</v>
      </c>
      <c r="J50" s="36" t="s">
        <v>151</v>
      </c>
      <c r="K50" s="11">
        <f t="shared" si="9"/>
        <v>36</v>
      </c>
      <c r="O50" s="46"/>
      <c r="P50" s="7"/>
      <c r="Q50" s="7"/>
    </row>
    <row r="51" spans="1:17" ht="19.5" thickTop="1" x14ac:dyDescent="0.3">
      <c r="A51" s="11">
        <f t="shared" si="10"/>
        <v>37</v>
      </c>
      <c r="B51" s="11"/>
      <c r="C51" s="37"/>
      <c r="D51" s="37"/>
      <c r="E51" s="37"/>
      <c r="F51" s="37"/>
      <c r="G51" s="37"/>
      <c r="H51" s="37"/>
      <c r="I51" s="37"/>
      <c r="J51" s="36"/>
      <c r="K51" s="11">
        <f t="shared" si="9"/>
        <v>37</v>
      </c>
      <c r="O51" s="46"/>
      <c r="P51" s="7"/>
      <c r="Q51" s="7"/>
    </row>
    <row r="52" spans="1:17" x14ac:dyDescent="0.3">
      <c r="A52" s="11">
        <f t="shared" si="10"/>
        <v>38</v>
      </c>
      <c r="B52" s="38" t="s">
        <v>135</v>
      </c>
      <c r="C52" s="37"/>
      <c r="D52" s="37"/>
      <c r="E52" s="37"/>
      <c r="F52" s="37"/>
      <c r="G52" s="37"/>
      <c r="H52" s="37"/>
      <c r="I52" s="37"/>
      <c r="J52" s="36"/>
      <c r="K52" s="11">
        <f t="shared" si="9"/>
        <v>38</v>
      </c>
      <c r="O52" s="46"/>
      <c r="P52" s="7"/>
      <c r="Q52" s="7"/>
    </row>
    <row r="53" spans="1:17" x14ac:dyDescent="0.3">
      <c r="A53" s="11">
        <f t="shared" si="10"/>
        <v>39</v>
      </c>
      <c r="B53" s="38" t="s">
        <v>136</v>
      </c>
      <c r="C53" s="14"/>
      <c r="D53" s="14"/>
      <c r="E53" s="14"/>
      <c r="F53" s="14"/>
      <c r="G53" s="14"/>
      <c r="H53" s="14"/>
      <c r="I53" s="14"/>
      <c r="J53" s="11"/>
      <c r="K53" s="11">
        <f t="shared" si="9"/>
        <v>39</v>
      </c>
      <c r="O53" s="46"/>
      <c r="P53" s="7"/>
      <c r="Q53" s="7"/>
    </row>
    <row r="54" spans="1:17" x14ac:dyDescent="0.3">
      <c r="A54" s="11">
        <f t="shared" si="10"/>
        <v>40</v>
      </c>
      <c r="B54" s="14" t="s">
        <v>123</v>
      </c>
      <c r="C54" s="51">
        <f>H25</f>
        <v>23.44</v>
      </c>
      <c r="D54" s="51">
        <f t="shared" ref="D54:H56" si="14">C54</f>
        <v>23.44</v>
      </c>
      <c r="E54" s="51">
        <f t="shared" si="14"/>
        <v>23.44</v>
      </c>
      <c r="F54" s="51">
        <f t="shared" si="14"/>
        <v>23.44</v>
      </c>
      <c r="G54" s="51">
        <f t="shared" si="14"/>
        <v>23.44</v>
      </c>
      <c r="H54" s="51">
        <f t="shared" si="14"/>
        <v>23.44</v>
      </c>
      <c r="I54" s="14"/>
      <c r="J54" s="11" t="str">
        <f>J25</f>
        <v>Statement BL, Page BL-1, Line 6, Col. D</v>
      </c>
      <c r="K54" s="11">
        <f t="shared" si="9"/>
        <v>40</v>
      </c>
      <c r="O54" s="46"/>
      <c r="P54" s="7"/>
      <c r="Q54" s="7"/>
    </row>
    <row r="55" spans="1:17" x14ac:dyDescent="0.3">
      <c r="A55" s="11">
        <f t="shared" si="10"/>
        <v>41</v>
      </c>
      <c r="B55" s="14" t="s">
        <v>138</v>
      </c>
      <c r="C55" s="51">
        <f>H26</f>
        <v>22.65</v>
      </c>
      <c r="D55" s="51">
        <f t="shared" si="14"/>
        <v>22.65</v>
      </c>
      <c r="E55" s="51">
        <f t="shared" si="14"/>
        <v>22.65</v>
      </c>
      <c r="F55" s="51">
        <f t="shared" si="14"/>
        <v>22.65</v>
      </c>
      <c r="G55" s="51">
        <f t="shared" si="14"/>
        <v>22.65</v>
      </c>
      <c r="H55" s="51">
        <f t="shared" si="14"/>
        <v>22.65</v>
      </c>
      <c r="I55" s="14"/>
      <c r="J55" s="11" t="str">
        <f>J26</f>
        <v>Statement BL, Page BL-1, Line 6, Col. C</v>
      </c>
      <c r="K55" s="11">
        <f t="shared" si="9"/>
        <v>41</v>
      </c>
      <c r="O55" s="46"/>
      <c r="P55" s="7"/>
      <c r="Q55" s="7"/>
    </row>
    <row r="56" spans="1:17" x14ac:dyDescent="0.3">
      <c r="A56" s="11">
        <f t="shared" si="10"/>
        <v>42</v>
      </c>
      <c r="B56" s="14" t="s">
        <v>127</v>
      </c>
      <c r="C56" s="51">
        <f>H27</f>
        <v>22.55</v>
      </c>
      <c r="D56" s="51">
        <f t="shared" si="14"/>
        <v>22.55</v>
      </c>
      <c r="E56" s="51">
        <f t="shared" si="14"/>
        <v>22.55</v>
      </c>
      <c r="F56" s="51">
        <f t="shared" si="14"/>
        <v>22.55</v>
      </c>
      <c r="G56" s="51">
        <f t="shared" si="14"/>
        <v>22.55</v>
      </c>
      <c r="H56" s="51">
        <f t="shared" si="14"/>
        <v>22.55</v>
      </c>
      <c r="I56" s="14"/>
      <c r="J56" s="11" t="str">
        <f>J27</f>
        <v>Statement BL, Page BL-1, Line 6, Col. B</v>
      </c>
      <c r="K56" s="11">
        <f t="shared" si="9"/>
        <v>42</v>
      </c>
      <c r="O56" s="46"/>
      <c r="P56" s="7"/>
      <c r="Q56" s="7"/>
    </row>
    <row r="57" spans="1:17" x14ac:dyDescent="0.3">
      <c r="A57" s="11">
        <f t="shared" si="10"/>
        <v>43</v>
      </c>
      <c r="B57" s="38" t="s">
        <v>141</v>
      </c>
      <c r="C57" s="51"/>
      <c r="D57" s="51"/>
      <c r="E57" s="51"/>
      <c r="F57" s="51"/>
      <c r="G57" s="51"/>
      <c r="H57" s="51"/>
      <c r="I57" s="14"/>
      <c r="J57" s="61"/>
      <c r="K57" s="11">
        <f t="shared" si="9"/>
        <v>43</v>
      </c>
      <c r="O57" s="46"/>
      <c r="P57" s="7"/>
      <c r="Q57" s="7"/>
    </row>
    <row r="58" spans="1:17" x14ac:dyDescent="0.3">
      <c r="A58" s="11">
        <f t="shared" si="10"/>
        <v>44</v>
      </c>
      <c r="B58" s="38" t="s">
        <v>142</v>
      </c>
      <c r="C58" s="37"/>
      <c r="D58" s="37"/>
      <c r="E58" s="37"/>
      <c r="F58" s="37"/>
      <c r="G58" s="37"/>
      <c r="H58" s="37"/>
      <c r="I58" s="37"/>
      <c r="J58" s="52"/>
      <c r="K58" s="11">
        <f t="shared" si="9"/>
        <v>44</v>
      </c>
      <c r="O58" s="46"/>
      <c r="P58" s="7"/>
      <c r="Q58" s="7"/>
    </row>
    <row r="59" spans="1:17" x14ac:dyDescent="0.3">
      <c r="A59" s="11">
        <f t="shared" si="10"/>
        <v>45</v>
      </c>
      <c r="B59" s="14" t="s">
        <v>123</v>
      </c>
      <c r="C59" s="53">
        <f t="shared" ref="C59:H61" si="15">C54*C45</f>
        <v>0</v>
      </c>
      <c r="D59" s="53">
        <f t="shared" si="15"/>
        <v>0</v>
      </c>
      <c r="E59" s="53">
        <f t="shared" si="15"/>
        <v>0</v>
      </c>
      <c r="F59" s="53">
        <f t="shared" si="15"/>
        <v>0</v>
      </c>
      <c r="G59" s="53">
        <f t="shared" si="15"/>
        <v>0</v>
      </c>
      <c r="H59" s="53">
        <f t="shared" si="15"/>
        <v>0</v>
      </c>
      <c r="I59" s="53">
        <f>SUM(C30:H30,C59:H59)</f>
        <v>0</v>
      </c>
      <c r="J59" s="52" t="s">
        <v>152</v>
      </c>
      <c r="K59" s="11">
        <f t="shared" si="9"/>
        <v>45</v>
      </c>
      <c r="O59" s="46"/>
      <c r="P59" s="7"/>
      <c r="Q59" s="7"/>
    </row>
    <row r="60" spans="1:17" x14ac:dyDescent="0.3">
      <c r="A60" s="11">
        <f t="shared" si="10"/>
        <v>46</v>
      </c>
      <c r="B60" s="14" t="s">
        <v>125</v>
      </c>
      <c r="C60" s="37">
        <f t="shared" si="15"/>
        <v>0</v>
      </c>
      <c r="D60" s="37">
        <f t="shared" si="15"/>
        <v>0</v>
      </c>
      <c r="E60" s="37">
        <f t="shared" si="15"/>
        <v>0</v>
      </c>
      <c r="F60" s="37">
        <f t="shared" si="15"/>
        <v>0</v>
      </c>
      <c r="G60" s="37">
        <f t="shared" si="15"/>
        <v>0</v>
      </c>
      <c r="H60" s="37">
        <f t="shared" si="15"/>
        <v>0</v>
      </c>
      <c r="I60" s="53">
        <f>SUM(C31:H31,C60:H60)</f>
        <v>0</v>
      </c>
      <c r="J60" s="52" t="s">
        <v>153</v>
      </c>
      <c r="K60" s="11">
        <f t="shared" si="9"/>
        <v>46</v>
      </c>
      <c r="O60" s="46"/>
      <c r="P60" s="7"/>
      <c r="Q60" s="7"/>
    </row>
    <row r="61" spans="1:17" x14ac:dyDescent="0.3">
      <c r="A61" s="11">
        <f t="shared" si="10"/>
        <v>47</v>
      </c>
      <c r="B61" s="14" t="s">
        <v>127</v>
      </c>
      <c r="C61" s="37">
        <f t="shared" si="15"/>
        <v>0</v>
      </c>
      <c r="D61" s="37">
        <f t="shared" si="15"/>
        <v>0</v>
      </c>
      <c r="E61" s="37">
        <f t="shared" si="15"/>
        <v>0</v>
      </c>
      <c r="F61" s="37">
        <f t="shared" si="15"/>
        <v>0</v>
      </c>
      <c r="G61" s="37">
        <f t="shared" si="15"/>
        <v>0</v>
      </c>
      <c r="H61" s="37">
        <f t="shared" si="15"/>
        <v>0</v>
      </c>
      <c r="I61" s="53">
        <f>SUM(C32:H32,C61:H61)</f>
        <v>0</v>
      </c>
      <c r="J61" s="52" t="s">
        <v>154</v>
      </c>
      <c r="K61" s="11">
        <f t="shared" si="9"/>
        <v>47</v>
      </c>
      <c r="O61" s="46"/>
      <c r="P61" s="7"/>
      <c r="Q61" s="7"/>
    </row>
    <row r="62" spans="1:17" ht="19.5" thickBot="1" x14ac:dyDescent="0.35">
      <c r="A62" s="11">
        <f t="shared" si="10"/>
        <v>48</v>
      </c>
      <c r="B62" s="38" t="s">
        <v>155</v>
      </c>
      <c r="C62" s="54">
        <f t="shared" ref="C62:I62" si="16">SUM(C59:C61)</f>
        <v>0</v>
      </c>
      <c r="D62" s="54">
        <f t="shared" si="16"/>
        <v>0</v>
      </c>
      <c r="E62" s="54">
        <f t="shared" si="16"/>
        <v>0</v>
      </c>
      <c r="F62" s="54">
        <f t="shared" si="16"/>
        <v>0</v>
      </c>
      <c r="G62" s="54">
        <f t="shared" si="16"/>
        <v>0</v>
      </c>
      <c r="H62" s="54">
        <f t="shared" si="16"/>
        <v>0</v>
      </c>
      <c r="I62" s="54">
        <f t="shared" si="16"/>
        <v>0</v>
      </c>
      <c r="J62" s="50" t="s">
        <v>156</v>
      </c>
      <c r="K62" s="11">
        <f t="shared" si="9"/>
        <v>48</v>
      </c>
      <c r="O62" s="46"/>
      <c r="P62" s="7"/>
      <c r="Q62" s="7"/>
    </row>
    <row r="63" spans="1:17" ht="19.5" thickTop="1" x14ac:dyDescent="0.3">
      <c r="A63" s="17"/>
      <c r="B63" s="24"/>
      <c r="C63" s="24"/>
      <c r="D63" s="24"/>
      <c r="E63" s="24"/>
      <c r="F63" s="24"/>
      <c r="G63" s="24"/>
      <c r="H63" s="24"/>
      <c r="I63" s="56"/>
      <c r="J63" s="17"/>
      <c r="K63" s="17"/>
      <c r="O63" s="46"/>
      <c r="P63" s="7"/>
      <c r="Q63" s="7"/>
    </row>
    <row r="64" spans="1:17" x14ac:dyDescent="0.3">
      <c r="B64" s="25" t="s">
        <v>46</v>
      </c>
    </row>
    <row r="65" spans="1:2" ht="22.5" x14ac:dyDescent="0.3">
      <c r="A65" s="77">
        <v>1</v>
      </c>
      <c r="B65" s="1" t="s">
        <v>157</v>
      </c>
    </row>
    <row r="66" spans="1:2" ht="22.5" x14ac:dyDescent="0.3">
      <c r="A66" s="77"/>
    </row>
    <row r="67" spans="1:2" ht="22.5" x14ac:dyDescent="0.3">
      <c r="A67" s="77"/>
    </row>
    <row r="68" spans="1:2" ht="22.5" x14ac:dyDescent="0.3">
      <c r="A68" s="77"/>
    </row>
    <row r="69" spans="1:2" ht="22.5" x14ac:dyDescent="0.3">
      <c r="A69" s="77"/>
    </row>
    <row r="70" spans="1:2" x14ac:dyDescent="0.3">
      <c r="A70" s="7"/>
    </row>
    <row r="71" spans="1:2" x14ac:dyDescent="0.3">
      <c r="A71" s="7"/>
    </row>
    <row r="72" spans="1:2" x14ac:dyDescent="0.3">
      <c r="A72" s="7"/>
    </row>
    <row r="73" spans="1:2" x14ac:dyDescent="0.3">
      <c r="A73" s="7"/>
    </row>
    <row r="74" spans="1:2" x14ac:dyDescent="0.3">
      <c r="A74" s="7"/>
    </row>
    <row r="75" spans="1:2" x14ac:dyDescent="0.3">
      <c r="A75" s="7"/>
    </row>
    <row r="76" spans="1:2" x14ac:dyDescent="0.3">
      <c r="A76" s="7"/>
    </row>
    <row r="77" spans="1:2" x14ac:dyDescent="0.3">
      <c r="A77" s="7"/>
    </row>
    <row r="78" spans="1:2" x14ac:dyDescent="0.3">
      <c r="A78" s="7"/>
    </row>
    <row r="79" spans="1:2" x14ac:dyDescent="0.3">
      <c r="A79" s="7"/>
    </row>
    <row r="80" spans="1:2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</sheetData>
  <mergeCells count="5">
    <mergeCell ref="A5:K5"/>
    <mergeCell ref="A1:K1"/>
    <mergeCell ref="A2:K2"/>
    <mergeCell ref="A3:K3"/>
    <mergeCell ref="A4:K4"/>
  </mergeCells>
  <phoneticPr fontId="0" type="noConversion"/>
  <printOptions horizontalCentered="1"/>
  <pageMargins left="0.25" right="0.25" top="0.5" bottom="0.5" header="0.25" footer="0.25"/>
  <pageSetup scale="44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Q79"/>
  <sheetViews>
    <sheetView zoomScale="75" zoomScaleNormal="75" zoomScaleSheetLayoutView="70" workbookViewId="0">
      <selection activeCell="A6" sqref="A6"/>
    </sheetView>
  </sheetViews>
  <sheetFormatPr defaultColWidth="9.140625" defaultRowHeight="18.75" x14ac:dyDescent="0.3"/>
  <cols>
    <col min="1" max="1" width="5.5703125" style="1" bestFit="1" customWidth="1"/>
    <col min="2" max="2" width="38.28515625" style="1" customWidth="1"/>
    <col min="3" max="8" width="17.140625" style="1" bestFit="1" customWidth="1"/>
    <col min="9" max="9" width="18.42578125" style="1" bestFit="1" customWidth="1"/>
    <col min="10" max="10" width="77.42578125" style="1" bestFit="1" customWidth="1"/>
    <col min="11" max="11" width="5.5703125" style="1" bestFit="1" customWidth="1"/>
    <col min="12" max="14" width="17.140625" style="1" bestFit="1" customWidth="1"/>
    <col min="15" max="15" width="20.5703125" style="1" bestFit="1" customWidth="1"/>
    <col min="16" max="16" width="53.5703125" style="1" bestFit="1" customWidth="1"/>
    <col min="17" max="17" width="5.5703125" style="1" bestFit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5" t="str">
        <f>'A-Med &amp; Lrg C-I'!A4:K4</f>
        <v>Medium &amp; Large Commercial / Industrial Customers (Standard Customers)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92"/>
      <c r="M4" s="92"/>
      <c r="N4" s="92"/>
      <c r="O4" s="92"/>
      <c r="P4" s="92"/>
      <c r="Q4" s="92"/>
    </row>
    <row r="5" spans="1:17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29">
        <f>'Summary of Revs @ Changed Rates'!H8</f>
        <v>46174</v>
      </c>
      <c r="I8" s="24"/>
      <c r="J8" s="17" t="s">
        <v>158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159</v>
      </c>
      <c r="C10" s="14"/>
      <c r="D10" s="14"/>
      <c r="E10" s="14"/>
      <c r="F10" s="14"/>
      <c r="G10" s="14"/>
      <c r="H10" s="14"/>
      <c r="I10" s="14"/>
      <c r="J10" s="11"/>
      <c r="K10" s="11">
        <v>1</v>
      </c>
    </row>
    <row r="11" spans="1:17" ht="22.5" x14ac:dyDescent="0.3">
      <c r="A11" s="11">
        <f t="shared" ref="A11:A29" si="0">A10+1</f>
        <v>2</v>
      </c>
      <c r="B11" s="32" t="s">
        <v>160</v>
      </c>
      <c r="C11" s="14"/>
      <c r="D11" s="14"/>
      <c r="E11" s="14"/>
      <c r="F11" s="14"/>
      <c r="G11" s="14"/>
      <c r="H11" s="14"/>
      <c r="I11" s="14"/>
      <c r="J11" s="11"/>
      <c r="K11" s="11">
        <f t="shared" ref="K11:K29" si="1">K10+1</f>
        <v>2</v>
      </c>
    </row>
    <row r="12" spans="1:17" x14ac:dyDescent="0.3">
      <c r="A12" s="11">
        <f t="shared" si="0"/>
        <v>3</v>
      </c>
      <c r="B12" s="14" t="s">
        <v>123</v>
      </c>
      <c r="C12" s="18">
        <f>SUM('Workpaper 1'!C72,'Workpaper 1'!C118)*1000</f>
        <v>1215593.7488527375</v>
      </c>
      <c r="D12" s="18">
        <f>SUM('Workpaper 1'!D72,'Workpaper 1'!D118)*1000</f>
        <v>1164317.6860983756</v>
      </c>
      <c r="E12" s="18">
        <f>SUM('Workpaper 1'!E72,'Workpaper 1'!E118)*1000</f>
        <v>1151887.4066802643</v>
      </c>
      <c r="F12" s="18">
        <f>SUM('Workpaper 1'!F72,'Workpaper 1'!F118)*1000</f>
        <v>1154678.2807773366</v>
      </c>
      <c r="G12" s="18">
        <f>SUM('Workpaper 1'!G72,'Workpaper 1'!G118)*1000</f>
        <v>1173621.7032752384</v>
      </c>
      <c r="H12" s="18">
        <f>SUM('Workpaper 1'!H72,'Workpaper 1'!H118)*1000</f>
        <v>1225495.798894261</v>
      </c>
      <c r="I12" s="14"/>
      <c r="J12" s="11" t="s">
        <v>161</v>
      </c>
      <c r="K12" s="11">
        <f t="shared" si="1"/>
        <v>3</v>
      </c>
    </row>
    <row r="13" spans="1:17" x14ac:dyDescent="0.3">
      <c r="A13" s="11">
        <f t="shared" si="0"/>
        <v>4</v>
      </c>
      <c r="B13" s="14" t="s">
        <v>125</v>
      </c>
      <c r="C13" s="18">
        <f>SUM('Workpaper 1'!C73,'Workpaper 1'!C119)*1000</f>
        <v>375168.91779660195</v>
      </c>
      <c r="D13" s="18">
        <f>SUM('Workpaper 1'!D73,'Workpaper 1'!D119)*1000</f>
        <v>354146.1333199928</v>
      </c>
      <c r="E13" s="18">
        <f>SUM('Workpaper 1'!E73,'Workpaper 1'!E119)*1000</f>
        <v>356698.58581186214</v>
      </c>
      <c r="F13" s="18">
        <f>SUM('Workpaper 1'!F73,'Workpaper 1'!F119)*1000</f>
        <v>359183.84145253379</v>
      </c>
      <c r="G13" s="18">
        <f>SUM('Workpaper 1'!G73,'Workpaper 1'!G119)*1000</f>
        <v>361841.34165240981</v>
      </c>
      <c r="H13" s="18">
        <f>SUM('Workpaper 1'!H73,'Workpaper 1'!H119)*1000</f>
        <v>378675.88011197641</v>
      </c>
      <c r="I13" s="14"/>
      <c r="J13" s="11" t="s">
        <v>162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18">
        <f>SUM('Workpaper 1'!C74,'Workpaper 1'!C120)*1000</f>
        <v>130971.15130980061</v>
      </c>
      <c r="D14" s="18">
        <f>SUM('Workpaper 1'!D74,'Workpaper 1'!D120)*1000</f>
        <v>116475.44162851926</v>
      </c>
      <c r="E14" s="18">
        <f>SUM('Workpaper 1'!E74,'Workpaper 1'!E120)*1000</f>
        <v>126163.64020335248</v>
      </c>
      <c r="F14" s="18">
        <f>SUM('Workpaper 1'!F74,'Workpaper 1'!F120)*1000</f>
        <v>129267.29704051917</v>
      </c>
      <c r="G14" s="18">
        <f>SUM('Workpaper 1'!G74,'Workpaper 1'!G120)*1000</f>
        <v>125803.88596850404</v>
      </c>
      <c r="H14" s="18">
        <f>SUM('Workpaper 1'!H74,'Workpaper 1'!H120)*1000</f>
        <v>127448.72676522976</v>
      </c>
      <c r="I14" s="14"/>
      <c r="J14" s="11" t="s">
        <v>163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33">
        <f t="shared" ref="C15:H15" si="2">SUM(C12:C14)</f>
        <v>1721733.8179591401</v>
      </c>
      <c r="D15" s="33">
        <f t="shared" si="2"/>
        <v>1634939.2610468876</v>
      </c>
      <c r="E15" s="33">
        <f t="shared" si="2"/>
        <v>1634749.6326954789</v>
      </c>
      <c r="F15" s="33">
        <f t="shared" si="2"/>
        <v>1643129.4192703895</v>
      </c>
      <c r="G15" s="33">
        <f t="shared" si="2"/>
        <v>1661266.9308961523</v>
      </c>
      <c r="H15" s="33">
        <f t="shared" si="2"/>
        <v>1731620.4057714674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Determinants'!D18</f>
        <v>1721733.8179591398</v>
      </c>
      <c r="D16" s="35">
        <f>'A-Billing Determinants'!F18</f>
        <v>1634939.2610468876</v>
      </c>
      <c r="E16" s="35">
        <f>'A-Billing Determinants'!H18</f>
        <v>1634749.6326954789</v>
      </c>
      <c r="F16" s="35">
        <f>'A-Billing Determinants'!J18</f>
        <v>1643129.4192703895</v>
      </c>
      <c r="G16" s="35">
        <f>'A-Billing Determinants'!L18</f>
        <v>1661266.930896152</v>
      </c>
      <c r="H16" s="35">
        <f>'A-Billing Determinants'!N18</f>
        <v>1731620.4057714671</v>
      </c>
      <c r="I16" s="14"/>
      <c r="J16" s="11" t="s">
        <v>165</v>
      </c>
      <c r="K16" s="11">
        <f t="shared" si="1"/>
        <v>7</v>
      </c>
    </row>
    <row r="17" spans="1:17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52" t="s">
        <v>166</v>
      </c>
      <c r="K17" s="11">
        <f t="shared" si="1"/>
        <v>8</v>
      </c>
    </row>
    <row r="18" spans="1:17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7" x14ac:dyDescent="0.3">
      <c r="A19" s="11">
        <f t="shared" si="0"/>
        <v>10</v>
      </c>
      <c r="B19" s="38" t="s">
        <v>167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7" x14ac:dyDescent="0.3">
      <c r="A20" s="11">
        <f t="shared" si="0"/>
        <v>11</v>
      </c>
      <c r="B20" s="38" t="s">
        <v>136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7" x14ac:dyDescent="0.3">
      <c r="A21" s="11">
        <f t="shared" si="0"/>
        <v>12</v>
      </c>
      <c r="B21" s="14" t="s">
        <v>123</v>
      </c>
      <c r="C21" s="51">
        <f>'[2]Transmission Rates Summary'!$F$21</f>
        <v>21.1</v>
      </c>
      <c r="D21" s="51">
        <f t="shared" ref="D21:H23" si="4">C21</f>
        <v>21.1</v>
      </c>
      <c r="E21" s="51">
        <f t="shared" si="4"/>
        <v>21.1</v>
      </c>
      <c r="F21" s="51">
        <f t="shared" si="4"/>
        <v>21.1</v>
      </c>
      <c r="G21" s="51">
        <f t="shared" si="4"/>
        <v>21.1</v>
      </c>
      <c r="H21" s="51">
        <f t="shared" si="4"/>
        <v>21.1</v>
      </c>
      <c r="I21" s="14"/>
      <c r="J21" s="11" t="s">
        <v>168</v>
      </c>
      <c r="K21" s="11">
        <f t="shared" si="1"/>
        <v>12</v>
      </c>
    </row>
    <row r="22" spans="1:17" x14ac:dyDescent="0.3">
      <c r="A22" s="11">
        <f t="shared" si="0"/>
        <v>13</v>
      </c>
      <c r="B22" s="14" t="s">
        <v>138</v>
      </c>
      <c r="C22" s="51">
        <f>'[2]Transmission Rates Summary'!$E$21</f>
        <v>20.39</v>
      </c>
      <c r="D22" s="51">
        <f t="shared" si="4"/>
        <v>20.39</v>
      </c>
      <c r="E22" s="51">
        <f t="shared" si="4"/>
        <v>20.39</v>
      </c>
      <c r="F22" s="51">
        <f t="shared" si="4"/>
        <v>20.39</v>
      </c>
      <c r="G22" s="51">
        <f t="shared" si="4"/>
        <v>20.39</v>
      </c>
      <c r="H22" s="51">
        <f t="shared" si="4"/>
        <v>20.39</v>
      </c>
      <c r="I22" s="14"/>
      <c r="J22" s="11" t="s">
        <v>169</v>
      </c>
      <c r="K22" s="11">
        <f t="shared" si="1"/>
        <v>13</v>
      </c>
    </row>
    <row r="23" spans="1:17" x14ac:dyDescent="0.3">
      <c r="A23" s="11">
        <f t="shared" si="0"/>
        <v>14</v>
      </c>
      <c r="B23" s="14" t="s">
        <v>127</v>
      </c>
      <c r="C23" s="51">
        <f>'[2]Transmission Rates Summary'!$D$21</f>
        <v>20.3</v>
      </c>
      <c r="D23" s="51">
        <f t="shared" si="4"/>
        <v>20.3</v>
      </c>
      <c r="E23" s="51">
        <f t="shared" si="4"/>
        <v>20.3</v>
      </c>
      <c r="F23" s="51">
        <f t="shared" si="4"/>
        <v>20.3</v>
      </c>
      <c r="G23" s="51">
        <f t="shared" si="4"/>
        <v>20.3</v>
      </c>
      <c r="H23" s="51">
        <f t="shared" si="4"/>
        <v>20.3</v>
      </c>
      <c r="I23" s="14"/>
      <c r="J23" s="11" t="s">
        <v>170</v>
      </c>
      <c r="K23" s="11">
        <f t="shared" si="1"/>
        <v>14</v>
      </c>
    </row>
    <row r="24" spans="1:17" x14ac:dyDescent="0.3">
      <c r="A24" s="11">
        <f t="shared" si="0"/>
        <v>15</v>
      </c>
      <c r="B24" s="38" t="s">
        <v>171</v>
      </c>
      <c r="C24" s="37"/>
      <c r="D24" s="37"/>
      <c r="E24" s="37"/>
      <c r="F24" s="37"/>
      <c r="G24" s="37"/>
      <c r="H24" s="37"/>
      <c r="I24" s="14"/>
      <c r="J24" s="52"/>
      <c r="K24" s="11">
        <f t="shared" si="1"/>
        <v>15</v>
      </c>
    </row>
    <row r="25" spans="1:17" x14ac:dyDescent="0.3">
      <c r="A25" s="11">
        <f t="shared" si="0"/>
        <v>16</v>
      </c>
      <c r="B25" s="38" t="s">
        <v>142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7" x14ac:dyDescent="0.3">
      <c r="A26" s="11">
        <f t="shared" si="0"/>
        <v>17</v>
      </c>
      <c r="B26" s="14" t="s">
        <v>123</v>
      </c>
      <c r="C26" s="40">
        <f t="shared" ref="C26:H28" si="5">C21*C12</f>
        <v>25649028.100792762</v>
      </c>
      <c r="D26" s="40">
        <f t="shared" si="5"/>
        <v>24567103.176675726</v>
      </c>
      <c r="E26" s="40">
        <f t="shared" si="5"/>
        <v>24304824.280953579</v>
      </c>
      <c r="F26" s="40">
        <f t="shared" si="5"/>
        <v>24363711.724401802</v>
      </c>
      <c r="G26" s="40">
        <f t="shared" si="5"/>
        <v>24763417.939107534</v>
      </c>
      <c r="H26" s="40">
        <f t="shared" si="5"/>
        <v>25857961.356668908</v>
      </c>
      <c r="I26" s="14"/>
      <c r="J26" s="52" t="s">
        <v>172</v>
      </c>
      <c r="K26" s="11">
        <f t="shared" si="1"/>
        <v>17</v>
      </c>
    </row>
    <row r="27" spans="1:17" x14ac:dyDescent="0.3">
      <c r="A27" s="11">
        <f t="shared" si="0"/>
        <v>18</v>
      </c>
      <c r="B27" s="14" t="s">
        <v>125</v>
      </c>
      <c r="C27" s="37">
        <f t="shared" si="5"/>
        <v>7649694.2338727135</v>
      </c>
      <c r="D27" s="37">
        <f t="shared" si="5"/>
        <v>7221039.6583946534</v>
      </c>
      <c r="E27" s="37">
        <f t="shared" si="5"/>
        <v>7273084.1647038693</v>
      </c>
      <c r="F27" s="37">
        <f t="shared" si="5"/>
        <v>7323758.5272171637</v>
      </c>
      <c r="G27" s="37">
        <f t="shared" si="5"/>
        <v>7377944.9562926367</v>
      </c>
      <c r="H27" s="37">
        <f t="shared" si="5"/>
        <v>7721201.1954831993</v>
      </c>
      <c r="I27" s="14"/>
      <c r="J27" s="52" t="s">
        <v>173</v>
      </c>
      <c r="K27" s="11">
        <f t="shared" si="1"/>
        <v>18</v>
      </c>
    </row>
    <row r="28" spans="1:17" x14ac:dyDescent="0.3">
      <c r="A28" s="11">
        <f t="shared" si="0"/>
        <v>19</v>
      </c>
      <c r="B28" s="14" t="s">
        <v>127</v>
      </c>
      <c r="C28" s="37">
        <f t="shared" si="5"/>
        <v>2658714.3715889524</v>
      </c>
      <c r="D28" s="37">
        <f t="shared" si="5"/>
        <v>2364451.4650589409</v>
      </c>
      <c r="E28" s="37">
        <f t="shared" si="5"/>
        <v>2561121.8961280556</v>
      </c>
      <c r="F28" s="37">
        <f t="shared" si="5"/>
        <v>2624126.1299225395</v>
      </c>
      <c r="G28" s="37">
        <f t="shared" si="5"/>
        <v>2553818.885160632</v>
      </c>
      <c r="H28" s="37">
        <f t="shared" si="5"/>
        <v>2587209.1533341641</v>
      </c>
      <c r="I28" s="14"/>
      <c r="J28" s="52" t="s">
        <v>174</v>
      </c>
      <c r="K28" s="11">
        <f t="shared" si="1"/>
        <v>19</v>
      </c>
    </row>
    <row r="29" spans="1:17" ht="19.5" thickBot="1" x14ac:dyDescent="0.35">
      <c r="A29" s="11">
        <f t="shared" si="0"/>
        <v>20</v>
      </c>
      <c r="B29" s="14" t="s">
        <v>146</v>
      </c>
      <c r="C29" s="42">
        <f t="shared" ref="C29:H29" si="6">SUM(C26:C28)</f>
        <v>35957436.70625443</v>
      </c>
      <c r="D29" s="42">
        <f t="shared" si="6"/>
        <v>34152594.300129317</v>
      </c>
      <c r="E29" s="42">
        <f t="shared" si="6"/>
        <v>34139030.341785505</v>
      </c>
      <c r="F29" s="42">
        <f t="shared" si="6"/>
        <v>34311596.381541505</v>
      </c>
      <c r="G29" s="42">
        <f t="shared" si="6"/>
        <v>34695181.780560799</v>
      </c>
      <c r="H29" s="42">
        <f t="shared" si="6"/>
        <v>36166371.705486268</v>
      </c>
      <c r="I29" s="14"/>
      <c r="J29" s="50" t="s">
        <v>175</v>
      </c>
      <c r="K29" s="11">
        <f t="shared" si="1"/>
        <v>20</v>
      </c>
    </row>
    <row r="30" spans="1:17" ht="19.5" thickTop="1" x14ac:dyDescent="0.3">
      <c r="A30" s="17"/>
      <c r="B30" s="24"/>
      <c r="C30" s="24"/>
      <c r="D30" s="24"/>
      <c r="E30" s="24"/>
      <c r="F30" s="24"/>
      <c r="G30" s="24"/>
      <c r="H30" s="24"/>
      <c r="I30" s="24"/>
      <c r="J30" s="17"/>
      <c r="K30" s="17"/>
    </row>
    <row r="31" spans="1:17" x14ac:dyDescent="0.3">
      <c r="A31" s="7"/>
      <c r="O31" s="46"/>
      <c r="P31" s="7"/>
      <c r="Q31" s="7"/>
    </row>
    <row r="32" spans="1:17" x14ac:dyDescent="0.3">
      <c r="A32" s="8" t="s">
        <v>8</v>
      </c>
      <c r="B32" s="28"/>
      <c r="C32" s="8" t="str">
        <f>C7</f>
        <v>(A)</v>
      </c>
      <c r="D32" s="8" t="str">
        <f t="shared" ref="D32:I32" si="7">D7</f>
        <v>(B)</v>
      </c>
      <c r="E32" s="8" t="str">
        <f t="shared" si="7"/>
        <v>(C)</v>
      </c>
      <c r="F32" s="8" t="str">
        <f t="shared" si="7"/>
        <v>(D)</v>
      </c>
      <c r="G32" s="8" t="str">
        <f t="shared" si="7"/>
        <v>(E)</v>
      </c>
      <c r="H32" s="8" t="str">
        <f t="shared" si="7"/>
        <v>(F)</v>
      </c>
      <c r="I32" s="8" t="str">
        <f t="shared" si="7"/>
        <v>(G)</v>
      </c>
      <c r="J32" s="28"/>
      <c r="K32" s="8" t="s">
        <v>8</v>
      </c>
      <c r="O32" s="46"/>
      <c r="P32" s="7"/>
      <c r="Q32" s="7"/>
    </row>
    <row r="33" spans="1:17" ht="22.5" x14ac:dyDescent="0.3">
      <c r="A33" s="17" t="s">
        <v>10</v>
      </c>
      <c r="B33" s="17" t="s">
        <v>114</v>
      </c>
      <c r="C33" s="29">
        <f>'Summary of Revs @ Changed Rates'!C30</f>
        <v>46204</v>
      </c>
      <c r="D33" s="29">
        <f>'Summary of Revs @ Changed Rates'!D30</f>
        <v>46235</v>
      </c>
      <c r="E33" s="29">
        <f>'Summary of Revs @ Changed Rates'!E30</f>
        <v>46266</v>
      </c>
      <c r="F33" s="29">
        <f>'Summary of Revs @ Changed Rates'!F30</f>
        <v>46296</v>
      </c>
      <c r="G33" s="29">
        <f>'Summary of Revs @ Changed Rates'!G30</f>
        <v>46327</v>
      </c>
      <c r="H33" s="29">
        <f>'Summary of Revs @ Changed Rates'!H30</f>
        <v>46357</v>
      </c>
      <c r="I33" s="30" t="s">
        <v>61</v>
      </c>
      <c r="J33" s="17" t="s">
        <v>158</v>
      </c>
      <c r="K33" s="17" t="s">
        <v>10</v>
      </c>
      <c r="O33" s="46"/>
      <c r="P33" s="7"/>
      <c r="Q33" s="7"/>
    </row>
    <row r="34" spans="1:17" x14ac:dyDescent="0.3">
      <c r="A34" s="11"/>
      <c r="B34" s="14"/>
      <c r="C34" s="31"/>
      <c r="D34" s="31"/>
      <c r="E34" s="31"/>
      <c r="F34" s="31"/>
      <c r="G34" s="31"/>
      <c r="H34" s="31"/>
      <c r="I34" s="11"/>
      <c r="J34" s="11"/>
      <c r="K34" s="11"/>
      <c r="O34" s="46"/>
      <c r="P34" s="7"/>
      <c r="Q34" s="7"/>
    </row>
    <row r="35" spans="1:17" x14ac:dyDescent="0.3">
      <c r="A35" s="11">
        <f>A29+1</f>
        <v>21</v>
      </c>
      <c r="B35" s="32" t="s">
        <v>176</v>
      </c>
      <c r="C35" s="14"/>
      <c r="D35" s="14"/>
      <c r="E35" s="14"/>
      <c r="F35" s="14"/>
      <c r="G35" s="14"/>
      <c r="H35" s="14"/>
      <c r="I35" s="14"/>
      <c r="J35" s="11"/>
      <c r="K35" s="11">
        <f>K29+1</f>
        <v>21</v>
      </c>
      <c r="O35" s="46"/>
      <c r="P35" s="7"/>
      <c r="Q35" s="7"/>
    </row>
    <row r="36" spans="1:17" ht="22.5" x14ac:dyDescent="0.3">
      <c r="A36" s="11">
        <f t="shared" ref="A36:A54" si="8">A35+1</f>
        <v>22</v>
      </c>
      <c r="B36" s="32" t="s">
        <v>160</v>
      </c>
      <c r="C36" s="14"/>
      <c r="D36" s="14"/>
      <c r="E36" s="14"/>
      <c r="F36" s="14"/>
      <c r="G36" s="14"/>
      <c r="H36" s="14"/>
      <c r="I36" s="14"/>
      <c r="J36" s="11"/>
      <c r="K36" s="11">
        <f t="shared" ref="K36:K54" si="9">K35+1</f>
        <v>22</v>
      </c>
      <c r="O36" s="46"/>
      <c r="P36" s="7"/>
      <c r="Q36" s="7"/>
    </row>
    <row r="37" spans="1:17" x14ac:dyDescent="0.3">
      <c r="A37" s="11">
        <f t="shared" si="8"/>
        <v>23</v>
      </c>
      <c r="B37" s="14" t="s">
        <v>123</v>
      </c>
      <c r="C37" s="47">
        <f>SUM('Workpaper 1'!I72,'Workpaper 1'!I118)*1000</f>
        <v>1362663.0665926358</v>
      </c>
      <c r="D37" s="47">
        <f>SUM('Workpaper 1'!J72,'Workpaper 1'!J118)*1000</f>
        <v>1416577.1451782165</v>
      </c>
      <c r="E37" s="47">
        <f>SUM('Workpaper 1'!K72,'Workpaper 1'!K118)*1000</f>
        <v>1479322.3689044993</v>
      </c>
      <c r="F37" s="47">
        <f>SUM('Workpaper 1'!L72,'Workpaper 1'!L118)*1000</f>
        <v>1354242.2242857786</v>
      </c>
      <c r="G37" s="47">
        <f>SUM('Workpaper 1'!M72,'Workpaper 1'!M118)*1000</f>
        <v>1237580.6598685177</v>
      </c>
      <c r="H37" s="47">
        <f>SUM('Workpaper 1'!N72,'Workpaper 1'!N118)*1000</f>
        <v>1279050.2795274744</v>
      </c>
      <c r="I37" s="37">
        <f>SUM(C12:H12,C37:H37)</f>
        <v>15215030.368935337</v>
      </c>
      <c r="J37" s="11" t="str">
        <f>J12</f>
        <v xml:space="preserve">(Pages BG-21.2 &amp; 21.3, Line 70 + Line 116) x 1000 </v>
      </c>
      <c r="K37" s="11">
        <f t="shared" si="9"/>
        <v>23</v>
      </c>
      <c r="O37" s="46"/>
      <c r="P37" s="7"/>
      <c r="Q37" s="7"/>
    </row>
    <row r="38" spans="1:17" x14ac:dyDescent="0.3">
      <c r="A38" s="11">
        <f t="shared" si="8"/>
        <v>24</v>
      </c>
      <c r="B38" s="14" t="s">
        <v>125</v>
      </c>
      <c r="C38" s="47">
        <f>SUM('Workpaper 1'!I73,'Workpaper 1'!I119)*1000</f>
        <v>422346.52713845426</v>
      </c>
      <c r="D38" s="47">
        <f>SUM('Workpaper 1'!J73,'Workpaper 1'!J119)*1000</f>
        <v>436024.36045764625</v>
      </c>
      <c r="E38" s="47">
        <f>SUM('Workpaper 1'!K73,'Workpaper 1'!K119)*1000</f>
        <v>452673.98129523569</v>
      </c>
      <c r="F38" s="47">
        <f>SUM('Workpaper 1'!L73,'Workpaper 1'!L119)*1000</f>
        <v>416335.11129918334</v>
      </c>
      <c r="G38" s="47">
        <f>SUM('Workpaper 1'!M73,'Workpaper 1'!M119)*1000</f>
        <v>379389.63655173965</v>
      </c>
      <c r="H38" s="47">
        <f>SUM('Workpaper 1'!N73,'Workpaper 1'!N119)*1000</f>
        <v>399882.37607741007</v>
      </c>
      <c r="I38" s="37">
        <f>SUM(C13:H13,C38:H38)</f>
        <v>4692366.6929650456</v>
      </c>
      <c r="J38" s="11" t="str">
        <f>J13</f>
        <v>(Pages BG-21.2 &amp; 21.3, Line 71 + Line 117) x 1000</v>
      </c>
      <c r="K38" s="11">
        <f t="shared" si="9"/>
        <v>24</v>
      </c>
      <c r="O38" s="46"/>
      <c r="P38" s="7"/>
      <c r="Q38" s="7"/>
    </row>
    <row r="39" spans="1:17" x14ac:dyDescent="0.3">
      <c r="A39" s="11">
        <f t="shared" si="8"/>
        <v>25</v>
      </c>
      <c r="B39" s="14" t="s">
        <v>127</v>
      </c>
      <c r="C39" s="47">
        <f>SUM('Workpaper 1'!I74,'Workpaper 1'!I120)*1000</f>
        <v>143979.79748762879</v>
      </c>
      <c r="D39" s="47">
        <f>SUM('Workpaper 1'!J74,'Workpaper 1'!J120)*1000</f>
        <v>144334.07125110357</v>
      </c>
      <c r="E39" s="47">
        <f>SUM('Workpaper 1'!K74,'Workpaper 1'!K120)*1000</f>
        <v>146034.83291567329</v>
      </c>
      <c r="F39" s="47">
        <f>SUM('Workpaper 1'!L74,'Workpaper 1'!L120)*1000</f>
        <v>137097.57457296184</v>
      </c>
      <c r="G39" s="47">
        <f>SUM('Workpaper 1'!M74,'Workpaper 1'!M120)*1000</f>
        <v>128912.55243229397</v>
      </c>
      <c r="H39" s="47">
        <f>SUM('Workpaper 1'!N74,'Workpaper 1'!N120)*1000</f>
        <v>146660.8316148686</v>
      </c>
      <c r="I39" s="37">
        <f>SUM(C14:H14,C39:H39)</f>
        <v>1603149.8031904553</v>
      </c>
      <c r="J39" s="11" t="str">
        <f>J14</f>
        <v>(Pages BG-21.2 &amp; 21.3, Line 72 + Line 118) x 1000</v>
      </c>
      <c r="K39" s="11">
        <f t="shared" si="9"/>
        <v>25</v>
      </c>
      <c r="O39" s="46"/>
      <c r="P39" s="7"/>
      <c r="Q39" s="7"/>
    </row>
    <row r="40" spans="1:17" ht="19.5" thickBot="1" x14ac:dyDescent="0.35">
      <c r="A40" s="11">
        <f t="shared" si="8"/>
        <v>26</v>
      </c>
      <c r="B40" s="14" t="s">
        <v>129</v>
      </c>
      <c r="C40" s="48">
        <f t="shared" ref="C40:I40" si="10">SUM(C37:C39)</f>
        <v>1928989.3912187188</v>
      </c>
      <c r="D40" s="48">
        <f t="shared" si="10"/>
        <v>1996935.5768869664</v>
      </c>
      <c r="E40" s="48">
        <f t="shared" si="10"/>
        <v>2078031.1831154083</v>
      </c>
      <c r="F40" s="48">
        <f t="shared" si="10"/>
        <v>1907674.9101579236</v>
      </c>
      <c r="G40" s="48">
        <f t="shared" si="10"/>
        <v>1745882.8488525513</v>
      </c>
      <c r="H40" s="48">
        <f t="shared" si="10"/>
        <v>1825593.4872197532</v>
      </c>
      <c r="I40" s="49">
        <f t="shared" si="10"/>
        <v>21510546.86509084</v>
      </c>
      <c r="J40" s="50" t="s">
        <v>177</v>
      </c>
      <c r="K40" s="11">
        <f t="shared" si="9"/>
        <v>26</v>
      </c>
      <c r="O40" s="46"/>
      <c r="P40" s="7"/>
      <c r="Q40" s="7"/>
    </row>
    <row r="41" spans="1:17" ht="20.25" thickTop="1" thickBot="1" x14ac:dyDescent="0.35">
      <c r="A41" s="11">
        <f t="shared" si="8"/>
        <v>27</v>
      </c>
      <c r="B41" s="14" t="s">
        <v>131</v>
      </c>
      <c r="C41" s="35">
        <f>'B-Billing Determinants'!D18</f>
        <v>1928989.3912187191</v>
      </c>
      <c r="D41" s="35">
        <f>'B-Billing Determinants'!F18</f>
        <v>1996935.5768869664</v>
      </c>
      <c r="E41" s="35">
        <f>'B-Billing Determinants'!H18</f>
        <v>2078031.1831154083</v>
      </c>
      <c r="F41" s="35">
        <f>'B-Billing Determinants'!J18</f>
        <v>1907674.9101579236</v>
      </c>
      <c r="G41" s="35">
        <f>'B-Billing Determinants'!L18</f>
        <v>1745882.8488525513</v>
      </c>
      <c r="H41" s="35">
        <f>'B-Billing Determinants'!N18</f>
        <v>1825593.487219753</v>
      </c>
      <c r="I41" s="37">
        <f>SUM(C16:H16,C41:H41)</f>
        <v>21510546.86509084</v>
      </c>
      <c r="J41" s="11" t="s">
        <v>178</v>
      </c>
      <c r="K41" s="11">
        <f t="shared" si="9"/>
        <v>27</v>
      </c>
      <c r="O41" s="46"/>
      <c r="P41" s="7"/>
      <c r="Q41" s="7"/>
    </row>
    <row r="42" spans="1:17" ht="20.25" thickTop="1" thickBot="1" x14ac:dyDescent="0.35">
      <c r="A42" s="11">
        <f t="shared" si="8"/>
        <v>28</v>
      </c>
      <c r="B42" s="14"/>
      <c r="C42" s="35">
        <f t="shared" ref="C42:I42" si="11">C40-C41</f>
        <v>0</v>
      </c>
      <c r="D42" s="35">
        <f t="shared" si="11"/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35">
        <f t="shared" si="11"/>
        <v>0</v>
      </c>
      <c r="J42" s="52" t="s">
        <v>179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8"/>
        <v>29</v>
      </c>
      <c r="B43" s="11"/>
      <c r="C43" s="37"/>
      <c r="D43" s="37"/>
      <c r="E43" s="37"/>
      <c r="F43" s="37"/>
      <c r="G43" s="37"/>
      <c r="H43" s="37"/>
      <c r="I43" s="37"/>
      <c r="J43" s="36"/>
      <c r="K43" s="11">
        <f t="shared" si="9"/>
        <v>29</v>
      </c>
      <c r="O43" s="46"/>
      <c r="P43" s="7"/>
      <c r="Q43" s="7"/>
    </row>
    <row r="44" spans="1:17" x14ac:dyDescent="0.3">
      <c r="A44" s="11">
        <f t="shared" si="8"/>
        <v>30</v>
      </c>
      <c r="B44" s="38" t="s">
        <v>167</v>
      </c>
      <c r="C44" s="37"/>
      <c r="D44" s="37"/>
      <c r="E44" s="37"/>
      <c r="F44" s="37"/>
      <c r="G44" s="37"/>
      <c r="H44" s="37"/>
      <c r="I44" s="37"/>
      <c r="J44" s="36"/>
      <c r="K44" s="11">
        <f t="shared" si="9"/>
        <v>30</v>
      </c>
      <c r="O44" s="46"/>
      <c r="P44" s="7"/>
      <c r="Q44" s="7"/>
    </row>
    <row r="45" spans="1:17" x14ac:dyDescent="0.3">
      <c r="A45" s="11">
        <f t="shared" si="8"/>
        <v>31</v>
      </c>
      <c r="B45" s="38" t="s">
        <v>136</v>
      </c>
      <c r="C45" s="14"/>
      <c r="D45" s="14"/>
      <c r="E45" s="14"/>
      <c r="F45" s="14"/>
      <c r="G45" s="14"/>
      <c r="H45" s="14"/>
      <c r="I45" s="14"/>
      <c r="J45" s="11"/>
      <c r="K45" s="11">
        <f t="shared" si="9"/>
        <v>31</v>
      </c>
      <c r="O45" s="46"/>
      <c r="P45" s="7"/>
      <c r="Q45" s="7"/>
    </row>
    <row r="46" spans="1:17" x14ac:dyDescent="0.3">
      <c r="A46" s="11">
        <f t="shared" si="8"/>
        <v>32</v>
      </c>
      <c r="B46" s="14" t="s">
        <v>123</v>
      </c>
      <c r="C46" s="51">
        <f>H21</f>
        <v>21.1</v>
      </c>
      <c r="D46" s="51">
        <f t="shared" ref="D46:H48" si="12">C46</f>
        <v>21.1</v>
      </c>
      <c r="E46" s="51">
        <f t="shared" si="12"/>
        <v>21.1</v>
      </c>
      <c r="F46" s="51">
        <f t="shared" si="12"/>
        <v>21.1</v>
      </c>
      <c r="G46" s="51">
        <f t="shared" si="12"/>
        <v>21.1</v>
      </c>
      <c r="H46" s="51">
        <f t="shared" si="12"/>
        <v>21.1</v>
      </c>
      <c r="I46" s="14"/>
      <c r="J46" s="11" t="str">
        <f>J21</f>
        <v>Statement BL, Page BL-1, Line 8, Col. D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8"/>
        <v>33</v>
      </c>
      <c r="B47" s="14" t="s">
        <v>138</v>
      </c>
      <c r="C47" s="51">
        <f>H22</f>
        <v>20.39</v>
      </c>
      <c r="D47" s="51">
        <f t="shared" si="12"/>
        <v>20.39</v>
      </c>
      <c r="E47" s="51">
        <f t="shared" si="12"/>
        <v>20.39</v>
      </c>
      <c r="F47" s="51">
        <f t="shared" si="12"/>
        <v>20.39</v>
      </c>
      <c r="G47" s="51">
        <f t="shared" si="12"/>
        <v>20.39</v>
      </c>
      <c r="H47" s="51">
        <f t="shared" si="12"/>
        <v>20.39</v>
      </c>
      <c r="I47" s="14"/>
      <c r="J47" s="11" t="str">
        <f>J22</f>
        <v>Statement BL, Page BL-1, Line 8, Col. C</v>
      </c>
      <c r="K47" s="11">
        <f t="shared" si="9"/>
        <v>33</v>
      </c>
      <c r="O47" s="46"/>
      <c r="P47" s="7"/>
      <c r="Q47" s="7"/>
    </row>
    <row r="48" spans="1:17" x14ac:dyDescent="0.3">
      <c r="A48" s="11">
        <f t="shared" si="8"/>
        <v>34</v>
      </c>
      <c r="B48" s="14" t="s">
        <v>127</v>
      </c>
      <c r="C48" s="51">
        <f>H23</f>
        <v>20.3</v>
      </c>
      <c r="D48" s="51">
        <f t="shared" si="12"/>
        <v>20.3</v>
      </c>
      <c r="E48" s="51">
        <f t="shared" si="12"/>
        <v>20.3</v>
      </c>
      <c r="F48" s="51">
        <f t="shared" si="12"/>
        <v>20.3</v>
      </c>
      <c r="G48" s="51">
        <f t="shared" si="12"/>
        <v>20.3</v>
      </c>
      <c r="H48" s="51">
        <f t="shared" si="12"/>
        <v>20.3</v>
      </c>
      <c r="I48" s="14"/>
      <c r="J48" s="11" t="str">
        <f>J23</f>
        <v>Statement BL, Page BL-1, Line 8, Col. B</v>
      </c>
      <c r="K48" s="11">
        <f t="shared" si="9"/>
        <v>34</v>
      </c>
      <c r="O48" s="46"/>
      <c r="P48" s="7"/>
      <c r="Q48" s="7"/>
    </row>
    <row r="49" spans="1:17" x14ac:dyDescent="0.3">
      <c r="A49" s="11">
        <f t="shared" si="8"/>
        <v>35</v>
      </c>
      <c r="B49" s="38" t="s">
        <v>171</v>
      </c>
      <c r="C49" s="51"/>
      <c r="D49" s="51"/>
      <c r="E49" s="51"/>
      <c r="F49" s="51"/>
      <c r="G49" s="51"/>
      <c r="H49" s="51"/>
      <c r="I49" s="14"/>
      <c r="J49" s="61"/>
      <c r="K49" s="11">
        <f t="shared" si="9"/>
        <v>35</v>
      </c>
      <c r="O49" s="46"/>
      <c r="P49" s="7"/>
      <c r="Q49" s="7"/>
    </row>
    <row r="50" spans="1:17" x14ac:dyDescent="0.3">
      <c r="A50" s="11">
        <f t="shared" si="8"/>
        <v>36</v>
      </c>
      <c r="B50" s="38" t="s">
        <v>142</v>
      </c>
      <c r="C50" s="37"/>
      <c r="D50" s="37"/>
      <c r="E50" s="37"/>
      <c r="F50" s="37"/>
      <c r="G50" s="37"/>
      <c r="H50" s="37"/>
      <c r="I50" s="37"/>
      <c r="J50" s="52"/>
      <c r="K50" s="11">
        <f t="shared" si="9"/>
        <v>36</v>
      </c>
      <c r="O50" s="46"/>
      <c r="P50" s="7"/>
      <c r="Q50" s="7"/>
    </row>
    <row r="51" spans="1:17" x14ac:dyDescent="0.3">
      <c r="A51" s="11">
        <f t="shared" si="8"/>
        <v>37</v>
      </c>
      <c r="B51" s="14" t="s">
        <v>123</v>
      </c>
      <c r="C51" s="53">
        <f t="shared" ref="C51:H53" si="13">C46*C37</f>
        <v>28752190.705104619</v>
      </c>
      <c r="D51" s="53">
        <f t="shared" si="13"/>
        <v>29889777.763260372</v>
      </c>
      <c r="E51" s="53">
        <f t="shared" si="13"/>
        <v>31213701.983884938</v>
      </c>
      <c r="F51" s="53">
        <f t="shared" si="13"/>
        <v>28574510.932429928</v>
      </c>
      <c r="G51" s="53">
        <f t="shared" si="13"/>
        <v>26112951.923225723</v>
      </c>
      <c r="H51" s="53">
        <f t="shared" si="13"/>
        <v>26987960.898029711</v>
      </c>
      <c r="I51" s="53">
        <f>SUM(C26:H26,C51:H51)</f>
        <v>321037140.78453559</v>
      </c>
      <c r="J51" s="52" t="s">
        <v>180</v>
      </c>
      <c r="K51" s="11">
        <f t="shared" si="9"/>
        <v>37</v>
      </c>
      <c r="O51" s="46"/>
      <c r="P51" s="7"/>
      <c r="Q51" s="7"/>
    </row>
    <row r="52" spans="1:17" x14ac:dyDescent="0.3">
      <c r="A52" s="11">
        <f t="shared" si="8"/>
        <v>38</v>
      </c>
      <c r="B52" s="14" t="s">
        <v>125</v>
      </c>
      <c r="C52" s="37">
        <f t="shared" si="13"/>
        <v>8611645.6883530822</v>
      </c>
      <c r="D52" s="37">
        <f t="shared" si="13"/>
        <v>8890536.7097314075</v>
      </c>
      <c r="E52" s="37">
        <f t="shared" si="13"/>
        <v>9230022.4786098562</v>
      </c>
      <c r="F52" s="37">
        <f t="shared" si="13"/>
        <v>8489072.9193903487</v>
      </c>
      <c r="G52" s="37">
        <f t="shared" si="13"/>
        <v>7735754.6892899713</v>
      </c>
      <c r="H52" s="37">
        <f t="shared" si="13"/>
        <v>8153601.6482183915</v>
      </c>
      <c r="I52" s="53">
        <f>SUM(C27:H27,C52:H52)</f>
        <v>95677356.869557306</v>
      </c>
      <c r="J52" s="52" t="s">
        <v>181</v>
      </c>
      <c r="K52" s="11">
        <f t="shared" si="9"/>
        <v>38</v>
      </c>
      <c r="O52" s="46"/>
      <c r="P52" s="7"/>
      <c r="Q52" s="7"/>
    </row>
    <row r="53" spans="1:17" x14ac:dyDescent="0.3">
      <c r="A53" s="11">
        <f t="shared" si="8"/>
        <v>39</v>
      </c>
      <c r="B53" s="14" t="s">
        <v>127</v>
      </c>
      <c r="C53" s="37">
        <f t="shared" si="13"/>
        <v>2922789.8889988647</v>
      </c>
      <c r="D53" s="37">
        <f t="shared" si="13"/>
        <v>2929981.6463974025</v>
      </c>
      <c r="E53" s="37">
        <f t="shared" si="13"/>
        <v>2964507.1081881681</v>
      </c>
      <c r="F53" s="37">
        <f t="shared" si="13"/>
        <v>2783080.7638311256</v>
      </c>
      <c r="G53" s="37">
        <f t="shared" si="13"/>
        <v>2616924.8143755677</v>
      </c>
      <c r="H53" s="37">
        <f t="shared" si="13"/>
        <v>2977214.8817818328</v>
      </c>
      <c r="I53" s="53">
        <f>SUM(C28:H28,C53:H53)</f>
        <v>32543941.004766244</v>
      </c>
      <c r="J53" s="52" t="s">
        <v>182</v>
      </c>
      <c r="K53" s="11">
        <f t="shared" si="9"/>
        <v>39</v>
      </c>
      <c r="O53" s="46"/>
      <c r="P53" s="7"/>
      <c r="Q53" s="7"/>
    </row>
    <row r="54" spans="1:17" ht="19.5" thickBot="1" x14ac:dyDescent="0.35">
      <c r="A54" s="11">
        <f t="shared" si="8"/>
        <v>40</v>
      </c>
      <c r="B54" s="14" t="s">
        <v>146</v>
      </c>
      <c r="C54" s="54">
        <f t="shared" ref="C54:I54" si="14">SUM(C51:C53)</f>
        <v>40286626.282456569</v>
      </c>
      <c r="D54" s="54">
        <f t="shared" si="14"/>
        <v>41710296.119389184</v>
      </c>
      <c r="E54" s="54">
        <f t="shared" si="14"/>
        <v>43408231.570682958</v>
      </c>
      <c r="F54" s="54">
        <f t="shared" si="14"/>
        <v>39846664.615651399</v>
      </c>
      <c r="G54" s="54">
        <f t="shared" si="14"/>
        <v>36465631.42689126</v>
      </c>
      <c r="H54" s="54">
        <f t="shared" si="14"/>
        <v>38118777.428029932</v>
      </c>
      <c r="I54" s="54">
        <f t="shared" si="14"/>
        <v>449258438.65885913</v>
      </c>
      <c r="J54" s="50" t="s">
        <v>183</v>
      </c>
      <c r="K54" s="11">
        <f t="shared" si="9"/>
        <v>40</v>
      </c>
      <c r="O54" s="46"/>
      <c r="P54" s="7"/>
      <c r="Q54" s="7"/>
    </row>
    <row r="55" spans="1:17" ht="19.5" thickTop="1" x14ac:dyDescent="0.3">
      <c r="A55" s="17"/>
      <c r="B55" s="24"/>
      <c r="C55" s="24"/>
      <c r="D55" s="24"/>
      <c r="E55" s="24"/>
      <c r="F55" s="24"/>
      <c r="G55" s="24"/>
      <c r="H55" s="24"/>
      <c r="I55" s="56"/>
      <c r="J55" s="17"/>
      <c r="K55" s="17"/>
      <c r="O55" s="46"/>
      <c r="P55" s="7"/>
      <c r="Q55" s="7"/>
    </row>
    <row r="56" spans="1:17" x14ac:dyDescent="0.3">
      <c r="B56" s="25" t="s">
        <v>46</v>
      </c>
    </row>
    <row r="57" spans="1:17" ht="22.5" x14ac:dyDescent="0.3">
      <c r="A57" s="77">
        <v>1</v>
      </c>
      <c r="B57" s="1" t="s">
        <v>184</v>
      </c>
    </row>
    <row r="58" spans="1:17" ht="22.5" x14ac:dyDescent="0.3">
      <c r="A58" s="77">
        <v>2</v>
      </c>
      <c r="B58" s="1" t="s">
        <v>157</v>
      </c>
    </row>
    <row r="59" spans="1:17" ht="22.5" x14ac:dyDescent="0.3">
      <c r="A59" s="77"/>
    </row>
    <row r="60" spans="1:17" ht="22.5" x14ac:dyDescent="0.3">
      <c r="A60" s="77"/>
    </row>
    <row r="61" spans="1:17" ht="22.5" x14ac:dyDescent="0.3">
      <c r="A61" s="77"/>
    </row>
    <row r="62" spans="1:17" x14ac:dyDescent="0.3">
      <c r="A62" s="7"/>
    </row>
    <row r="63" spans="1:17" x14ac:dyDescent="0.3">
      <c r="A63" s="7"/>
    </row>
    <row r="64" spans="1:17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</sheetData>
  <mergeCells count="5">
    <mergeCell ref="A5:K5"/>
    <mergeCell ref="A1:K1"/>
    <mergeCell ref="A2:K2"/>
    <mergeCell ref="A3:K3"/>
    <mergeCell ref="A4:K4"/>
  </mergeCells>
  <phoneticPr fontId="3" type="noConversion"/>
  <printOptions horizontalCentered="1"/>
  <pageMargins left="0.25" right="0.25" top="0.5" bottom="0.5" header="0.25" footer="0.25"/>
  <pageSetup scale="41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Q101"/>
  <sheetViews>
    <sheetView zoomScale="75" zoomScaleNormal="75" zoomScaleSheetLayoutView="70" workbookViewId="0">
      <selection activeCell="A6" sqref="A6"/>
    </sheetView>
  </sheetViews>
  <sheetFormatPr defaultColWidth="9.140625" defaultRowHeight="18.75" x14ac:dyDescent="0.3"/>
  <cols>
    <col min="1" max="1" width="5.5703125" style="1" bestFit="1" customWidth="1"/>
    <col min="2" max="2" width="42.5703125" style="1" customWidth="1"/>
    <col min="3" max="8" width="15.5703125" style="1" bestFit="1" customWidth="1"/>
    <col min="9" max="9" width="17.140625" style="1" bestFit="1" customWidth="1"/>
    <col min="10" max="10" width="51.140625" style="1" customWidth="1"/>
    <col min="11" max="11" width="5.5703125" style="1" bestFit="1" customWidth="1"/>
    <col min="12" max="14" width="17.140625" style="1" bestFit="1" customWidth="1"/>
    <col min="15" max="15" width="18.42578125" style="1" bestFit="1" customWidth="1"/>
    <col min="16" max="16" width="68" style="1" bestFit="1" customWidth="1"/>
    <col min="17" max="17" width="5.5703125" style="1" bestFit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185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29">
        <f>'Summary of Revs @ Changed Rates'!H8</f>
        <v>46174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187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188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29" si="0">A11+1</f>
        <v>3</v>
      </c>
      <c r="B12" s="14" t="s">
        <v>123</v>
      </c>
      <c r="C12" s="47">
        <f>'Workpaper 1'!C82*1000</f>
        <v>1126113.2843322167</v>
      </c>
      <c r="D12" s="47">
        <f>'Workpaper 1'!D82*1000</f>
        <v>1078611.6782319581</v>
      </c>
      <c r="E12" s="47">
        <f>'Workpaper 1'!E82*1000</f>
        <v>1067096.3979058561</v>
      </c>
      <c r="F12" s="47">
        <f>'Workpaper 1'!F82*1000</f>
        <v>1069681.8343632072</v>
      </c>
      <c r="G12" s="47">
        <f>'Workpaper 1'!G82*1000</f>
        <v>1087230.8220457598</v>
      </c>
      <c r="H12" s="47">
        <f>'Workpaper 1'!H82*1000</f>
        <v>1156792.961419588</v>
      </c>
      <c r="I12" s="14"/>
      <c r="J12" s="11" t="s">
        <v>189</v>
      </c>
      <c r="K12" s="11">
        <f t="shared" ref="K12:K29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1'!C83*1000</f>
        <v>300387.59896093566</v>
      </c>
      <c r="D13" s="47">
        <f>'Workpaper 1'!D83*1000</f>
        <v>287716.67712583253</v>
      </c>
      <c r="E13" s="47">
        <f>'Workpaper 1'!E83*1000</f>
        <v>284645.0079992481</v>
      </c>
      <c r="F13" s="47">
        <f>'Workpaper 1'!F83*1000</f>
        <v>285334.66601189674</v>
      </c>
      <c r="G13" s="47">
        <f>'Workpaper 1'!G83*1000</f>
        <v>290015.80986083287</v>
      </c>
      <c r="H13" s="47">
        <f>'Workpaper 1'!H83*1000</f>
        <v>307897.61112242489</v>
      </c>
      <c r="I13" s="14"/>
      <c r="J13" s="11" t="s">
        <v>190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1'!C84*1000</f>
        <v>44156.30658396284</v>
      </c>
      <c r="D14" s="47">
        <f>'Workpaper 1'!D84*1000</f>
        <v>42293.709355623185</v>
      </c>
      <c r="E14" s="47">
        <f>'Workpaper 1'!E84*1000</f>
        <v>41842.180849962089</v>
      </c>
      <c r="F14" s="47">
        <f>'Workpaper 1'!F84*1000</f>
        <v>41943.559038508938</v>
      </c>
      <c r="G14" s="47">
        <f>'Workpaper 1'!G84*1000</f>
        <v>42631.676736017936</v>
      </c>
      <c r="H14" s="47">
        <f>'Workpaper 1'!H84*1000</f>
        <v>40162.398850688929</v>
      </c>
      <c r="I14" s="14"/>
      <c r="J14" s="11" t="s">
        <v>191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1470657.1898771152</v>
      </c>
      <c r="D15" s="48">
        <f t="shared" si="2"/>
        <v>1408622.0647134138</v>
      </c>
      <c r="E15" s="48">
        <f t="shared" si="2"/>
        <v>1393583.5867550664</v>
      </c>
      <c r="F15" s="48">
        <f t="shared" si="2"/>
        <v>1396960.0594136128</v>
      </c>
      <c r="G15" s="48">
        <f t="shared" si="2"/>
        <v>1419878.3086426107</v>
      </c>
      <c r="H15" s="48">
        <f t="shared" si="2"/>
        <v>1504852.9713927018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Determinants'!D19</f>
        <v>1470657.189877115</v>
      </c>
      <c r="D16" s="35">
        <f>'A-Billing Determinants'!F19</f>
        <v>1408622.0647134136</v>
      </c>
      <c r="E16" s="35">
        <f>'A-Billing Determinants'!H19</f>
        <v>1393583.5867550662</v>
      </c>
      <c r="F16" s="35">
        <f>'A-Billing Determinants'!J19</f>
        <v>1396960.0594136131</v>
      </c>
      <c r="G16" s="35">
        <f>'A-Billing Determinants'!L19</f>
        <v>1419878.3086426107</v>
      </c>
      <c r="H16" s="35">
        <f>'A-Billing Determinants'!N19</f>
        <v>1504852.9713927018</v>
      </c>
      <c r="I16" s="14"/>
      <c r="J16" s="11" t="s">
        <v>192</v>
      </c>
      <c r="K16" s="11">
        <f t="shared" si="1"/>
        <v>7</v>
      </c>
    </row>
    <row r="17" spans="1:17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7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7" x14ac:dyDescent="0.3">
      <c r="A19" s="11">
        <f t="shared" si="0"/>
        <v>10</v>
      </c>
      <c r="B19" s="38" t="s">
        <v>187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7" x14ac:dyDescent="0.3">
      <c r="A20" s="11">
        <f t="shared" si="0"/>
        <v>11</v>
      </c>
      <c r="B20" s="38" t="s">
        <v>193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7" x14ac:dyDescent="0.3">
      <c r="A21" s="11">
        <f t="shared" si="0"/>
        <v>12</v>
      </c>
      <c r="B21" s="14" t="s">
        <v>123</v>
      </c>
      <c r="C21" s="51">
        <f>'[2]Transmission Rates Summary'!$F$25</f>
        <v>0.89</v>
      </c>
      <c r="D21" s="51">
        <f>C21</f>
        <v>0.89</v>
      </c>
      <c r="E21" s="51">
        <f t="shared" ref="E21:F23" si="4">D21</f>
        <v>0.89</v>
      </c>
      <c r="F21" s="51">
        <f t="shared" si="4"/>
        <v>0.89</v>
      </c>
      <c r="G21" s="51">
        <f>F21</f>
        <v>0.89</v>
      </c>
      <c r="H21" s="51">
        <f>'[2]Transmission Rates Summary'!$F$24</f>
        <v>4.32</v>
      </c>
      <c r="I21" s="14"/>
      <c r="J21" s="11" t="s">
        <v>194</v>
      </c>
      <c r="K21" s="11">
        <f t="shared" si="1"/>
        <v>12</v>
      </c>
    </row>
    <row r="22" spans="1:17" x14ac:dyDescent="0.3">
      <c r="A22" s="11">
        <f t="shared" si="0"/>
        <v>13</v>
      </c>
      <c r="B22" s="14" t="s">
        <v>138</v>
      </c>
      <c r="C22" s="51">
        <f>'[2]Transmission Rates Summary'!$E$25</f>
        <v>0.86</v>
      </c>
      <c r="D22" s="51">
        <f>C22</f>
        <v>0.86</v>
      </c>
      <c r="E22" s="51">
        <f t="shared" si="4"/>
        <v>0.86</v>
      </c>
      <c r="F22" s="51">
        <f t="shared" si="4"/>
        <v>0.86</v>
      </c>
      <c r="G22" s="51">
        <f>F22</f>
        <v>0.86</v>
      </c>
      <c r="H22" s="51">
        <f>'[2]Transmission Rates Summary'!$E$24</f>
        <v>4.17</v>
      </c>
      <c r="I22" s="14"/>
      <c r="J22" s="11" t="s">
        <v>195</v>
      </c>
      <c r="K22" s="11">
        <f t="shared" si="1"/>
        <v>13</v>
      </c>
    </row>
    <row r="23" spans="1:17" x14ac:dyDescent="0.3">
      <c r="A23" s="11">
        <f t="shared" si="0"/>
        <v>14</v>
      </c>
      <c r="B23" s="14" t="s">
        <v>127</v>
      </c>
      <c r="C23" s="51">
        <f>'[2]Transmission Rates Summary'!$D$25</f>
        <v>0.86</v>
      </c>
      <c r="D23" s="51">
        <f>C23</f>
        <v>0.86</v>
      </c>
      <c r="E23" s="51">
        <f t="shared" si="4"/>
        <v>0.86</v>
      </c>
      <c r="F23" s="51">
        <f t="shared" si="4"/>
        <v>0.86</v>
      </c>
      <c r="G23" s="51">
        <f>F23</f>
        <v>0.86</v>
      </c>
      <c r="H23" s="51">
        <f>'[2]Transmission Rates Summary'!$D$24</f>
        <v>4.16</v>
      </c>
      <c r="I23" s="14"/>
      <c r="J23" s="11" t="s">
        <v>196</v>
      </c>
      <c r="K23" s="11">
        <f t="shared" si="1"/>
        <v>14</v>
      </c>
    </row>
    <row r="24" spans="1:17" x14ac:dyDescent="0.3">
      <c r="A24" s="11">
        <f t="shared" si="0"/>
        <v>15</v>
      </c>
      <c r="B24" s="38" t="s">
        <v>197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7" x14ac:dyDescent="0.3">
      <c r="A25" s="11">
        <f t="shared" si="0"/>
        <v>16</v>
      </c>
      <c r="B25" s="38" t="s">
        <v>142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7" x14ac:dyDescent="0.3">
      <c r="A26" s="11">
        <f t="shared" si="0"/>
        <v>17</v>
      </c>
      <c r="B26" s="14" t="s">
        <v>123</v>
      </c>
      <c r="C26" s="53">
        <f t="shared" ref="C26:H28" si="5">C21*C12</f>
        <v>1002240.8230556729</v>
      </c>
      <c r="D26" s="53">
        <f t="shared" si="5"/>
        <v>959964.39362644264</v>
      </c>
      <c r="E26" s="53">
        <f t="shared" si="5"/>
        <v>949715.79413621197</v>
      </c>
      <c r="F26" s="53">
        <f t="shared" si="5"/>
        <v>952016.83258325444</v>
      </c>
      <c r="G26" s="53">
        <f t="shared" si="5"/>
        <v>967635.43162072625</v>
      </c>
      <c r="H26" s="53">
        <f t="shared" si="5"/>
        <v>4997345.5933326203</v>
      </c>
      <c r="I26" s="14"/>
      <c r="J26" s="52" t="s">
        <v>198</v>
      </c>
      <c r="K26" s="11">
        <f t="shared" si="1"/>
        <v>17</v>
      </c>
    </row>
    <row r="27" spans="1:17" x14ac:dyDescent="0.3">
      <c r="A27" s="11">
        <f t="shared" si="0"/>
        <v>18</v>
      </c>
      <c r="B27" s="14" t="s">
        <v>125</v>
      </c>
      <c r="C27" s="37">
        <f t="shared" si="5"/>
        <v>258333.33510640467</v>
      </c>
      <c r="D27" s="37">
        <f t="shared" si="5"/>
        <v>247436.34232821598</v>
      </c>
      <c r="E27" s="37">
        <f t="shared" si="5"/>
        <v>244794.70687935335</v>
      </c>
      <c r="F27" s="37">
        <f t="shared" si="5"/>
        <v>245387.81277023119</v>
      </c>
      <c r="G27" s="37">
        <f t="shared" si="5"/>
        <v>249413.59648031628</v>
      </c>
      <c r="H27" s="37">
        <f t="shared" si="5"/>
        <v>1283933.0383805118</v>
      </c>
      <c r="I27" s="14"/>
      <c r="J27" s="52" t="s">
        <v>199</v>
      </c>
      <c r="K27" s="11">
        <f t="shared" si="1"/>
        <v>18</v>
      </c>
    </row>
    <row r="28" spans="1:17" x14ac:dyDescent="0.3">
      <c r="A28" s="11">
        <f t="shared" si="0"/>
        <v>19</v>
      </c>
      <c r="B28" s="14" t="s">
        <v>127</v>
      </c>
      <c r="C28" s="37">
        <f t="shared" si="5"/>
        <v>37974.423662208043</v>
      </c>
      <c r="D28" s="37">
        <f t="shared" si="5"/>
        <v>36372.590045835939</v>
      </c>
      <c r="E28" s="37">
        <f t="shared" si="5"/>
        <v>35984.275530967396</v>
      </c>
      <c r="F28" s="37">
        <f t="shared" si="5"/>
        <v>36071.460773117687</v>
      </c>
      <c r="G28" s="37">
        <f t="shared" si="5"/>
        <v>36663.241992975425</v>
      </c>
      <c r="H28" s="37">
        <f t="shared" si="5"/>
        <v>167075.57921886595</v>
      </c>
      <c r="I28" s="14"/>
      <c r="J28" s="52" t="s">
        <v>200</v>
      </c>
      <c r="K28" s="11">
        <f t="shared" si="1"/>
        <v>19</v>
      </c>
    </row>
    <row r="29" spans="1:17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1298548.5818242857</v>
      </c>
      <c r="D29" s="54">
        <f t="shared" si="6"/>
        <v>1243773.3260004944</v>
      </c>
      <c r="E29" s="54">
        <f t="shared" si="6"/>
        <v>1230494.7765465328</v>
      </c>
      <c r="F29" s="54">
        <f t="shared" si="6"/>
        <v>1233476.1061266032</v>
      </c>
      <c r="G29" s="54">
        <f t="shared" si="6"/>
        <v>1253712.270094018</v>
      </c>
      <c r="H29" s="54">
        <f t="shared" si="6"/>
        <v>6448354.2109319987</v>
      </c>
      <c r="I29" s="14"/>
      <c r="J29" s="50" t="s">
        <v>175</v>
      </c>
      <c r="K29" s="11">
        <f t="shared" si="1"/>
        <v>20</v>
      </c>
    </row>
    <row r="30" spans="1:17" ht="19.5" thickTop="1" x14ac:dyDescent="0.3">
      <c r="A30" s="17"/>
      <c r="B30" s="24"/>
      <c r="C30" s="24"/>
      <c r="D30" s="24"/>
      <c r="E30" s="24"/>
      <c r="F30" s="24"/>
      <c r="G30" s="24"/>
      <c r="H30" s="24"/>
      <c r="I30" s="24"/>
      <c r="J30" s="17"/>
      <c r="K30" s="17"/>
    </row>
    <row r="31" spans="1:17" x14ac:dyDescent="0.3">
      <c r="A31" s="104"/>
      <c r="B31" s="98"/>
      <c r="O31" s="46"/>
      <c r="P31" s="7"/>
      <c r="Q31" s="7"/>
    </row>
    <row r="32" spans="1:17" x14ac:dyDescent="0.3">
      <c r="A32" s="8" t="s">
        <v>8</v>
      </c>
      <c r="B32" s="28"/>
      <c r="C32" s="8" t="str">
        <f>C7</f>
        <v>(A)</v>
      </c>
      <c r="D32" s="8" t="str">
        <f t="shared" ref="D32:I32" si="7">D7</f>
        <v>(B)</v>
      </c>
      <c r="E32" s="8" t="str">
        <f t="shared" si="7"/>
        <v>(C)</v>
      </c>
      <c r="F32" s="8" t="str">
        <f t="shared" si="7"/>
        <v>(D)</v>
      </c>
      <c r="G32" s="8" t="str">
        <f t="shared" si="7"/>
        <v>(E)</v>
      </c>
      <c r="H32" s="8" t="str">
        <f t="shared" si="7"/>
        <v>(F)</v>
      </c>
      <c r="I32" s="8" t="str">
        <f t="shared" si="7"/>
        <v>(G)</v>
      </c>
      <c r="J32" s="28"/>
      <c r="K32" s="8" t="s">
        <v>8</v>
      </c>
      <c r="O32" s="46"/>
      <c r="P32" s="7"/>
      <c r="Q32" s="7"/>
    </row>
    <row r="33" spans="1:17" ht="22.5" x14ac:dyDescent="0.3">
      <c r="A33" s="17" t="s">
        <v>10</v>
      </c>
      <c r="B33" s="17" t="s">
        <v>114</v>
      </c>
      <c r="C33" s="29">
        <f>'Summary of Revs @ Changed Rates'!C30</f>
        <v>46204</v>
      </c>
      <c r="D33" s="29">
        <f>'Summary of Revs @ Changed Rates'!D30</f>
        <v>46235</v>
      </c>
      <c r="E33" s="29">
        <f>'Summary of Revs @ Changed Rates'!E30</f>
        <v>46266</v>
      </c>
      <c r="F33" s="29">
        <f>'Summary of Revs @ Changed Rates'!F30</f>
        <v>46296</v>
      </c>
      <c r="G33" s="29">
        <f>'Summary of Revs @ Changed Rates'!G30</f>
        <v>46327</v>
      </c>
      <c r="H33" s="29">
        <f>'Summary of Revs @ Changed Rates'!H30</f>
        <v>46357</v>
      </c>
      <c r="I33" s="30" t="s">
        <v>61</v>
      </c>
      <c r="J33" s="17" t="s">
        <v>186</v>
      </c>
      <c r="K33" s="17" t="s">
        <v>10</v>
      </c>
      <c r="O33" s="46"/>
      <c r="P33" s="7"/>
      <c r="Q33" s="7"/>
    </row>
    <row r="34" spans="1:17" x14ac:dyDescent="0.3">
      <c r="A34" s="8"/>
      <c r="B34" s="28"/>
      <c r="C34" s="31"/>
      <c r="D34" s="31"/>
      <c r="E34" s="31"/>
      <c r="F34" s="31"/>
      <c r="G34" s="31"/>
      <c r="H34" s="31"/>
      <c r="I34" s="11"/>
      <c r="J34" s="11"/>
      <c r="K34" s="11"/>
      <c r="O34" s="46"/>
      <c r="P34" s="7"/>
      <c r="Q34" s="7"/>
    </row>
    <row r="35" spans="1:17" x14ac:dyDescent="0.3">
      <c r="A35" s="11">
        <f>A29+1</f>
        <v>21</v>
      </c>
      <c r="B35" s="32" t="s">
        <v>187</v>
      </c>
      <c r="C35" s="31"/>
      <c r="D35" s="31"/>
      <c r="E35" s="31"/>
      <c r="F35" s="31"/>
      <c r="G35" s="31"/>
      <c r="H35" s="31"/>
      <c r="I35" s="11"/>
      <c r="J35" s="11"/>
      <c r="K35" s="11">
        <f>K29+1</f>
        <v>21</v>
      </c>
      <c r="O35" s="46"/>
      <c r="P35" s="7"/>
      <c r="Q35" s="7"/>
    </row>
    <row r="36" spans="1:17" ht="22.5" x14ac:dyDescent="0.3">
      <c r="A36" s="11">
        <f>A35+1</f>
        <v>22</v>
      </c>
      <c r="B36" s="32" t="s">
        <v>201</v>
      </c>
      <c r="C36" s="14"/>
      <c r="D36" s="14"/>
      <c r="E36" s="14"/>
      <c r="F36" s="14"/>
      <c r="G36" s="14"/>
      <c r="H36" s="14"/>
      <c r="I36" s="14"/>
      <c r="J36" s="11"/>
      <c r="K36" s="11">
        <f>K35+1</f>
        <v>22</v>
      </c>
      <c r="O36" s="46"/>
      <c r="P36" s="7"/>
      <c r="Q36" s="7"/>
    </row>
    <row r="37" spans="1:17" x14ac:dyDescent="0.3">
      <c r="A37" s="11">
        <f t="shared" ref="A37:A54" si="8">A36+1</f>
        <v>23</v>
      </c>
      <c r="B37" s="14" t="s">
        <v>123</v>
      </c>
      <c r="C37" s="47">
        <f>'Workpaper 1'!I82*1000</f>
        <v>1286270.4593871899</v>
      </c>
      <c r="D37" s="47">
        <f>'Workpaper 1'!J82*1000</f>
        <v>1337162.0468455027</v>
      </c>
      <c r="E37" s="47">
        <f>'Workpaper 1'!K82*1000</f>
        <v>1396389.6943288739</v>
      </c>
      <c r="F37" s="47">
        <f>'Workpaper 1'!L82*1000</f>
        <v>1278321.7001025102</v>
      </c>
      <c r="G37" s="47">
        <f>'Workpaper 1'!M82*1000</f>
        <v>1146481.7278189228</v>
      </c>
      <c r="H37" s="47">
        <f>'Workpaper 1'!N82*1000</f>
        <v>1184898.748010274</v>
      </c>
      <c r="I37" s="37">
        <f>SUM(C12:H12,C37:H37)</f>
        <v>14215051.354791859</v>
      </c>
      <c r="J37" s="11" t="str">
        <f>J12</f>
        <v>(Page BG-21.2, Line 80) x 1000</v>
      </c>
      <c r="K37" s="11">
        <f t="shared" ref="K37:K54" si="9">K36+1</f>
        <v>23</v>
      </c>
      <c r="O37" s="46"/>
      <c r="P37" s="7"/>
      <c r="Q37" s="7"/>
    </row>
    <row r="38" spans="1:17" x14ac:dyDescent="0.3">
      <c r="A38" s="11">
        <f t="shared" si="8"/>
        <v>24</v>
      </c>
      <c r="B38" s="14" t="s">
        <v>125</v>
      </c>
      <c r="C38" s="47">
        <f>'Workpaper 1'!I83*1000</f>
        <v>342359.96838764451</v>
      </c>
      <c r="D38" s="47">
        <f>'Workpaper 1'!J83*1000</f>
        <v>355905.51951670169</v>
      </c>
      <c r="E38" s="47">
        <f>'Workpaper 1'!K83*1000</f>
        <v>371669.83671150223</v>
      </c>
      <c r="F38" s="47">
        <f>'Workpaper 1'!L83*1000</f>
        <v>340244.28816070344</v>
      </c>
      <c r="G38" s="47">
        <f>'Workpaper 1'!M83*1000</f>
        <v>305820.82483498385</v>
      </c>
      <c r="H38" s="47">
        <f>'Workpaper 1'!N83*1000</f>
        <v>316068.45854561619</v>
      </c>
      <c r="I38" s="37">
        <f>SUM(C13:H13,C38:H38)</f>
        <v>3788066.2672383231</v>
      </c>
      <c r="J38" s="11" t="str">
        <f>J13</f>
        <v>(Page BG-21.2, Line 81) x 1000</v>
      </c>
      <c r="K38" s="11">
        <f t="shared" si="9"/>
        <v>24</v>
      </c>
      <c r="O38" s="46"/>
      <c r="P38" s="7"/>
      <c r="Q38" s="7"/>
    </row>
    <row r="39" spans="1:17" x14ac:dyDescent="0.3">
      <c r="A39" s="11">
        <f t="shared" si="8"/>
        <v>25</v>
      </c>
      <c r="B39" s="14" t="s">
        <v>127</v>
      </c>
      <c r="C39" s="47">
        <f>'Workpaper 1'!I84*1000</f>
        <v>44657.694974536906</v>
      </c>
      <c r="D39" s="47">
        <f>'Workpaper 1'!J84*1000</f>
        <v>46424.5869783897</v>
      </c>
      <c r="E39" s="47">
        <f>'Workpaper 1'!K84*1000</f>
        <v>48480.896517389701</v>
      </c>
      <c r="F39" s="47">
        <f>'Workpaper 1'!L84*1000</f>
        <v>44381.72403470023</v>
      </c>
      <c r="G39" s="47">
        <f>'Workpaper 1'!M84*1000</f>
        <v>44954.978660520806</v>
      </c>
      <c r="H39" s="47">
        <f>'Workpaper 1'!N84*1000</f>
        <v>46461.357943327617</v>
      </c>
      <c r="I39" s="37">
        <f>SUM(C14:H14,C39:H39)</f>
        <v>528391.07052362885</v>
      </c>
      <c r="J39" s="11" t="str">
        <f>J14</f>
        <v>(Page BG-21.2, Line 82) x 1000</v>
      </c>
      <c r="K39" s="11">
        <f t="shared" si="9"/>
        <v>25</v>
      </c>
      <c r="O39" s="46"/>
      <c r="P39" s="7"/>
      <c r="Q39" s="7"/>
    </row>
    <row r="40" spans="1:17" ht="19.5" thickBot="1" x14ac:dyDescent="0.35">
      <c r="A40" s="11">
        <f t="shared" si="8"/>
        <v>26</v>
      </c>
      <c r="B40" s="14" t="s">
        <v>129</v>
      </c>
      <c r="C40" s="48">
        <f t="shared" ref="C40:I40" si="10">SUM(C37:C39)</f>
        <v>1673288.1227493715</v>
      </c>
      <c r="D40" s="48">
        <f t="shared" si="10"/>
        <v>1739492.1533405941</v>
      </c>
      <c r="E40" s="48">
        <f t="shared" si="10"/>
        <v>1816540.4275577657</v>
      </c>
      <c r="F40" s="48">
        <f t="shared" si="10"/>
        <v>1662947.7122979139</v>
      </c>
      <c r="G40" s="48">
        <f t="shared" si="10"/>
        <v>1497257.5313144275</v>
      </c>
      <c r="H40" s="48">
        <f t="shared" si="10"/>
        <v>1547428.5644992178</v>
      </c>
      <c r="I40" s="49">
        <f t="shared" si="10"/>
        <v>18531508.692553811</v>
      </c>
      <c r="J40" s="50" t="s">
        <v>177</v>
      </c>
      <c r="K40" s="11">
        <f t="shared" si="9"/>
        <v>26</v>
      </c>
      <c r="O40" s="46"/>
      <c r="P40" s="7"/>
      <c r="Q40" s="7"/>
    </row>
    <row r="41" spans="1:17" ht="20.25" thickTop="1" thickBot="1" x14ac:dyDescent="0.35">
      <c r="A41" s="11">
        <f t="shared" si="8"/>
        <v>27</v>
      </c>
      <c r="B41" s="14" t="s">
        <v>131</v>
      </c>
      <c r="C41" s="35">
        <f>'B-Billing Determinants'!D19</f>
        <v>1673288.1227493715</v>
      </c>
      <c r="D41" s="35">
        <f>'B-Billing Determinants'!F19</f>
        <v>1739492.1533405944</v>
      </c>
      <c r="E41" s="35">
        <f>'B-Billing Determinants'!H19</f>
        <v>1816540.427557766</v>
      </c>
      <c r="F41" s="35">
        <f>'B-Billing Determinants'!J19</f>
        <v>1662947.7122979141</v>
      </c>
      <c r="G41" s="35">
        <f>'B-Billing Determinants'!L19</f>
        <v>1497257.5313144273</v>
      </c>
      <c r="H41" s="35">
        <f>'B-Billing Determinants'!N19</f>
        <v>1547428.5644992178</v>
      </c>
      <c r="I41" s="37">
        <f>SUM(C16:H16,C41:H41)</f>
        <v>18531508.692553815</v>
      </c>
      <c r="J41" s="11" t="s">
        <v>202</v>
      </c>
      <c r="K41" s="11">
        <f t="shared" si="9"/>
        <v>27</v>
      </c>
      <c r="O41" s="46"/>
      <c r="P41" s="7"/>
      <c r="Q41" s="7"/>
    </row>
    <row r="42" spans="1:17" ht="20.25" thickTop="1" thickBot="1" x14ac:dyDescent="0.35">
      <c r="A42" s="11">
        <f t="shared" si="8"/>
        <v>28</v>
      </c>
      <c r="B42" s="14"/>
      <c r="C42" s="35">
        <f t="shared" ref="C42:I42" si="11">C40-C41</f>
        <v>0</v>
      </c>
      <c r="D42" s="35">
        <f t="shared" si="11"/>
        <v>0</v>
      </c>
      <c r="E42" s="35">
        <f t="shared" si="11"/>
        <v>0</v>
      </c>
      <c r="F42" s="35">
        <f t="shared" si="11"/>
        <v>0</v>
      </c>
      <c r="G42" s="35">
        <f t="shared" si="11"/>
        <v>0</v>
      </c>
      <c r="H42" s="35">
        <f t="shared" si="11"/>
        <v>0</v>
      </c>
      <c r="I42" s="35">
        <f t="shared" si="11"/>
        <v>0</v>
      </c>
      <c r="J42" s="36" t="s">
        <v>179</v>
      </c>
      <c r="K42" s="11">
        <f t="shared" si="9"/>
        <v>28</v>
      </c>
      <c r="O42" s="46"/>
      <c r="P42" s="7"/>
      <c r="Q42" s="7"/>
    </row>
    <row r="43" spans="1:17" ht="19.5" thickTop="1" x14ac:dyDescent="0.3">
      <c r="A43" s="11">
        <f t="shared" si="8"/>
        <v>29</v>
      </c>
      <c r="B43" s="11"/>
      <c r="C43" s="37"/>
      <c r="D43" s="37"/>
      <c r="E43" s="37"/>
      <c r="F43" s="37"/>
      <c r="G43" s="37"/>
      <c r="H43" s="37"/>
      <c r="I43" s="37"/>
      <c r="J43" s="36"/>
      <c r="K43" s="11">
        <f t="shared" si="9"/>
        <v>29</v>
      </c>
      <c r="O43" s="46"/>
      <c r="P43" s="7"/>
      <c r="Q43" s="7"/>
    </row>
    <row r="44" spans="1:17" x14ac:dyDescent="0.3">
      <c r="A44" s="11">
        <f t="shared" si="8"/>
        <v>30</v>
      </c>
      <c r="B44" s="38" t="s">
        <v>187</v>
      </c>
      <c r="C44" s="37"/>
      <c r="D44" s="37"/>
      <c r="E44" s="37"/>
      <c r="F44" s="37"/>
      <c r="G44" s="37"/>
      <c r="H44" s="37"/>
      <c r="I44" s="37"/>
      <c r="J44" s="36"/>
      <c r="K44" s="11">
        <f t="shared" si="9"/>
        <v>30</v>
      </c>
      <c r="O44" s="46"/>
      <c r="P44" s="7"/>
      <c r="Q44" s="7"/>
    </row>
    <row r="45" spans="1:17" x14ac:dyDescent="0.3">
      <c r="A45" s="11">
        <f t="shared" si="8"/>
        <v>31</v>
      </c>
      <c r="B45" s="38" t="s">
        <v>193</v>
      </c>
      <c r="C45" s="14"/>
      <c r="D45" s="14"/>
      <c r="E45" s="14"/>
      <c r="F45" s="14"/>
      <c r="G45" s="14"/>
      <c r="H45" s="14"/>
      <c r="I45" s="14"/>
      <c r="J45" s="11"/>
      <c r="K45" s="11">
        <f t="shared" si="9"/>
        <v>31</v>
      </c>
      <c r="O45" s="46"/>
      <c r="P45" s="7"/>
      <c r="Q45" s="7"/>
    </row>
    <row r="46" spans="1:17" x14ac:dyDescent="0.3">
      <c r="A46" s="11">
        <f t="shared" si="8"/>
        <v>32</v>
      </c>
      <c r="B46" s="14" t="s">
        <v>123</v>
      </c>
      <c r="C46" s="51">
        <f>H21</f>
        <v>4.32</v>
      </c>
      <c r="D46" s="51">
        <f t="shared" ref="D46:F48" si="12">C46</f>
        <v>4.32</v>
      </c>
      <c r="E46" s="51">
        <f t="shared" si="12"/>
        <v>4.32</v>
      </c>
      <c r="F46" s="51">
        <f>E46</f>
        <v>4.32</v>
      </c>
      <c r="G46" s="51">
        <f>C21</f>
        <v>0.89</v>
      </c>
      <c r="H46" s="51">
        <f>'C-Med &amp; Lrg C-I'!$C21</f>
        <v>0.89</v>
      </c>
      <c r="I46" s="14"/>
      <c r="J46" s="11" t="str">
        <f>J21</f>
        <v>Statement BL, Page 1, Lines 11 &amp; 12, Col. D</v>
      </c>
      <c r="K46" s="11">
        <f t="shared" si="9"/>
        <v>32</v>
      </c>
      <c r="O46" s="46"/>
      <c r="P46" s="7"/>
      <c r="Q46" s="7"/>
    </row>
    <row r="47" spans="1:17" x14ac:dyDescent="0.3">
      <c r="A47" s="11">
        <f t="shared" si="8"/>
        <v>33</v>
      </c>
      <c r="B47" s="14" t="s">
        <v>138</v>
      </c>
      <c r="C47" s="51">
        <f>H22</f>
        <v>4.17</v>
      </c>
      <c r="D47" s="51">
        <f t="shared" si="12"/>
        <v>4.17</v>
      </c>
      <c r="E47" s="51">
        <f t="shared" si="12"/>
        <v>4.17</v>
      </c>
      <c r="F47" s="51">
        <f t="shared" si="12"/>
        <v>4.17</v>
      </c>
      <c r="G47" s="51">
        <f>C22</f>
        <v>0.86</v>
      </c>
      <c r="H47" s="51">
        <f>'C-Med &amp; Lrg C-I'!$C22</f>
        <v>0.86</v>
      </c>
      <c r="I47" s="14"/>
      <c r="J47" s="11" t="str">
        <f>J22</f>
        <v>Statement BL, Page 1, Lines 11 &amp; 12, Col. C</v>
      </c>
      <c r="K47" s="11">
        <f t="shared" si="9"/>
        <v>33</v>
      </c>
      <c r="O47" s="46"/>
      <c r="P47" s="7"/>
      <c r="Q47" s="7"/>
    </row>
    <row r="48" spans="1:17" x14ac:dyDescent="0.3">
      <c r="A48" s="11">
        <f t="shared" si="8"/>
        <v>34</v>
      </c>
      <c r="B48" s="14" t="s">
        <v>127</v>
      </c>
      <c r="C48" s="51">
        <f>H23</f>
        <v>4.16</v>
      </c>
      <c r="D48" s="51">
        <f t="shared" si="12"/>
        <v>4.16</v>
      </c>
      <c r="E48" s="51">
        <f t="shared" si="12"/>
        <v>4.16</v>
      </c>
      <c r="F48" s="51">
        <f t="shared" si="12"/>
        <v>4.16</v>
      </c>
      <c r="G48" s="51">
        <f>C23</f>
        <v>0.86</v>
      </c>
      <c r="H48" s="51">
        <f>'C-Med &amp; Lrg C-I'!$C23</f>
        <v>0.86</v>
      </c>
      <c r="I48" s="14"/>
      <c r="J48" s="11" t="str">
        <f>J23</f>
        <v>Statement BL, Page 1, Lines 11 &amp; 12, Col. B</v>
      </c>
      <c r="K48" s="11">
        <f t="shared" si="9"/>
        <v>34</v>
      </c>
      <c r="O48" s="46"/>
      <c r="P48" s="7"/>
      <c r="Q48" s="7"/>
    </row>
    <row r="49" spans="1:17" x14ac:dyDescent="0.3">
      <c r="A49" s="11">
        <f t="shared" si="8"/>
        <v>35</v>
      </c>
      <c r="B49" s="38" t="s">
        <v>197</v>
      </c>
      <c r="C49" s="51"/>
      <c r="D49" s="51"/>
      <c r="E49" s="51"/>
      <c r="F49" s="51"/>
      <c r="G49" s="51"/>
      <c r="H49" s="51"/>
      <c r="I49" s="14"/>
      <c r="J49" s="61"/>
      <c r="K49" s="11">
        <f t="shared" si="9"/>
        <v>35</v>
      </c>
      <c r="O49" s="46"/>
      <c r="P49" s="7"/>
      <c r="Q49" s="7"/>
    </row>
    <row r="50" spans="1:17" x14ac:dyDescent="0.3">
      <c r="A50" s="11">
        <f t="shared" si="8"/>
        <v>36</v>
      </c>
      <c r="B50" s="38" t="s">
        <v>142</v>
      </c>
      <c r="C50" s="37"/>
      <c r="D50" s="37"/>
      <c r="E50" s="37"/>
      <c r="F50" s="37"/>
      <c r="G50" s="37"/>
      <c r="H50" s="37"/>
      <c r="I50" s="37"/>
      <c r="J50" s="52"/>
      <c r="K50" s="11">
        <f t="shared" si="9"/>
        <v>36</v>
      </c>
      <c r="O50" s="46"/>
      <c r="P50" s="7"/>
      <c r="Q50" s="7"/>
    </row>
    <row r="51" spans="1:17" x14ac:dyDescent="0.3">
      <c r="A51" s="11">
        <f t="shared" si="8"/>
        <v>37</v>
      </c>
      <c r="B51" s="14" t="s">
        <v>123</v>
      </c>
      <c r="C51" s="53">
        <f t="shared" ref="C51:H53" si="13">C46*C37</f>
        <v>5556688.3845526613</v>
      </c>
      <c r="D51" s="53">
        <f t="shared" si="13"/>
        <v>5776540.0423725722</v>
      </c>
      <c r="E51" s="53">
        <f t="shared" si="13"/>
        <v>6032403.4795007352</v>
      </c>
      <c r="F51" s="53">
        <f t="shared" si="13"/>
        <v>5522349.7444428438</v>
      </c>
      <c r="G51" s="53">
        <f t="shared" si="13"/>
        <v>1020368.7377588414</v>
      </c>
      <c r="H51" s="53">
        <f t="shared" si="13"/>
        <v>1054559.8857291439</v>
      </c>
      <c r="I51" s="53">
        <f>SUM(C26:H26,C51:H51)</f>
        <v>34791829.142711721</v>
      </c>
      <c r="J51" s="52" t="s">
        <v>203</v>
      </c>
      <c r="K51" s="11">
        <f t="shared" si="9"/>
        <v>37</v>
      </c>
      <c r="O51" s="46"/>
      <c r="P51" s="7"/>
      <c r="Q51" s="7"/>
    </row>
    <row r="52" spans="1:17" x14ac:dyDescent="0.3">
      <c r="A52" s="11">
        <f t="shared" si="8"/>
        <v>38</v>
      </c>
      <c r="B52" s="14" t="s">
        <v>125</v>
      </c>
      <c r="C52" s="37">
        <f t="shared" si="13"/>
        <v>1427641.0681764774</v>
      </c>
      <c r="D52" s="37">
        <f t="shared" si="13"/>
        <v>1484126.0163846461</v>
      </c>
      <c r="E52" s="37">
        <f t="shared" si="13"/>
        <v>1549863.2190869641</v>
      </c>
      <c r="F52" s="37">
        <f t="shared" si="13"/>
        <v>1418818.6816301334</v>
      </c>
      <c r="G52" s="37">
        <f t="shared" si="13"/>
        <v>263005.90935808612</v>
      </c>
      <c r="H52" s="37">
        <f t="shared" si="13"/>
        <v>271818.87434922991</v>
      </c>
      <c r="I52" s="53">
        <f>SUM(C27:H27,C52:H52)</f>
        <v>8944572.6009305697</v>
      </c>
      <c r="J52" s="52" t="s">
        <v>204</v>
      </c>
      <c r="K52" s="11">
        <f t="shared" si="9"/>
        <v>38</v>
      </c>
      <c r="O52" s="46"/>
      <c r="P52" s="7"/>
      <c r="Q52" s="7"/>
    </row>
    <row r="53" spans="1:17" x14ac:dyDescent="0.3">
      <c r="A53" s="11">
        <f t="shared" si="8"/>
        <v>39</v>
      </c>
      <c r="B53" s="14" t="s">
        <v>127</v>
      </c>
      <c r="C53" s="37">
        <f t="shared" si="13"/>
        <v>185776.01109407353</v>
      </c>
      <c r="D53" s="37">
        <f t="shared" si="13"/>
        <v>193126.28183010116</v>
      </c>
      <c r="E53" s="37">
        <f t="shared" si="13"/>
        <v>201680.52951234116</v>
      </c>
      <c r="F53" s="37">
        <f t="shared" si="13"/>
        <v>184627.97198435297</v>
      </c>
      <c r="G53" s="37">
        <f t="shared" si="13"/>
        <v>38661.281648047894</v>
      </c>
      <c r="H53" s="37">
        <f t="shared" si="13"/>
        <v>39956.76783126175</v>
      </c>
      <c r="I53" s="53">
        <f>SUM(C28:H28,C53:H53)</f>
        <v>1193970.4151241491</v>
      </c>
      <c r="J53" s="52" t="s">
        <v>205</v>
      </c>
      <c r="K53" s="11">
        <f t="shared" si="9"/>
        <v>39</v>
      </c>
      <c r="O53" s="46"/>
      <c r="P53" s="7"/>
      <c r="Q53" s="7"/>
    </row>
    <row r="54" spans="1:17" ht="19.5" thickBot="1" x14ac:dyDescent="0.35">
      <c r="A54" s="11">
        <f t="shared" si="8"/>
        <v>40</v>
      </c>
      <c r="B54" s="14" t="s">
        <v>146</v>
      </c>
      <c r="C54" s="224">
        <f t="shared" ref="C54:I54" si="14">SUM(C51:C53)</f>
        <v>7170105.4638232123</v>
      </c>
      <c r="D54" s="224">
        <f t="shared" si="14"/>
        <v>7453792.3405873198</v>
      </c>
      <c r="E54" s="224">
        <f t="shared" si="14"/>
        <v>7783947.22810004</v>
      </c>
      <c r="F54" s="224">
        <f t="shared" si="14"/>
        <v>7125796.3980573304</v>
      </c>
      <c r="G54" s="224">
        <f t="shared" si="14"/>
        <v>1322035.9287649754</v>
      </c>
      <c r="H54" s="224">
        <f t="shared" si="14"/>
        <v>1366335.5279096356</v>
      </c>
      <c r="I54" s="54">
        <f t="shared" si="14"/>
        <v>44930372.158766441</v>
      </c>
      <c r="J54" s="50" t="s">
        <v>183</v>
      </c>
      <c r="K54" s="11">
        <f t="shared" si="9"/>
        <v>40</v>
      </c>
      <c r="O54" s="46"/>
      <c r="P54" s="7"/>
      <c r="Q54" s="7"/>
    </row>
    <row r="55" spans="1:17" ht="19.5" thickTop="1" x14ac:dyDescent="0.3">
      <c r="A55" s="11"/>
      <c r="B55" s="24"/>
      <c r="C55" s="225"/>
      <c r="D55" s="225"/>
      <c r="E55" s="225"/>
      <c r="F55" s="225"/>
      <c r="G55" s="225"/>
      <c r="H55" s="225"/>
      <c r="I55" s="105"/>
      <c r="J55" s="17"/>
      <c r="K55" s="17"/>
      <c r="O55" s="46"/>
      <c r="P55" s="7"/>
      <c r="Q55" s="7"/>
    </row>
    <row r="56" spans="1:17" x14ac:dyDescent="0.3">
      <c r="A56" s="7"/>
      <c r="B56" s="25" t="s">
        <v>46</v>
      </c>
      <c r="O56" s="46"/>
      <c r="P56" s="7"/>
      <c r="Q56" s="7"/>
    </row>
    <row r="57" spans="1:17" ht="22.5" x14ac:dyDescent="0.3">
      <c r="A57" s="77">
        <v>1</v>
      </c>
      <c r="B57" s="1" t="s">
        <v>206</v>
      </c>
      <c r="O57" s="46"/>
      <c r="P57" s="7"/>
      <c r="Q57" s="7"/>
    </row>
    <row r="58" spans="1:17" ht="22.5" x14ac:dyDescent="0.3">
      <c r="A58" s="77">
        <v>2</v>
      </c>
      <c r="B58" s="1" t="s">
        <v>207</v>
      </c>
      <c r="O58" s="46"/>
      <c r="P58" s="7"/>
      <c r="Q58" s="7"/>
    </row>
    <row r="59" spans="1:17" ht="22.5" x14ac:dyDescent="0.3">
      <c r="A59" s="77">
        <v>3</v>
      </c>
      <c r="B59" s="1" t="s">
        <v>157</v>
      </c>
      <c r="O59" s="46"/>
      <c r="P59" s="7"/>
      <c r="Q59" s="7"/>
    </row>
    <row r="60" spans="1:17" ht="22.5" x14ac:dyDescent="0.3">
      <c r="A60" s="77"/>
      <c r="O60" s="46"/>
      <c r="P60" s="7"/>
      <c r="Q60" s="7"/>
    </row>
    <row r="61" spans="1:17" ht="22.5" x14ac:dyDescent="0.3">
      <c r="A61" s="77"/>
      <c r="O61" s="46"/>
      <c r="P61" s="7"/>
      <c r="Q61" s="7"/>
    </row>
    <row r="62" spans="1:17" ht="22.5" x14ac:dyDescent="0.3">
      <c r="A62" s="77"/>
      <c r="O62" s="46"/>
      <c r="P62" s="7"/>
      <c r="Q62" s="7"/>
    </row>
    <row r="63" spans="1:17" x14ac:dyDescent="0.3">
      <c r="A63" s="96"/>
      <c r="B63" s="25"/>
      <c r="O63" s="46"/>
      <c r="P63" s="7"/>
      <c r="Q63" s="7"/>
    </row>
    <row r="64" spans="1:17" x14ac:dyDescent="0.3">
      <c r="A64" s="96"/>
      <c r="O64" s="46"/>
      <c r="P64" s="7"/>
      <c r="Q64" s="7"/>
    </row>
    <row r="65" spans="1:17" x14ac:dyDescent="0.3">
      <c r="A65" s="96"/>
      <c r="O65" s="46"/>
      <c r="P65" s="7"/>
      <c r="Q65" s="7"/>
    </row>
    <row r="66" spans="1:17" x14ac:dyDescent="0.3">
      <c r="A66" s="96"/>
      <c r="O66" s="46"/>
      <c r="P66" s="7"/>
      <c r="Q66" s="7"/>
    </row>
    <row r="67" spans="1:17" x14ac:dyDescent="0.3">
      <c r="A67" s="96"/>
      <c r="B67" s="25"/>
      <c r="O67" s="46"/>
      <c r="P67" s="7"/>
      <c r="Q67" s="7"/>
    </row>
    <row r="68" spans="1:17" x14ac:dyDescent="0.3">
      <c r="A68" s="96"/>
      <c r="O68" s="46"/>
      <c r="P68" s="7"/>
      <c r="Q68" s="7"/>
    </row>
    <row r="69" spans="1:17" x14ac:dyDescent="0.3">
      <c r="A69" s="96"/>
      <c r="O69" s="46"/>
      <c r="P69" s="7"/>
      <c r="Q69" s="7"/>
    </row>
    <row r="70" spans="1:17" x14ac:dyDescent="0.3">
      <c r="A70" s="96"/>
      <c r="O70" s="46"/>
      <c r="P70" s="7"/>
      <c r="Q70" s="7"/>
    </row>
    <row r="71" spans="1:17" x14ac:dyDescent="0.3">
      <c r="A71" s="96"/>
      <c r="O71" s="46"/>
      <c r="P71" s="7"/>
      <c r="Q71" s="7"/>
    </row>
    <row r="72" spans="1:17" x14ac:dyDescent="0.3">
      <c r="A72" s="96"/>
      <c r="O72" s="46"/>
      <c r="P72" s="7"/>
      <c r="Q72" s="7"/>
    </row>
    <row r="73" spans="1:17" x14ac:dyDescent="0.3">
      <c r="A73" s="96"/>
      <c r="B73" s="97"/>
      <c r="O73" s="46"/>
      <c r="P73" s="7"/>
      <c r="Q73" s="7"/>
    </row>
    <row r="74" spans="1:17" x14ac:dyDescent="0.3">
      <c r="A74" s="96"/>
      <c r="O74" s="46"/>
      <c r="P74" s="7"/>
      <c r="Q74" s="7"/>
    </row>
    <row r="75" spans="1:17" x14ac:dyDescent="0.3">
      <c r="A75" s="96"/>
      <c r="O75" s="46"/>
      <c r="P75" s="7"/>
      <c r="Q75" s="7"/>
    </row>
    <row r="76" spans="1:17" x14ac:dyDescent="0.3">
      <c r="A76" s="96"/>
      <c r="O76" s="46"/>
      <c r="P76" s="7"/>
      <c r="Q76" s="7"/>
    </row>
    <row r="77" spans="1:17" x14ac:dyDescent="0.3">
      <c r="A77" s="96"/>
      <c r="O77" s="46"/>
      <c r="P77" s="7"/>
      <c r="Q77" s="7"/>
    </row>
    <row r="78" spans="1:17" x14ac:dyDescent="0.3">
      <c r="A78" s="96"/>
    </row>
    <row r="79" spans="1:17" x14ac:dyDescent="0.3">
      <c r="A79" s="96"/>
      <c r="B79" s="25"/>
    </row>
    <row r="80" spans="1:17" ht="22.5" x14ac:dyDescent="0.3">
      <c r="A80" s="26"/>
    </row>
    <row r="81" spans="1:1" ht="22.5" x14ac:dyDescent="0.3">
      <c r="A81" s="26"/>
    </row>
    <row r="82" spans="1:1" ht="22.5" x14ac:dyDescent="0.3">
      <c r="A82" s="26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</sheetData>
  <mergeCells count="5">
    <mergeCell ref="A5:K5"/>
    <mergeCell ref="A1:K1"/>
    <mergeCell ref="A2:K2"/>
    <mergeCell ref="A3:K3"/>
    <mergeCell ref="A4:K4"/>
  </mergeCells>
  <phoneticPr fontId="0" type="noConversion"/>
  <printOptions horizontalCentered="1"/>
  <pageMargins left="0.25" right="0.25" top="0.5" bottom="0.5" header="0.25" footer="0.25"/>
  <pageSetup scale="48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Q77"/>
  <sheetViews>
    <sheetView zoomScale="75" zoomScaleNormal="75" zoomScaleSheetLayoutView="70" workbookViewId="0">
      <selection activeCell="B73" sqref="B73"/>
    </sheetView>
  </sheetViews>
  <sheetFormatPr defaultColWidth="9.140625" defaultRowHeight="18.75" x14ac:dyDescent="0.3"/>
  <cols>
    <col min="1" max="1" width="6" style="1" bestFit="1" customWidth="1"/>
    <col min="2" max="2" width="48.140625" style="1" customWidth="1"/>
    <col min="3" max="3" width="18" style="1" bestFit="1" customWidth="1"/>
    <col min="4" max="8" width="17.28515625" style="1" bestFit="1" customWidth="1"/>
    <col min="9" max="9" width="18.42578125" style="1" bestFit="1" customWidth="1"/>
    <col min="10" max="10" width="64.5703125" style="1" bestFit="1" customWidth="1"/>
    <col min="11" max="11" width="5.5703125" style="1" bestFit="1" customWidth="1"/>
    <col min="12" max="12" width="17.140625" style="1" bestFit="1" customWidth="1"/>
    <col min="13" max="13" width="33.85546875" style="1" customWidth="1"/>
    <col min="14" max="14" width="17.140625" style="1" bestFit="1" customWidth="1"/>
    <col min="15" max="15" width="18.42578125" style="1" bestFit="1" customWidth="1"/>
    <col min="16" max="16" width="68" style="1" bestFit="1" customWidth="1"/>
    <col min="17" max="17" width="5.5703125" style="1" bestFit="1" customWidth="1"/>
    <col min="18" max="28" width="12.5703125" style="1" customWidth="1"/>
    <col min="29" max="16384" width="9.140625" style="1"/>
  </cols>
  <sheetData>
    <row r="1" spans="1:17" ht="18.75" customHeight="1" x14ac:dyDescent="0.3">
      <c r="A1" s="426" t="str">
        <f>'Comparison of Revenues'!A1:H1</f>
        <v>Statement BG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89"/>
      <c r="M1" s="89"/>
      <c r="N1" s="89"/>
      <c r="O1" s="89"/>
      <c r="P1" s="89"/>
      <c r="Q1" s="89"/>
    </row>
    <row r="2" spans="1:17" ht="18.75" customHeight="1" x14ac:dyDescent="0.3">
      <c r="A2" s="426" t="str">
        <f>'Comparison of Revenues'!A2:H2</f>
        <v>SAN DIEGO GAS AND ELECTRIC COMPANY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89"/>
      <c r="M2" s="89"/>
      <c r="N2" s="89"/>
      <c r="O2" s="89"/>
      <c r="P2" s="89"/>
      <c r="Q2" s="89"/>
    </row>
    <row r="3" spans="1:17" ht="18.75" customHeight="1" x14ac:dyDescent="0.3">
      <c r="A3" s="426" t="str">
        <f>'Comparison of Revenues'!A3:H3</f>
        <v>Transmission Revenues Data to Reflect Changed Rates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89"/>
      <c r="M3" s="89"/>
      <c r="N3" s="89"/>
      <c r="O3" s="89"/>
      <c r="P3" s="89"/>
      <c r="Q3" s="89"/>
    </row>
    <row r="4" spans="1:17" ht="18.75" customHeight="1" x14ac:dyDescent="0.3">
      <c r="A4" s="426" t="s">
        <v>185</v>
      </c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89"/>
      <c r="M4" s="89"/>
      <c r="N4" s="89"/>
      <c r="O4" s="89"/>
      <c r="P4" s="89"/>
      <c r="Q4" s="89"/>
    </row>
    <row r="5" spans="1:17" ht="18.75" customHeight="1" x14ac:dyDescent="0.3">
      <c r="A5" s="425" t="s">
        <v>461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89"/>
      <c r="M5" s="89"/>
      <c r="N5" s="89"/>
      <c r="O5" s="89"/>
      <c r="P5" s="89"/>
      <c r="Q5" s="89"/>
    </row>
    <row r="6" spans="1:17" x14ac:dyDescent="0.3">
      <c r="A6" s="7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x14ac:dyDescent="0.3">
      <c r="A7" s="8" t="s">
        <v>8</v>
      </c>
      <c r="B7" s="28"/>
      <c r="C7" s="8" t="str">
        <f>'Summary of Revs @ Changed Rates'!C6</f>
        <v>(A)</v>
      </c>
      <c r="D7" s="8" t="str">
        <f>'Summary of Revs @ Changed Rates'!D6</f>
        <v>(B)</v>
      </c>
      <c r="E7" s="8" t="str">
        <f>'Summary of Revs @ Changed Rates'!E6</f>
        <v>(C)</v>
      </c>
      <c r="F7" s="8" t="str">
        <f>'Summary of Revs @ Changed Rates'!F6</f>
        <v>(D)</v>
      </c>
      <c r="G7" s="8" t="str">
        <f>'Summary of Revs @ Changed Rates'!G6</f>
        <v>(E)</v>
      </c>
      <c r="H7" s="8" t="str">
        <f>'Summary of Revs @ Changed Rates'!H6</f>
        <v>(F)</v>
      </c>
      <c r="I7" s="8" t="str">
        <f>'Summary of Revs @ Changed Rates'!I6</f>
        <v>(G)</v>
      </c>
      <c r="J7" s="28"/>
      <c r="K7" s="8" t="s">
        <v>8</v>
      </c>
    </row>
    <row r="8" spans="1:17" ht="22.5" x14ac:dyDescent="0.3">
      <c r="A8" s="17" t="s">
        <v>10</v>
      </c>
      <c r="B8" s="17" t="s">
        <v>114</v>
      </c>
      <c r="C8" s="29">
        <f>'Summary of Revs @ Changed Rates'!C8</f>
        <v>46023</v>
      </c>
      <c r="D8" s="29">
        <f>'Summary of Revs @ Changed Rates'!D8</f>
        <v>46054</v>
      </c>
      <c r="E8" s="29">
        <f>'Summary of Revs @ Changed Rates'!E8</f>
        <v>46082</v>
      </c>
      <c r="F8" s="29">
        <f>'Summary of Revs @ Changed Rates'!F8</f>
        <v>46113</v>
      </c>
      <c r="G8" s="29">
        <f>'Summary of Revs @ Changed Rates'!G8</f>
        <v>46143</v>
      </c>
      <c r="H8" s="29">
        <f>'Summary of Revs @ Changed Rates'!H8</f>
        <v>46174</v>
      </c>
      <c r="I8" s="24"/>
      <c r="J8" s="17" t="s">
        <v>186</v>
      </c>
      <c r="K8" s="17" t="s">
        <v>10</v>
      </c>
    </row>
    <row r="9" spans="1:17" x14ac:dyDescent="0.3">
      <c r="A9" s="11"/>
      <c r="B9" s="14"/>
      <c r="C9" s="31"/>
      <c r="D9" s="31"/>
      <c r="E9" s="31"/>
      <c r="F9" s="31"/>
      <c r="G9" s="31"/>
      <c r="H9" s="31"/>
      <c r="I9" s="28"/>
      <c r="J9" s="11"/>
      <c r="K9" s="11"/>
    </row>
    <row r="10" spans="1:17" x14ac:dyDescent="0.3">
      <c r="A10" s="11">
        <v>1</v>
      </c>
      <c r="B10" s="32" t="s">
        <v>208</v>
      </c>
      <c r="C10" s="31"/>
      <c r="D10" s="31"/>
      <c r="E10" s="31"/>
      <c r="F10" s="31"/>
      <c r="G10" s="31"/>
      <c r="H10" s="31"/>
      <c r="I10" s="14"/>
      <c r="J10" s="11"/>
      <c r="K10" s="11">
        <v>1</v>
      </c>
    </row>
    <row r="11" spans="1:17" ht="22.5" x14ac:dyDescent="0.3">
      <c r="A11" s="11">
        <f>A10+1</f>
        <v>2</v>
      </c>
      <c r="B11" s="32" t="s">
        <v>209</v>
      </c>
      <c r="C11" s="14"/>
      <c r="D11" s="14"/>
      <c r="E11" s="14"/>
      <c r="F11" s="14"/>
      <c r="G11" s="14"/>
      <c r="H11" s="14"/>
      <c r="I11" s="14"/>
      <c r="J11" s="11"/>
      <c r="K11" s="11">
        <f>K10+1</f>
        <v>2</v>
      </c>
    </row>
    <row r="12" spans="1:17" x14ac:dyDescent="0.3">
      <c r="A12" s="11">
        <f t="shared" ref="A12:A37" si="0">A11+1</f>
        <v>3</v>
      </c>
      <c r="B12" s="14" t="s">
        <v>123</v>
      </c>
      <c r="C12" s="47">
        <f>'Workpaper 1'!C128*1000</f>
        <v>0</v>
      </c>
      <c r="D12" s="47">
        <f>'Workpaper 1'!D128*1000</f>
        <v>0</v>
      </c>
      <c r="E12" s="47">
        <f>'Workpaper 1'!E128*1000</f>
        <v>0</v>
      </c>
      <c r="F12" s="47">
        <f>'Workpaper 1'!F128*1000</f>
        <v>0</v>
      </c>
      <c r="G12" s="47">
        <f>'Workpaper 1'!G128*1000</f>
        <v>0</v>
      </c>
      <c r="H12" s="47">
        <f>'Workpaper 1'!H128*1000</f>
        <v>0</v>
      </c>
      <c r="I12" s="14"/>
      <c r="J12" s="11" t="s">
        <v>210</v>
      </c>
      <c r="K12" s="11">
        <f t="shared" ref="K12:K37" si="1">K11+1</f>
        <v>3</v>
      </c>
    </row>
    <row r="13" spans="1:17" x14ac:dyDescent="0.3">
      <c r="A13" s="11">
        <f t="shared" si="0"/>
        <v>4</v>
      </c>
      <c r="B13" s="14" t="s">
        <v>125</v>
      </c>
      <c r="C13" s="47">
        <f>'Workpaper 1'!C129*1000</f>
        <v>42840.458069946282</v>
      </c>
      <c r="D13" s="47">
        <f>'Workpaper 1'!D129*1000</f>
        <v>37626.958653289075</v>
      </c>
      <c r="E13" s="47">
        <f>'Workpaper 1'!E129*1000</f>
        <v>41376.115848701527</v>
      </c>
      <c r="F13" s="47">
        <f>'Workpaper 1'!F129*1000</f>
        <v>42538.782822139336</v>
      </c>
      <c r="G13" s="47">
        <f>'Workpaper 1'!G129*1000</f>
        <v>41116.31501899963</v>
      </c>
      <c r="H13" s="47">
        <f>'Workpaper 1'!H129*1000</f>
        <v>42278.584359830864</v>
      </c>
      <c r="I13" s="14"/>
      <c r="J13" s="11" t="s">
        <v>211</v>
      </c>
      <c r="K13" s="11">
        <f t="shared" si="1"/>
        <v>4</v>
      </c>
    </row>
    <row r="14" spans="1:17" x14ac:dyDescent="0.3">
      <c r="A14" s="11">
        <f t="shared" si="0"/>
        <v>5</v>
      </c>
      <c r="B14" s="14" t="s">
        <v>127</v>
      </c>
      <c r="C14" s="47">
        <f>'Workpaper 1'!C130*1000</f>
        <v>93541.03836901531</v>
      </c>
      <c r="D14" s="47">
        <f>'Workpaper 1'!D130*1000</f>
        <v>82157.496480314338</v>
      </c>
      <c r="E14" s="47">
        <f>'Workpaper 1'!E130*1000</f>
        <v>90343.684790788349</v>
      </c>
      <c r="F14" s="47">
        <f>'Workpaper 1'!F130*1000</f>
        <v>92882.338224305888</v>
      </c>
      <c r="G14" s="47">
        <f>'Workpaper 1'!G130*1000</f>
        <v>89776.416361030468</v>
      </c>
      <c r="H14" s="47">
        <f>'Workpaper 1'!H130*1000</f>
        <v>84496.306426869109</v>
      </c>
      <c r="I14" s="14"/>
      <c r="J14" s="11" t="s">
        <v>212</v>
      </c>
      <c r="K14" s="11">
        <f t="shared" si="1"/>
        <v>5</v>
      </c>
    </row>
    <row r="15" spans="1:17" ht="19.5" thickBot="1" x14ac:dyDescent="0.35">
      <c r="A15" s="11">
        <f t="shared" si="0"/>
        <v>6</v>
      </c>
      <c r="B15" s="14" t="s">
        <v>129</v>
      </c>
      <c r="C15" s="48">
        <f t="shared" ref="C15:H15" si="2">SUM(C12:C14)</f>
        <v>136381.49643896159</v>
      </c>
      <c r="D15" s="48">
        <f t="shared" si="2"/>
        <v>119784.45513360342</v>
      </c>
      <c r="E15" s="48">
        <f t="shared" si="2"/>
        <v>131719.80063948987</v>
      </c>
      <c r="F15" s="48">
        <f t="shared" si="2"/>
        <v>135421.12104644522</v>
      </c>
      <c r="G15" s="48">
        <f t="shared" si="2"/>
        <v>130892.73138003011</v>
      </c>
      <c r="H15" s="48">
        <f t="shared" si="2"/>
        <v>126774.89078669998</v>
      </c>
      <c r="I15" s="14"/>
      <c r="J15" s="50" t="s">
        <v>164</v>
      </c>
      <c r="K15" s="11">
        <f t="shared" si="1"/>
        <v>6</v>
      </c>
    </row>
    <row r="16" spans="1:17" ht="20.25" thickTop="1" thickBot="1" x14ac:dyDescent="0.35">
      <c r="A16" s="11">
        <f t="shared" si="0"/>
        <v>7</v>
      </c>
      <c r="B16" s="14" t="s">
        <v>131</v>
      </c>
      <c r="C16" s="35">
        <f>'A-Billing Determinants'!D20</f>
        <v>136381.49643896159</v>
      </c>
      <c r="D16" s="35">
        <f>'A-Billing Determinants'!F20</f>
        <v>119784.45513360342</v>
      </c>
      <c r="E16" s="35">
        <f>'A-Billing Determinants'!H20</f>
        <v>131719.80063948987</v>
      </c>
      <c r="F16" s="35">
        <f>'A-Billing Determinants'!J20</f>
        <v>135421.12104644522</v>
      </c>
      <c r="G16" s="35">
        <f>'A-Billing Determinants'!L20</f>
        <v>130892.73138003012</v>
      </c>
      <c r="H16" s="35">
        <f>'A-Billing Determinants'!N20</f>
        <v>126774.89078669998</v>
      </c>
      <c r="I16" s="14"/>
      <c r="J16" s="11" t="s">
        <v>213</v>
      </c>
      <c r="K16" s="11">
        <f t="shared" si="1"/>
        <v>7</v>
      </c>
    </row>
    <row r="17" spans="1:13" ht="20.25" thickTop="1" thickBot="1" x14ac:dyDescent="0.35">
      <c r="A17" s="11">
        <f t="shared" si="0"/>
        <v>8</v>
      </c>
      <c r="B17" s="14" t="s">
        <v>133</v>
      </c>
      <c r="C17" s="35">
        <f t="shared" ref="C17:H17" si="3">C15-C16</f>
        <v>0</v>
      </c>
      <c r="D17" s="35">
        <f t="shared" si="3"/>
        <v>0</v>
      </c>
      <c r="E17" s="35">
        <f t="shared" si="3"/>
        <v>0</v>
      </c>
      <c r="F17" s="35">
        <f t="shared" si="3"/>
        <v>0</v>
      </c>
      <c r="G17" s="35">
        <f t="shared" si="3"/>
        <v>0</v>
      </c>
      <c r="H17" s="35">
        <f t="shared" si="3"/>
        <v>0</v>
      </c>
      <c r="I17" s="14"/>
      <c r="J17" s="36" t="s">
        <v>166</v>
      </c>
      <c r="K17" s="11">
        <f t="shared" si="1"/>
        <v>8</v>
      </c>
    </row>
    <row r="18" spans="1:13" ht="19.5" thickTop="1" x14ac:dyDescent="0.3">
      <c r="A18" s="11">
        <f t="shared" si="0"/>
        <v>9</v>
      </c>
      <c r="B18" s="11"/>
      <c r="C18" s="37"/>
      <c r="D18" s="37"/>
      <c r="E18" s="37"/>
      <c r="F18" s="37"/>
      <c r="G18" s="37"/>
      <c r="H18" s="37"/>
      <c r="I18" s="14"/>
      <c r="J18" s="36"/>
      <c r="K18" s="11">
        <f t="shared" si="1"/>
        <v>9</v>
      </c>
    </row>
    <row r="19" spans="1:13" x14ac:dyDescent="0.3">
      <c r="A19" s="11">
        <f t="shared" si="0"/>
        <v>10</v>
      </c>
      <c r="B19" s="38" t="s">
        <v>214</v>
      </c>
      <c r="C19" s="37"/>
      <c r="D19" s="37"/>
      <c r="E19" s="37"/>
      <c r="F19" s="37"/>
      <c r="G19" s="37"/>
      <c r="H19" s="37"/>
      <c r="I19" s="14"/>
      <c r="J19" s="36"/>
      <c r="K19" s="11">
        <f t="shared" si="1"/>
        <v>10</v>
      </c>
    </row>
    <row r="20" spans="1:13" x14ac:dyDescent="0.3">
      <c r="A20" s="11">
        <f t="shared" si="0"/>
        <v>11</v>
      </c>
      <c r="B20" s="38" t="s">
        <v>215</v>
      </c>
      <c r="C20" s="14"/>
      <c r="D20" s="14"/>
      <c r="E20" s="14"/>
      <c r="F20" s="14"/>
      <c r="G20" s="14"/>
      <c r="H20" s="14"/>
      <c r="I20" s="14"/>
      <c r="J20" s="11"/>
      <c r="K20" s="11">
        <f t="shared" si="1"/>
        <v>11</v>
      </c>
    </row>
    <row r="21" spans="1:13" x14ac:dyDescent="0.3">
      <c r="A21" s="11">
        <f t="shared" si="0"/>
        <v>12</v>
      </c>
      <c r="B21" s="14" t="s">
        <v>123</v>
      </c>
      <c r="C21" s="51">
        <f>'[2]Transmission Rates Summary'!$F$33</f>
        <v>0</v>
      </c>
      <c r="D21" s="51">
        <f>C21</f>
        <v>0</v>
      </c>
      <c r="E21" s="51">
        <f>D21</f>
        <v>0</v>
      </c>
      <c r="F21" s="51">
        <f>E21</f>
        <v>0</v>
      </c>
      <c r="G21" s="51">
        <f>F21</f>
        <v>0</v>
      </c>
      <c r="H21" s="51">
        <f>'[2]Transmission Rates Summary'!$F$32</f>
        <v>0</v>
      </c>
      <c r="I21" s="14"/>
      <c r="J21" s="11" t="s">
        <v>216</v>
      </c>
      <c r="K21" s="11">
        <f t="shared" si="1"/>
        <v>12</v>
      </c>
    </row>
    <row r="22" spans="1:13" x14ac:dyDescent="0.3">
      <c r="A22" s="11">
        <f t="shared" si="0"/>
        <v>13</v>
      </c>
      <c r="B22" s="14" t="s">
        <v>138</v>
      </c>
      <c r="C22" s="51">
        <f>'[2]Transmission Rates Summary'!$E$33</f>
        <v>1.04</v>
      </c>
      <c r="D22" s="51">
        <f t="shared" ref="D22:G23" si="4">C22</f>
        <v>1.04</v>
      </c>
      <c r="E22" s="51">
        <f t="shared" si="4"/>
        <v>1.04</v>
      </c>
      <c r="F22" s="51">
        <f t="shared" si="4"/>
        <v>1.04</v>
      </c>
      <c r="G22" s="51">
        <f t="shared" si="4"/>
        <v>1.04</v>
      </c>
      <c r="H22" s="51">
        <f>'[2]Transmission Rates Summary'!$E$32</f>
        <v>5.64</v>
      </c>
      <c r="I22" s="14"/>
      <c r="J22" s="11" t="s">
        <v>217</v>
      </c>
      <c r="K22" s="11">
        <f t="shared" si="1"/>
        <v>13</v>
      </c>
    </row>
    <row r="23" spans="1:13" x14ac:dyDescent="0.3">
      <c r="A23" s="11">
        <f t="shared" si="0"/>
        <v>14</v>
      </c>
      <c r="B23" s="14" t="s">
        <v>127</v>
      </c>
      <c r="C23" s="51">
        <f>'[2]Transmission Rates Summary'!$D$33</f>
        <v>1.03</v>
      </c>
      <c r="D23" s="51">
        <f t="shared" si="4"/>
        <v>1.03</v>
      </c>
      <c r="E23" s="51">
        <f t="shared" si="4"/>
        <v>1.03</v>
      </c>
      <c r="F23" s="51">
        <f t="shared" si="4"/>
        <v>1.03</v>
      </c>
      <c r="G23" s="51">
        <f t="shared" si="4"/>
        <v>1.03</v>
      </c>
      <c r="H23" s="51">
        <f>'[2]Transmission Rates Summary'!$D$32</f>
        <v>5.6</v>
      </c>
      <c r="I23" s="14"/>
      <c r="J23" s="11" t="s">
        <v>218</v>
      </c>
      <c r="K23" s="11">
        <f t="shared" si="1"/>
        <v>14</v>
      </c>
    </row>
    <row r="24" spans="1:13" x14ac:dyDescent="0.3">
      <c r="A24" s="11">
        <f t="shared" si="0"/>
        <v>15</v>
      </c>
      <c r="B24" s="38" t="s">
        <v>219</v>
      </c>
      <c r="C24" s="51"/>
      <c r="D24" s="51"/>
      <c r="E24" s="51"/>
      <c r="F24" s="51"/>
      <c r="G24" s="51"/>
      <c r="H24" s="51"/>
      <c r="I24" s="14"/>
      <c r="J24" s="61"/>
      <c r="K24" s="11">
        <f t="shared" si="1"/>
        <v>15</v>
      </c>
    </row>
    <row r="25" spans="1:13" x14ac:dyDescent="0.3">
      <c r="A25" s="11">
        <f t="shared" si="0"/>
        <v>16</v>
      </c>
      <c r="B25" s="38" t="s">
        <v>220</v>
      </c>
      <c r="C25" s="37"/>
      <c r="D25" s="37"/>
      <c r="E25" s="37"/>
      <c r="F25" s="37"/>
      <c r="G25" s="37"/>
      <c r="H25" s="37"/>
      <c r="I25" s="14"/>
      <c r="J25" s="52"/>
      <c r="K25" s="11">
        <f t="shared" si="1"/>
        <v>16</v>
      </c>
    </row>
    <row r="26" spans="1:13" x14ac:dyDescent="0.3">
      <c r="A26" s="11">
        <f t="shared" si="0"/>
        <v>17</v>
      </c>
      <c r="B26" s="14" t="s">
        <v>123</v>
      </c>
      <c r="C26" s="53">
        <f t="shared" ref="C26:H28" si="5">C21*C12</f>
        <v>0</v>
      </c>
      <c r="D26" s="53">
        <f t="shared" si="5"/>
        <v>0</v>
      </c>
      <c r="E26" s="53">
        <f t="shared" si="5"/>
        <v>0</v>
      </c>
      <c r="F26" s="53">
        <f t="shared" si="5"/>
        <v>0</v>
      </c>
      <c r="G26" s="53">
        <f t="shared" si="5"/>
        <v>0</v>
      </c>
      <c r="H26" s="53">
        <f t="shared" si="5"/>
        <v>0</v>
      </c>
      <c r="I26" s="14"/>
      <c r="J26" s="52" t="s">
        <v>198</v>
      </c>
      <c r="K26" s="11">
        <f t="shared" si="1"/>
        <v>17</v>
      </c>
    </row>
    <row r="27" spans="1:13" x14ac:dyDescent="0.3">
      <c r="A27" s="11">
        <f t="shared" si="0"/>
        <v>18</v>
      </c>
      <c r="B27" s="14" t="s">
        <v>125</v>
      </c>
      <c r="C27" s="37">
        <f t="shared" si="5"/>
        <v>44554.076392744137</v>
      </c>
      <c r="D27" s="37">
        <f t="shared" si="5"/>
        <v>39132.036999420641</v>
      </c>
      <c r="E27" s="37">
        <f t="shared" si="5"/>
        <v>43031.16048264959</v>
      </c>
      <c r="F27" s="37">
        <f t="shared" si="5"/>
        <v>44240.33413502491</v>
      </c>
      <c r="G27" s="37">
        <f t="shared" si="5"/>
        <v>42760.96761975962</v>
      </c>
      <c r="H27" s="37">
        <f t="shared" si="5"/>
        <v>238451.21578944605</v>
      </c>
      <c r="I27" s="14"/>
      <c r="J27" s="52" t="s">
        <v>199</v>
      </c>
      <c r="K27" s="11">
        <f t="shared" si="1"/>
        <v>18</v>
      </c>
    </row>
    <row r="28" spans="1:13" x14ac:dyDescent="0.3">
      <c r="A28" s="11">
        <f t="shared" si="0"/>
        <v>19</v>
      </c>
      <c r="B28" s="14" t="s">
        <v>127</v>
      </c>
      <c r="C28" s="37">
        <f t="shared" si="5"/>
        <v>96347.269520085771</v>
      </c>
      <c r="D28" s="37">
        <f t="shared" si="5"/>
        <v>84622.221374723769</v>
      </c>
      <c r="E28" s="37">
        <f t="shared" si="5"/>
        <v>93053.995334512001</v>
      </c>
      <c r="F28" s="37">
        <f t="shared" si="5"/>
        <v>95668.808371035062</v>
      </c>
      <c r="G28" s="37">
        <f t="shared" si="5"/>
        <v>92469.708851861389</v>
      </c>
      <c r="H28" s="37">
        <f t="shared" si="5"/>
        <v>473179.31599046697</v>
      </c>
      <c r="I28" s="14"/>
      <c r="J28" s="52" t="s">
        <v>200</v>
      </c>
      <c r="K28" s="11">
        <f t="shared" si="1"/>
        <v>19</v>
      </c>
    </row>
    <row r="29" spans="1:13" ht="19.5" thickBot="1" x14ac:dyDescent="0.35">
      <c r="A29" s="11">
        <f t="shared" si="0"/>
        <v>20</v>
      </c>
      <c r="B29" s="14" t="s">
        <v>146</v>
      </c>
      <c r="C29" s="54">
        <f t="shared" ref="C29:H29" si="6">SUM(C26:C28)</f>
        <v>140901.34591282991</v>
      </c>
      <c r="D29" s="54">
        <f t="shared" si="6"/>
        <v>123754.25837414441</v>
      </c>
      <c r="E29" s="54">
        <f t="shared" si="6"/>
        <v>136085.15581716161</v>
      </c>
      <c r="F29" s="54">
        <f t="shared" si="6"/>
        <v>139909.14250605996</v>
      </c>
      <c r="G29" s="54">
        <f t="shared" si="6"/>
        <v>135230.676471621</v>
      </c>
      <c r="H29" s="54">
        <f t="shared" si="6"/>
        <v>711630.531779913</v>
      </c>
      <c r="I29" s="14"/>
      <c r="J29" s="50" t="s">
        <v>175</v>
      </c>
      <c r="K29" s="11">
        <f t="shared" si="1"/>
        <v>20</v>
      </c>
    </row>
    <row r="30" spans="1:13" ht="19.5" thickTop="1" x14ac:dyDescent="0.3">
      <c r="A30" s="11">
        <f t="shared" si="0"/>
        <v>21</v>
      </c>
      <c r="B30" s="14"/>
      <c r="C30" s="14"/>
      <c r="D30" s="14"/>
      <c r="E30" s="14"/>
      <c r="F30" s="14"/>
      <c r="G30" s="14"/>
      <c r="H30" s="14"/>
      <c r="I30" s="14"/>
      <c r="J30" s="11"/>
      <c r="K30" s="11">
        <f t="shared" si="1"/>
        <v>21</v>
      </c>
    </row>
    <row r="31" spans="1:13" x14ac:dyDescent="0.3">
      <c r="A31" s="11">
        <f t="shared" si="0"/>
        <v>22</v>
      </c>
      <c r="B31" s="32" t="s">
        <v>142</v>
      </c>
      <c r="C31" s="14"/>
      <c r="D31" s="14"/>
      <c r="E31" s="14"/>
      <c r="F31" s="14"/>
      <c r="G31" s="14"/>
      <c r="H31" s="14"/>
      <c r="I31" s="14"/>
      <c r="J31" s="11"/>
      <c r="K31" s="11">
        <f t="shared" si="1"/>
        <v>22</v>
      </c>
      <c r="L31" s="391"/>
    </row>
    <row r="32" spans="1:13" ht="37.5" x14ac:dyDescent="0.3">
      <c r="A32" s="11">
        <f t="shared" si="0"/>
        <v>23</v>
      </c>
      <c r="B32" s="14" t="s">
        <v>123</v>
      </c>
      <c r="C32" s="53">
        <f>ROUND(SUM(C26,'C-Med &amp; Lrg C-I'!C26,'B-Med &amp; Lrg C-I'!C26,'A-Med &amp; Lrg C-I'!C30),0)</f>
        <v>26651269</v>
      </c>
      <c r="D32" s="53">
        <f>ROUND(SUM(D26,'C-Med &amp; Lrg C-I'!D26,'B-Med &amp; Lrg C-I'!D26,'A-Med &amp; Lrg C-I'!D30),0)</f>
        <v>25527068</v>
      </c>
      <c r="E32" s="53">
        <f>ROUND(SUM(E26,'C-Med &amp; Lrg C-I'!E26,'B-Med &amp; Lrg C-I'!E26,'A-Med &amp; Lrg C-I'!E30),0)</f>
        <v>25254540</v>
      </c>
      <c r="F32" s="53">
        <f>ROUND(SUM(F26,'C-Med &amp; Lrg C-I'!F26,'B-Med &amp; Lrg C-I'!F26,'A-Med &amp; Lrg C-I'!F30),0)</f>
        <v>25315729</v>
      </c>
      <c r="G32" s="53">
        <f>ROUND(SUM(G26,'C-Med &amp; Lrg C-I'!G26,'B-Med &amp; Lrg C-I'!G26,'A-Med &amp; Lrg C-I'!G30),0)</f>
        <v>25731053</v>
      </c>
      <c r="H32" s="53">
        <f>ROUND(SUM(H26,'C-Med &amp; Lrg C-I'!H26,'B-Med &amp; Lrg C-I'!H26,'A-Med &amp; Lrg C-I'!H30),0)</f>
        <v>30855307</v>
      </c>
      <c r="I32" s="14"/>
      <c r="J32" s="99" t="s">
        <v>441</v>
      </c>
      <c r="K32" s="11">
        <f t="shared" si="1"/>
        <v>23</v>
      </c>
      <c r="M32" s="413"/>
    </row>
    <row r="33" spans="1:17" ht="37.5" x14ac:dyDescent="0.3">
      <c r="A33" s="11">
        <f t="shared" si="0"/>
        <v>24</v>
      </c>
      <c r="B33" s="14" t="s">
        <v>125</v>
      </c>
      <c r="C33" s="53">
        <f>ROUND(SUM(C27,'C-Med &amp; Lrg C-I'!C27,'B-Med &amp; Lrg C-I'!C27,'A-Med &amp; Lrg C-I'!C31),0)</f>
        <v>7952582</v>
      </c>
      <c r="D33" s="53">
        <f>ROUND(SUM(D27,'C-Med &amp; Lrg C-I'!D27,'B-Med &amp; Lrg C-I'!D27,'A-Med &amp; Lrg C-I'!D31),0)</f>
        <v>7507608</v>
      </c>
      <c r="E33" s="53">
        <f>ROUND(SUM(E27,'C-Med &amp; Lrg C-I'!E27,'B-Med &amp; Lrg C-I'!E27,'A-Med &amp; Lrg C-I'!E31),0)</f>
        <v>7560910</v>
      </c>
      <c r="F33" s="53">
        <f>ROUND(SUM(F27,'C-Med &amp; Lrg C-I'!F27,'B-Med &amp; Lrg C-I'!F27,'A-Med &amp; Lrg C-I'!F31),0)</f>
        <v>7613387</v>
      </c>
      <c r="G33" s="53">
        <f>ROUND(SUM(G27,'C-Med &amp; Lrg C-I'!G27,'B-Med &amp; Lrg C-I'!G27,'A-Med &amp; Lrg C-I'!G31),0)</f>
        <v>7670120</v>
      </c>
      <c r="H33" s="53">
        <f>ROUND(SUM(H27,'C-Med &amp; Lrg C-I'!H27,'B-Med &amp; Lrg C-I'!H27,'A-Med &amp; Lrg C-I'!H31),0)</f>
        <v>9243585</v>
      </c>
      <c r="I33" s="14"/>
      <c r="J33" s="99" t="s">
        <v>442</v>
      </c>
      <c r="K33" s="11">
        <f t="shared" si="1"/>
        <v>24</v>
      </c>
      <c r="M33" s="413"/>
    </row>
    <row r="34" spans="1:17" ht="37.5" x14ac:dyDescent="0.3">
      <c r="A34" s="11">
        <f t="shared" si="0"/>
        <v>25</v>
      </c>
      <c r="B34" s="14" t="s">
        <v>127</v>
      </c>
      <c r="C34" s="53">
        <f>ROUND(SUM(C28,'C-Med &amp; Lrg C-I'!C28,'B-Med &amp; Lrg C-I'!C28,'A-Med &amp; Lrg C-I'!C32),0)</f>
        <v>2793036</v>
      </c>
      <c r="D34" s="53">
        <f>ROUND(SUM(D28,'C-Med &amp; Lrg C-I'!D28,'B-Med &amp; Lrg C-I'!D28,'A-Med &amp; Lrg C-I'!D32),0)</f>
        <v>2485446</v>
      </c>
      <c r="E34" s="53">
        <f>ROUND(SUM(E28,'C-Med &amp; Lrg C-I'!E28,'B-Med &amp; Lrg C-I'!E28,'A-Med &amp; Lrg C-I'!E32),0)</f>
        <v>2690160</v>
      </c>
      <c r="F34" s="53">
        <f>ROUND(SUM(F28,'C-Med &amp; Lrg C-I'!F28,'B-Med &amp; Lrg C-I'!F28,'A-Med &amp; Lrg C-I'!F32),0)</f>
        <v>2755866</v>
      </c>
      <c r="G34" s="53">
        <f>ROUND(SUM(G28,'C-Med &amp; Lrg C-I'!G28,'B-Med &amp; Lrg C-I'!G28,'A-Med &amp; Lrg C-I'!G32),0)</f>
        <v>2682952</v>
      </c>
      <c r="H34" s="53">
        <f>ROUND(SUM(H28,'C-Med &amp; Lrg C-I'!H28,'B-Med &amp; Lrg C-I'!H28,'A-Med &amp; Lrg C-I'!H32),0)</f>
        <v>3227464</v>
      </c>
      <c r="I34" s="14"/>
      <c r="J34" s="99" t="s">
        <v>443</v>
      </c>
      <c r="K34" s="11">
        <f t="shared" si="1"/>
        <v>25</v>
      </c>
      <c r="M34" s="413"/>
    </row>
    <row r="35" spans="1:17" ht="19.5" thickBot="1" x14ac:dyDescent="0.35">
      <c r="A35" s="11">
        <f t="shared" si="0"/>
        <v>26</v>
      </c>
      <c r="B35" s="14" t="s">
        <v>221</v>
      </c>
      <c r="C35" s="42">
        <f t="shared" ref="C35:H35" si="7">SUM(C32:C34)</f>
        <v>37396887</v>
      </c>
      <c r="D35" s="42">
        <f t="shared" si="7"/>
        <v>35520122</v>
      </c>
      <c r="E35" s="42">
        <f t="shared" si="7"/>
        <v>35505610</v>
      </c>
      <c r="F35" s="42">
        <f t="shared" si="7"/>
        <v>35684982</v>
      </c>
      <c r="G35" s="42">
        <f t="shared" si="7"/>
        <v>36084125</v>
      </c>
      <c r="H35" s="42">
        <f t="shared" si="7"/>
        <v>43326356</v>
      </c>
      <c r="I35" s="14"/>
      <c r="J35" s="55" t="s">
        <v>177</v>
      </c>
      <c r="K35" s="11">
        <f t="shared" si="1"/>
        <v>26</v>
      </c>
    </row>
    <row r="36" spans="1:17" ht="19.5" thickTop="1" x14ac:dyDescent="0.3">
      <c r="A36" s="11">
        <f t="shared" si="0"/>
        <v>27</v>
      </c>
      <c r="B36" s="14"/>
      <c r="C36" s="14"/>
      <c r="D36" s="14"/>
      <c r="E36" s="14"/>
      <c r="F36" s="14"/>
      <c r="G36" s="14"/>
      <c r="H36" s="14"/>
      <c r="I36" s="14"/>
      <c r="J36" s="11"/>
      <c r="K36" s="11">
        <f t="shared" si="1"/>
        <v>27</v>
      </c>
    </row>
    <row r="37" spans="1:17" ht="19.5" thickBot="1" x14ac:dyDescent="0.35">
      <c r="A37" s="11">
        <f t="shared" si="0"/>
        <v>28</v>
      </c>
      <c r="B37" s="38" t="s">
        <v>155</v>
      </c>
      <c r="C37" s="45">
        <f>C35+'A-Med &amp; Lrg C-I'!C13</f>
        <v>37396887</v>
      </c>
      <c r="D37" s="45">
        <f>D35+'A-Med &amp; Lrg C-I'!D13</f>
        <v>35520122</v>
      </c>
      <c r="E37" s="45">
        <f>E35+'A-Med &amp; Lrg C-I'!E13</f>
        <v>35505610</v>
      </c>
      <c r="F37" s="45">
        <f>F35+'A-Med &amp; Lrg C-I'!F13</f>
        <v>35684982</v>
      </c>
      <c r="G37" s="45">
        <f>G35+'A-Med &amp; Lrg C-I'!G13</f>
        <v>36084125</v>
      </c>
      <c r="H37" s="45">
        <f>H35+'A-Med &amp; Lrg C-I'!H13</f>
        <v>43326356</v>
      </c>
      <c r="I37" s="14"/>
      <c r="J37" s="99" t="s">
        <v>222</v>
      </c>
      <c r="K37" s="11">
        <f t="shared" si="1"/>
        <v>28</v>
      </c>
    </row>
    <row r="38" spans="1:17" ht="19.5" thickTop="1" x14ac:dyDescent="0.3">
      <c r="A38" s="17"/>
      <c r="B38" s="24"/>
      <c r="C38" s="24"/>
      <c r="D38" s="24"/>
      <c r="E38" s="24"/>
      <c r="F38" s="24"/>
      <c r="G38" s="24"/>
      <c r="H38" s="24"/>
      <c r="I38" s="24"/>
      <c r="J38" s="17"/>
      <c r="K38" s="17"/>
    </row>
    <row r="39" spans="1:17" x14ac:dyDescent="0.3">
      <c r="A39" s="7"/>
      <c r="O39" s="46"/>
      <c r="P39" s="7"/>
      <c r="Q39" s="7"/>
    </row>
    <row r="40" spans="1:17" x14ac:dyDescent="0.3">
      <c r="A40" s="8" t="s">
        <v>8</v>
      </c>
      <c r="B40" s="28"/>
      <c r="C40" s="8" t="str">
        <f>C7</f>
        <v>(A)</v>
      </c>
      <c r="D40" s="8" t="str">
        <f t="shared" ref="D40:I40" si="8">D7</f>
        <v>(B)</v>
      </c>
      <c r="E40" s="8" t="str">
        <f t="shared" si="8"/>
        <v>(C)</v>
      </c>
      <c r="F40" s="8" t="str">
        <f t="shared" si="8"/>
        <v>(D)</v>
      </c>
      <c r="G40" s="8" t="str">
        <f t="shared" si="8"/>
        <v>(E)</v>
      </c>
      <c r="H40" s="8" t="str">
        <f t="shared" si="8"/>
        <v>(F)</v>
      </c>
      <c r="I40" s="8" t="str">
        <f t="shared" si="8"/>
        <v>(G)</v>
      </c>
      <c r="J40" s="28"/>
      <c r="K40" s="8" t="s">
        <v>8</v>
      </c>
    </row>
    <row r="41" spans="1:17" ht="22.5" x14ac:dyDescent="0.3">
      <c r="A41" s="17" t="s">
        <v>10</v>
      </c>
      <c r="B41" s="17" t="s">
        <v>114</v>
      </c>
      <c r="C41" s="29">
        <f>'Summary of Revs @ Changed Rates'!C30</f>
        <v>46204</v>
      </c>
      <c r="D41" s="29">
        <f>'Summary of Revs @ Changed Rates'!D30</f>
        <v>46235</v>
      </c>
      <c r="E41" s="29">
        <f>'Summary of Revs @ Changed Rates'!E30</f>
        <v>46266</v>
      </c>
      <c r="F41" s="29">
        <f>'Summary of Revs @ Changed Rates'!F30</f>
        <v>46296</v>
      </c>
      <c r="G41" s="29">
        <f>'Summary of Revs @ Changed Rates'!G30</f>
        <v>46327</v>
      </c>
      <c r="H41" s="29">
        <f>'Summary of Revs @ Changed Rates'!H30</f>
        <v>46357</v>
      </c>
      <c r="I41" s="30" t="s">
        <v>61</v>
      </c>
      <c r="J41" s="17" t="s">
        <v>186</v>
      </c>
      <c r="K41" s="17" t="s">
        <v>10</v>
      </c>
    </row>
    <row r="42" spans="1:17" x14ac:dyDescent="0.3">
      <c r="A42" s="11"/>
      <c r="B42" s="14"/>
      <c r="C42" s="31"/>
      <c r="D42" s="31"/>
      <c r="E42" s="31"/>
      <c r="F42" s="31"/>
      <c r="G42" s="31"/>
      <c r="H42" s="31"/>
      <c r="I42" s="11"/>
      <c r="J42" s="11"/>
      <c r="K42" s="11"/>
    </row>
    <row r="43" spans="1:17" x14ac:dyDescent="0.3">
      <c r="A43" s="11">
        <f>A37+1</f>
        <v>29</v>
      </c>
      <c r="B43" s="32" t="s">
        <v>208</v>
      </c>
      <c r="C43" s="31"/>
      <c r="D43" s="31"/>
      <c r="E43" s="31"/>
      <c r="F43" s="31"/>
      <c r="G43" s="31"/>
      <c r="H43" s="31"/>
      <c r="I43" s="11"/>
      <c r="J43" s="11"/>
      <c r="K43" s="11">
        <f>K37+1</f>
        <v>29</v>
      </c>
    </row>
    <row r="44" spans="1:17" ht="22.5" x14ac:dyDescent="0.3">
      <c r="A44" s="11">
        <f>A43+1</f>
        <v>30</v>
      </c>
      <c r="B44" s="32" t="s">
        <v>209</v>
      </c>
      <c r="C44" s="14"/>
      <c r="D44" s="14"/>
      <c r="E44" s="14"/>
      <c r="F44" s="14"/>
      <c r="G44" s="14"/>
      <c r="H44" s="14"/>
      <c r="I44" s="14"/>
      <c r="J44" s="11"/>
      <c r="K44" s="11">
        <f>K43+1</f>
        <v>30</v>
      </c>
    </row>
    <row r="45" spans="1:17" x14ac:dyDescent="0.3">
      <c r="A45" s="11">
        <f t="shared" ref="A45:A70" si="9">A44+1</f>
        <v>31</v>
      </c>
      <c r="B45" s="14" t="s">
        <v>123</v>
      </c>
      <c r="C45" s="47">
        <f>'Workpaper 1'!I128*1000</f>
        <v>0</v>
      </c>
      <c r="D45" s="47">
        <f>'Workpaper 1'!J128*1000</f>
        <v>0</v>
      </c>
      <c r="E45" s="47">
        <f>'Workpaper 1'!K128*1000</f>
        <v>0</v>
      </c>
      <c r="F45" s="47">
        <f>'Workpaper 1'!L128*1000</f>
        <v>0</v>
      </c>
      <c r="G45" s="47">
        <f>'Workpaper 1'!M128*1000</f>
        <v>0</v>
      </c>
      <c r="H45" s="47">
        <f>'Workpaper 1'!N128*1000</f>
        <v>0</v>
      </c>
      <c r="I45" s="37">
        <f>SUM(C12:H12,C45:H45)</f>
        <v>0</v>
      </c>
      <c r="J45" s="11" t="str">
        <f>J12</f>
        <v>(Page BG-21.3, Line 126) x 1000</v>
      </c>
      <c r="K45" s="11">
        <f t="shared" ref="K45:K70" si="10">K44+1</f>
        <v>31</v>
      </c>
    </row>
    <row r="46" spans="1:17" x14ac:dyDescent="0.3">
      <c r="A46" s="11">
        <f t="shared" si="9"/>
        <v>32</v>
      </c>
      <c r="B46" s="14" t="s">
        <v>125</v>
      </c>
      <c r="C46" s="47">
        <f>'Workpaper 1'!I129*1000</f>
        <v>47895.957749950081</v>
      </c>
      <c r="D46" s="47">
        <f>'Workpaper 1'!J129*1000</f>
        <v>47703.978525649523</v>
      </c>
      <c r="E46" s="47">
        <f>'Workpaper 1'!K129*1000</f>
        <v>47983.893024565026</v>
      </c>
      <c r="F46" s="47">
        <f>'Workpaper 1'!L129*1000</f>
        <v>45258.99779346562</v>
      </c>
      <c r="G46" s="47">
        <f>'Workpaper 1'!M129*1000</f>
        <v>41934.158524670696</v>
      </c>
      <c r="H46" s="47">
        <f>'Workpaper 1'!N129*1000</f>
        <v>48438.275148278386</v>
      </c>
      <c r="I46" s="37">
        <f>SUM(C13:H13,C46:H46)</f>
        <v>526992.47553948604</v>
      </c>
      <c r="J46" s="11" t="str">
        <f>J13</f>
        <v>(Page BG-21.3, Line 127) x 1000</v>
      </c>
      <c r="K46" s="11">
        <f t="shared" si="10"/>
        <v>32</v>
      </c>
    </row>
    <row r="47" spans="1:17" x14ac:dyDescent="0.3">
      <c r="A47" s="11">
        <f t="shared" si="9"/>
        <v>33</v>
      </c>
      <c r="B47" s="14" t="s">
        <v>127</v>
      </c>
      <c r="C47" s="47">
        <f>'Workpaper 1'!I130*1000</f>
        <v>95722.966696426753</v>
      </c>
      <c r="D47" s="47">
        <f>'Workpaper 1'!J130*1000</f>
        <v>95339.284612229399</v>
      </c>
      <c r="E47" s="47">
        <f>'Workpaper 1'!K130*1000</f>
        <v>95898.710658106182</v>
      </c>
      <c r="F47" s="47">
        <f>'Workpaper 1'!L130*1000</f>
        <v>90452.842828935318</v>
      </c>
      <c r="G47" s="47">
        <f>'Workpaper 1'!M130*1000</f>
        <v>91562.156621298505</v>
      </c>
      <c r="H47" s="47">
        <f>'Workpaper 1'!N130*1000</f>
        <v>105763.7279876011</v>
      </c>
      <c r="I47" s="37">
        <f>SUM(C14:H14,C47:H47)</f>
        <v>1107936.9700569208</v>
      </c>
      <c r="J47" s="11" t="str">
        <f>J14</f>
        <v>(Page BG-21.3, Line 128) x 1000</v>
      </c>
      <c r="K47" s="11">
        <f t="shared" si="10"/>
        <v>33</v>
      </c>
    </row>
    <row r="48" spans="1:17" ht="19.5" thickBot="1" x14ac:dyDescent="0.35">
      <c r="A48" s="11">
        <f t="shared" si="9"/>
        <v>34</v>
      </c>
      <c r="B48" s="14" t="s">
        <v>129</v>
      </c>
      <c r="C48" s="48">
        <f t="shared" ref="C48:I48" si="11">SUM(C45:C47)</f>
        <v>143618.92444637683</v>
      </c>
      <c r="D48" s="48">
        <f t="shared" si="11"/>
        <v>143043.26313787891</v>
      </c>
      <c r="E48" s="48">
        <f t="shared" si="11"/>
        <v>143882.60368267121</v>
      </c>
      <c r="F48" s="48">
        <f t="shared" si="11"/>
        <v>135711.84062240092</v>
      </c>
      <c r="G48" s="48">
        <f t="shared" si="11"/>
        <v>133496.31514596922</v>
      </c>
      <c r="H48" s="48">
        <f t="shared" si="11"/>
        <v>154202.00313587949</v>
      </c>
      <c r="I48" s="49">
        <f t="shared" si="11"/>
        <v>1634929.4455964067</v>
      </c>
      <c r="J48" s="50" t="s">
        <v>149</v>
      </c>
      <c r="K48" s="11">
        <f t="shared" si="10"/>
        <v>34</v>
      </c>
    </row>
    <row r="49" spans="1:12" ht="20.25" thickTop="1" thickBot="1" x14ac:dyDescent="0.35">
      <c r="A49" s="11">
        <f t="shared" si="9"/>
        <v>35</v>
      </c>
      <c r="B49" s="14" t="s">
        <v>131</v>
      </c>
      <c r="C49" s="35">
        <f>'B-Billing Determinants'!D20</f>
        <v>143618.92444637683</v>
      </c>
      <c r="D49" s="35">
        <f>'B-Billing Determinants'!F20</f>
        <v>143043.26313787894</v>
      </c>
      <c r="E49" s="35">
        <f>'B-Billing Determinants'!H20</f>
        <v>143882.60368267121</v>
      </c>
      <c r="F49" s="35">
        <f>'B-Billing Determinants'!J20</f>
        <v>135711.84062240092</v>
      </c>
      <c r="G49" s="35">
        <f>'B-Billing Determinants'!L20</f>
        <v>133496.31514596919</v>
      </c>
      <c r="H49" s="35">
        <f>'B-Billing Determinants'!N20</f>
        <v>154202.00313587949</v>
      </c>
      <c r="I49" s="37">
        <f>SUM(C16:H16,C49:H49)</f>
        <v>1634929.4455964067</v>
      </c>
      <c r="J49" s="11" t="s">
        <v>223</v>
      </c>
      <c r="K49" s="11">
        <f t="shared" si="10"/>
        <v>35</v>
      </c>
    </row>
    <row r="50" spans="1:12" ht="20.25" thickTop="1" thickBot="1" x14ac:dyDescent="0.35">
      <c r="A50" s="11">
        <f t="shared" si="9"/>
        <v>36</v>
      </c>
      <c r="B50" s="14" t="s">
        <v>133</v>
      </c>
      <c r="C50" s="35">
        <f t="shared" ref="C50:I50" si="12">C48-C49</f>
        <v>0</v>
      </c>
      <c r="D50" s="35">
        <f t="shared" si="12"/>
        <v>0</v>
      </c>
      <c r="E50" s="35">
        <f t="shared" si="12"/>
        <v>0</v>
      </c>
      <c r="F50" s="35">
        <f t="shared" si="12"/>
        <v>0</v>
      </c>
      <c r="G50" s="35">
        <f t="shared" si="12"/>
        <v>0</v>
      </c>
      <c r="H50" s="35">
        <f t="shared" si="12"/>
        <v>0</v>
      </c>
      <c r="I50" s="35">
        <f t="shared" si="12"/>
        <v>0</v>
      </c>
      <c r="J50" s="36" t="s">
        <v>151</v>
      </c>
      <c r="K50" s="11">
        <f t="shared" si="10"/>
        <v>36</v>
      </c>
    </row>
    <row r="51" spans="1:12" ht="19.5" thickTop="1" x14ac:dyDescent="0.3">
      <c r="A51" s="11">
        <f t="shared" si="9"/>
        <v>37</v>
      </c>
      <c r="B51" s="11"/>
      <c r="C51" s="37"/>
      <c r="D51" s="37"/>
      <c r="E51" s="37"/>
      <c r="F51" s="37"/>
      <c r="G51" s="37"/>
      <c r="H51" s="37"/>
      <c r="I51" s="37"/>
      <c r="J51" s="36"/>
      <c r="K51" s="11">
        <f t="shared" si="10"/>
        <v>37</v>
      </c>
    </row>
    <row r="52" spans="1:12" x14ac:dyDescent="0.3">
      <c r="A52" s="11">
        <f t="shared" si="9"/>
        <v>38</v>
      </c>
      <c r="B52" s="38" t="s">
        <v>214</v>
      </c>
      <c r="C52" s="37"/>
      <c r="D52" s="37"/>
      <c r="E52" s="37"/>
      <c r="F52" s="37"/>
      <c r="G52" s="37"/>
      <c r="H52" s="37"/>
      <c r="I52" s="37"/>
      <c r="J52" s="36"/>
      <c r="K52" s="11">
        <f t="shared" si="10"/>
        <v>38</v>
      </c>
    </row>
    <row r="53" spans="1:12" x14ac:dyDescent="0.3">
      <c r="A53" s="11">
        <f t="shared" si="9"/>
        <v>39</v>
      </c>
      <c r="B53" s="38" t="s">
        <v>215</v>
      </c>
      <c r="C53" s="14"/>
      <c r="D53" s="14"/>
      <c r="E53" s="14"/>
      <c r="F53" s="14"/>
      <c r="G53" s="14"/>
      <c r="H53" s="14"/>
      <c r="I53" s="14"/>
      <c r="J53" s="11"/>
      <c r="K53" s="11">
        <f t="shared" si="10"/>
        <v>39</v>
      </c>
    </row>
    <row r="54" spans="1:12" x14ac:dyDescent="0.3">
      <c r="A54" s="11">
        <f t="shared" si="9"/>
        <v>40</v>
      </c>
      <c r="B54" s="14" t="s">
        <v>123</v>
      </c>
      <c r="C54" s="51">
        <f>H21</f>
        <v>0</v>
      </c>
      <c r="D54" s="51">
        <f t="shared" ref="D54:F56" si="13">C54</f>
        <v>0</v>
      </c>
      <c r="E54" s="51">
        <f t="shared" si="13"/>
        <v>0</v>
      </c>
      <c r="F54" s="51">
        <f>E54</f>
        <v>0</v>
      </c>
      <c r="G54" s="51">
        <f t="shared" ref="G54:H56" si="14">C21</f>
        <v>0</v>
      </c>
      <c r="H54" s="51">
        <f t="shared" si="14"/>
        <v>0</v>
      </c>
      <c r="I54" s="14"/>
      <c r="J54" s="11" t="str">
        <f>J21</f>
        <v>Statement BL, Page BL-1, Lines 19 &amp; 20, Col. D</v>
      </c>
      <c r="K54" s="11">
        <f t="shared" si="10"/>
        <v>40</v>
      </c>
    </row>
    <row r="55" spans="1:12" x14ac:dyDescent="0.3">
      <c r="A55" s="11">
        <f t="shared" si="9"/>
        <v>41</v>
      </c>
      <c r="B55" s="14" t="s">
        <v>138</v>
      </c>
      <c r="C55" s="51">
        <f>H22</f>
        <v>5.64</v>
      </c>
      <c r="D55" s="51">
        <f t="shared" si="13"/>
        <v>5.64</v>
      </c>
      <c r="E55" s="51">
        <f t="shared" si="13"/>
        <v>5.64</v>
      </c>
      <c r="F55" s="51">
        <f t="shared" si="13"/>
        <v>5.64</v>
      </c>
      <c r="G55" s="51">
        <f t="shared" si="14"/>
        <v>1.04</v>
      </c>
      <c r="H55" s="51">
        <f t="shared" si="14"/>
        <v>1.04</v>
      </c>
      <c r="I55" s="14"/>
      <c r="J55" s="11" t="str">
        <f>J22</f>
        <v>Statement BL, Page BL-1, Lines 19 &amp; 20, Col. C</v>
      </c>
      <c r="K55" s="11">
        <f t="shared" si="10"/>
        <v>41</v>
      </c>
    </row>
    <row r="56" spans="1:12" x14ac:dyDescent="0.3">
      <c r="A56" s="11">
        <f t="shared" si="9"/>
        <v>42</v>
      </c>
      <c r="B56" s="14" t="s">
        <v>127</v>
      </c>
      <c r="C56" s="51">
        <f>H23</f>
        <v>5.6</v>
      </c>
      <c r="D56" s="51">
        <f t="shared" si="13"/>
        <v>5.6</v>
      </c>
      <c r="E56" s="51">
        <f t="shared" si="13"/>
        <v>5.6</v>
      </c>
      <c r="F56" s="51">
        <f t="shared" si="13"/>
        <v>5.6</v>
      </c>
      <c r="G56" s="51">
        <f t="shared" si="14"/>
        <v>1.03</v>
      </c>
      <c r="H56" s="51">
        <f t="shared" si="14"/>
        <v>1.03</v>
      </c>
      <c r="I56" s="14"/>
      <c r="J56" s="11" t="str">
        <f>J23</f>
        <v>Statement BL, Page BL-1, Lines 19 &amp; 20, Col. B</v>
      </c>
      <c r="K56" s="11">
        <f t="shared" si="10"/>
        <v>42</v>
      </c>
    </row>
    <row r="57" spans="1:12" x14ac:dyDescent="0.3">
      <c r="A57" s="11">
        <f t="shared" si="9"/>
        <v>43</v>
      </c>
      <c r="B57" s="38" t="s">
        <v>219</v>
      </c>
      <c r="C57" s="51"/>
      <c r="D57" s="51"/>
      <c r="E57" s="51"/>
      <c r="F57" s="51"/>
      <c r="G57" s="51"/>
      <c r="H57" s="51"/>
      <c r="I57" s="14"/>
      <c r="J57" s="61"/>
      <c r="K57" s="11">
        <f t="shared" si="10"/>
        <v>43</v>
      </c>
    </row>
    <row r="58" spans="1:12" x14ac:dyDescent="0.3">
      <c r="A58" s="11">
        <f t="shared" si="9"/>
        <v>44</v>
      </c>
      <c r="B58" s="38" t="s">
        <v>220</v>
      </c>
      <c r="C58" s="37"/>
      <c r="D58" s="37"/>
      <c r="E58" s="37"/>
      <c r="F58" s="37"/>
      <c r="G58" s="37"/>
      <c r="H58" s="37"/>
      <c r="I58" s="37"/>
      <c r="J58" s="52"/>
      <c r="K58" s="11">
        <f t="shared" si="10"/>
        <v>44</v>
      </c>
    </row>
    <row r="59" spans="1:12" x14ac:dyDescent="0.3">
      <c r="A59" s="11">
        <f t="shared" si="9"/>
        <v>45</v>
      </c>
      <c r="B59" s="14" t="s">
        <v>123</v>
      </c>
      <c r="C59" s="53">
        <f t="shared" ref="C59:H61" si="15">C54*C45</f>
        <v>0</v>
      </c>
      <c r="D59" s="53">
        <f t="shared" si="15"/>
        <v>0</v>
      </c>
      <c r="E59" s="53">
        <f t="shared" si="15"/>
        <v>0</v>
      </c>
      <c r="F59" s="53">
        <f t="shared" si="15"/>
        <v>0</v>
      </c>
      <c r="G59" s="53">
        <f>G54*G45</f>
        <v>0</v>
      </c>
      <c r="H59" s="53">
        <f t="shared" si="15"/>
        <v>0</v>
      </c>
      <c r="I59" s="53">
        <f>SUM(C26:H26,C59:H59)</f>
        <v>0</v>
      </c>
      <c r="J59" s="52" t="s">
        <v>152</v>
      </c>
      <c r="K59" s="11">
        <f t="shared" si="10"/>
        <v>45</v>
      </c>
    </row>
    <row r="60" spans="1:12" x14ac:dyDescent="0.3">
      <c r="A60" s="11">
        <f t="shared" si="9"/>
        <v>46</v>
      </c>
      <c r="B60" s="14" t="s">
        <v>125</v>
      </c>
      <c r="C60" s="37">
        <f>C55*C46</f>
        <v>270133.20170971844</v>
      </c>
      <c r="D60" s="37">
        <f t="shared" si="15"/>
        <v>269050.43888466328</v>
      </c>
      <c r="E60" s="37">
        <f t="shared" si="15"/>
        <v>270629.15665854671</v>
      </c>
      <c r="F60" s="37">
        <f t="shared" si="15"/>
        <v>255260.74755514608</v>
      </c>
      <c r="G60" s="37">
        <f t="shared" si="15"/>
        <v>43611.524865657528</v>
      </c>
      <c r="H60" s="37">
        <f t="shared" si="15"/>
        <v>50375.806154209524</v>
      </c>
      <c r="I60" s="53">
        <f>SUM(C27:H27,C60:H60)</f>
        <v>1611230.6672469864</v>
      </c>
      <c r="J60" s="52" t="s">
        <v>153</v>
      </c>
      <c r="K60" s="11">
        <f t="shared" si="10"/>
        <v>46</v>
      </c>
    </row>
    <row r="61" spans="1:12" x14ac:dyDescent="0.3">
      <c r="A61" s="11">
        <f t="shared" si="9"/>
        <v>47</v>
      </c>
      <c r="B61" s="14" t="s">
        <v>127</v>
      </c>
      <c r="C61" s="37">
        <f t="shared" si="15"/>
        <v>536048.61349998973</v>
      </c>
      <c r="D61" s="37">
        <f t="shared" si="15"/>
        <v>533899.99382848456</v>
      </c>
      <c r="E61" s="37">
        <f t="shared" si="15"/>
        <v>537032.77968539461</v>
      </c>
      <c r="F61" s="37">
        <f t="shared" si="15"/>
        <v>506535.91984203772</v>
      </c>
      <c r="G61" s="37">
        <f t="shared" si="15"/>
        <v>94309.021319937456</v>
      </c>
      <c r="H61" s="37">
        <f t="shared" si="15"/>
        <v>108936.63982722914</v>
      </c>
      <c r="I61" s="53">
        <f>SUM(C28:H28,C61:H61)</f>
        <v>3252104.2874457585</v>
      </c>
      <c r="J61" s="52" t="s">
        <v>154</v>
      </c>
      <c r="K61" s="11">
        <f t="shared" si="10"/>
        <v>47</v>
      </c>
    </row>
    <row r="62" spans="1:12" ht="19.5" thickBot="1" x14ac:dyDescent="0.35">
      <c r="A62" s="11">
        <f t="shared" si="9"/>
        <v>48</v>
      </c>
      <c r="B62" s="14" t="s">
        <v>129</v>
      </c>
      <c r="C62" s="54">
        <f t="shared" ref="C62:I62" si="16">SUM(C59:C61)</f>
        <v>806181.81520970818</v>
      </c>
      <c r="D62" s="54">
        <f t="shared" si="16"/>
        <v>802950.43271314783</v>
      </c>
      <c r="E62" s="54">
        <f t="shared" si="16"/>
        <v>807661.93634394137</v>
      </c>
      <c r="F62" s="54">
        <f t="shared" si="16"/>
        <v>761796.66739718383</v>
      </c>
      <c r="G62" s="54">
        <f t="shared" si="16"/>
        <v>137920.54618559498</v>
      </c>
      <c r="H62" s="54">
        <f t="shared" si="16"/>
        <v>159312.44598143868</v>
      </c>
      <c r="I62" s="54">
        <f t="shared" si="16"/>
        <v>4863334.9546927446</v>
      </c>
      <c r="J62" s="50" t="s">
        <v>156</v>
      </c>
      <c r="K62" s="11">
        <f t="shared" si="10"/>
        <v>48</v>
      </c>
    </row>
    <row r="63" spans="1:12" ht="19.5" thickTop="1" x14ac:dyDescent="0.3">
      <c r="A63" s="11">
        <f t="shared" si="9"/>
        <v>49</v>
      </c>
      <c r="B63" s="14"/>
      <c r="C63" s="14"/>
      <c r="D63" s="14"/>
      <c r="E63" s="14"/>
      <c r="F63" s="14"/>
      <c r="G63" s="14"/>
      <c r="H63" s="14"/>
      <c r="I63" s="14"/>
      <c r="J63" s="11"/>
      <c r="K63" s="11">
        <f t="shared" si="10"/>
        <v>49</v>
      </c>
    </row>
    <row r="64" spans="1:12" x14ac:dyDescent="0.3">
      <c r="A64" s="11">
        <f t="shared" si="9"/>
        <v>50</v>
      </c>
      <c r="B64" s="32" t="s">
        <v>142</v>
      </c>
      <c r="C64" s="14"/>
      <c r="D64" s="14"/>
      <c r="E64" s="14"/>
      <c r="F64" s="14"/>
      <c r="G64" s="14"/>
      <c r="H64" s="14"/>
      <c r="I64" s="14"/>
      <c r="J64" s="11"/>
      <c r="K64" s="11">
        <f t="shared" si="10"/>
        <v>50</v>
      </c>
      <c r="L64" s="391"/>
    </row>
    <row r="65" spans="1:13" ht="37.5" x14ac:dyDescent="0.3">
      <c r="A65" s="11">
        <f t="shared" si="9"/>
        <v>51</v>
      </c>
      <c r="B65" s="14" t="s">
        <v>123</v>
      </c>
      <c r="C65" s="53">
        <f>ROUND(SUM(C59,'C-Med &amp; Lrg C-I'!C51,'B-Med &amp; Lrg C-I'!C51,'A-Med &amp; Lrg C-I'!C59),0)</f>
        <v>34308879</v>
      </c>
      <c r="D65" s="53">
        <f>ROUND(SUM(D59,'C-Med &amp; Lrg C-I'!D51,'B-Med &amp; Lrg C-I'!D51,'A-Med &amp; Lrg C-I'!D59),0)</f>
        <v>35666318</v>
      </c>
      <c r="E65" s="53">
        <f>ROUND(SUM(E59,'C-Med &amp; Lrg C-I'!E51,'B-Med &amp; Lrg C-I'!E51,'A-Med &amp; Lrg C-I'!E59),0)</f>
        <v>37246105</v>
      </c>
      <c r="F65" s="53">
        <f>ROUND(SUM(F59,'C-Med &amp; Lrg C-I'!F51,'B-Med &amp; Lrg C-I'!F51,'A-Med &amp; Lrg C-I'!F59),0)</f>
        <v>34096861</v>
      </c>
      <c r="G65" s="53">
        <f>ROUND(SUM(G59,'C-Med &amp; Lrg C-I'!G51,'B-Med &amp; Lrg C-I'!G51,'A-Med &amp; Lrg C-I'!G59),0)</f>
        <v>27133321</v>
      </c>
      <c r="H65" s="53">
        <f>ROUND(SUM(H59,'C-Med &amp; Lrg C-I'!H51,'B-Med &amp; Lrg C-I'!H51,'A-Med &amp; Lrg C-I'!H59),0)</f>
        <v>28042521</v>
      </c>
      <c r="I65" s="53">
        <f>ROUND(SUM(I59,'C-Med &amp; Lrg C-I'!I51,'B-Med &amp; Lrg C-I'!I51,'A-Med &amp; Lrg C-I'!I59),0)</f>
        <v>355828970</v>
      </c>
      <c r="J65" s="99" t="s">
        <v>444</v>
      </c>
      <c r="K65" s="11">
        <f t="shared" si="10"/>
        <v>51</v>
      </c>
      <c r="M65" s="413"/>
    </row>
    <row r="66" spans="1:13" ht="37.5" x14ac:dyDescent="0.3">
      <c r="A66" s="11">
        <f t="shared" si="9"/>
        <v>52</v>
      </c>
      <c r="B66" s="14" t="s">
        <v>125</v>
      </c>
      <c r="C66" s="53">
        <f>ROUND(SUM(C60,'C-Med &amp; Lrg C-I'!C52,'B-Med &amp; Lrg C-I'!C52,'A-Med &amp; Lrg C-I'!C60),0)</f>
        <v>10309420</v>
      </c>
      <c r="D66" s="53">
        <f>ROUND(SUM(D60,'C-Med &amp; Lrg C-I'!D52,'B-Med &amp; Lrg C-I'!D52,'A-Med &amp; Lrg C-I'!D60),0)</f>
        <v>10643713</v>
      </c>
      <c r="E66" s="53">
        <f>ROUND(SUM(E60,'C-Med &amp; Lrg C-I'!E52,'B-Med &amp; Lrg C-I'!E52,'A-Med &amp; Lrg C-I'!E60),0)</f>
        <v>11050515</v>
      </c>
      <c r="F66" s="53">
        <f>ROUND(SUM(F60,'C-Med &amp; Lrg C-I'!F52,'B-Med &amp; Lrg C-I'!F52,'A-Med &amp; Lrg C-I'!F60),0)</f>
        <v>10163152</v>
      </c>
      <c r="G66" s="53">
        <f>ROUND(SUM(G60,'C-Med &amp; Lrg C-I'!G52,'B-Med &amp; Lrg C-I'!G52,'A-Med &amp; Lrg C-I'!G60),0)</f>
        <v>8042372</v>
      </c>
      <c r="H66" s="53">
        <f>ROUND(SUM(H60,'C-Med &amp; Lrg C-I'!H52,'B-Med &amp; Lrg C-I'!H52,'A-Med &amp; Lrg C-I'!H60),0)</f>
        <v>8475796</v>
      </c>
      <c r="I66" s="53">
        <f>ROUND(SUM(I60,'C-Med &amp; Lrg C-I'!I52,'B-Med &amp; Lrg C-I'!I52,'A-Med &amp; Lrg C-I'!I60),0)</f>
        <v>106233160</v>
      </c>
      <c r="J66" s="99" t="s">
        <v>445</v>
      </c>
      <c r="K66" s="11">
        <f t="shared" si="10"/>
        <v>52</v>
      </c>
      <c r="M66" s="413"/>
    </row>
    <row r="67" spans="1:13" ht="37.5" x14ac:dyDescent="0.3">
      <c r="A67" s="11">
        <f t="shared" si="9"/>
        <v>53</v>
      </c>
      <c r="B67" s="14" t="s">
        <v>127</v>
      </c>
      <c r="C67" s="53">
        <f>ROUND(SUM(C61,'C-Med &amp; Lrg C-I'!C53,'B-Med &amp; Lrg C-I'!C53,'A-Med &amp; Lrg C-I'!C61),0)</f>
        <v>3644615</v>
      </c>
      <c r="D67" s="53">
        <f>ROUND(SUM(D61,'C-Med &amp; Lrg C-I'!D53,'B-Med &amp; Lrg C-I'!D53,'A-Med &amp; Lrg C-I'!D61),0)</f>
        <v>3657008</v>
      </c>
      <c r="E67" s="53">
        <f>ROUND(SUM(E61,'C-Med &amp; Lrg C-I'!E53,'B-Med &amp; Lrg C-I'!E53,'A-Med &amp; Lrg C-I'!E61),0)</f>
        <v>3703220</v>
      </c>
      <c r="F67" s="53">
        <f>ROUND(SUM(F61,'C-Med &amp; Lrg C-I'!F53,'B-Med &amp; Lrg C-I'!F53,'A-Med &amp; Lrg C-I'!F61),0)</f>
        <v>3474245</v>
      </c>
      <c r="G67" s="53">
        <f>ROUND(SUM(G61,'C-Med &amp; Lrg C-I'!G53,'B-Med &amp; Lrg C-I'!G53,'A-Med &amp; Lrg C-I'!G61),0)</f>
        <v>2749895</v>
      </c>
      <c r="H67" s="53">
        <f>ROUND(SUM(H61,'C-Med &amp; Lrg C-I'!H53,'B-Med &amp; Lrg C-I'!H53,'A-Med &amp; Lrg C-I'!H61),0)</f>
        <v>3126108</v>
      </c>
      <c r="I67" s="53">
        <f>ROUND(SUM(I61,'C-Med &amp; Lrg C-I'!I53,'B-Med &amp; Lrg C-I'!I53,'A-Med &amp; Lrg C-I'!I61),0)</f>
        <v>36990016</v>
      </c>
      <c r="J67" s="99" t="s">
        <v>446</v>
      </c>
      <c r="K67" s="11">
        <f t="shared" si="10"/>
        <v>53</v>
      </c>
      <c r="M67" s="413"/>
    </row>
    <row r="68" spans="1:13" ht="19.5" thickBot="1" x14ac:dyDescent="0.35">
      <c r="A68" s="11">
        <f t="shared" si="9"/>
        <v>54</v>
      </c>
      <c r="B68" s="14" t="s">
        <v>221</v>
      </c>
      <c r="C68" s="54">
        <f t="shared" ref="C68:I68" si="17">SUM(C65:C67)</f>
        <v>48262914</v>
      </c>
      <c r="D68" s="54">
        <f t="shared" si="17"/>
        <v>49967039</v>
      </c>
      <c r="E68" s="54">
        <f t="shared" si="17"/>
        <v>51999840</v>
      </c>
      <c r="F68" s="54">
        <f t="shared" si="17"/>
        <v>47734258</v>
      </c>
      <c r="G68" s="54">
        <f t="shared" si="17"/>
        <v>37925588</v>
      </c>
      <c r="H68" s="54">
        <f t="shared" si="17"/>
        <v>39644425</v>
      </c>
      <c r="I68" s="54">
        <f t="shared" si="17"/>
        <v>499052146</v>
      </c>
      <c r="J68" s="55" t="s">
        <v>224</v>
      </c>
      <c r="K68" s="11">
        <f t="shared" si="10"/>
        <v>54</v>
      </c>
    </row>
    <row r="69" spans="1:13" ht="19.5" thickTop="1" x14ac:dyDescent="0.3">
      <c r="A69" s="11">
        <f t="shared" si="9"/>
        <v>55</v>
      </c>
      <c r="B69" s="14"/>
      <c r="C69" s="14"/>
      <c r="D69" s="14"/>
      <c r="E69" s="14"/>
      <c r="F69" s="14"/>
      <c r="G69" s="14"/>
      <c r="H69" s="14"/>
      <c r="I69" s="44"/>
      <c r="J69" s="11"/>
      <c r="K69" s="11">
        <f t="shared" si="10"/>
        <v>55</v>
      </c>
    </row>
    <row r="70" spans="1:13" ht="19.5" thickBot="1" x14ac:dyDescent="0.35">
      <c r="A70" s="11">
        <f t="shared" si="9"/>
        <v>56</v>
      </c>
      <c r="B70" s="38" t="s">
        <v>155</v>
      </c>
      <c r="C70" s="45">
        <f>C68+'A-Med &amp; Lrg C-I'!C42</f>
        <v>48262914</v>
      </c>
      <c r="D70" s="45">
        <f>D68+'A-Med &amp; Lrg C-I'!D42</f>
        <v>49967039</v>
      </c>
      <c r="E70" s="45">
        <f>E68+'A-Med &amp; Lrg C-I'!E42</f>
        <v>51999840</v>
      </c>
      <c r="F70" s="45">
        <f>F68+'A-Med &amp; Lrg C-I'!F42</f>
        <v>47734258</v>
      </c>
      <c r="G70" s="45">
        <f>G68+'A-Med &amp; Lrg C-I'!G42</f>
        <v>37925588</v>
      </c>
      <c r="H70" s="45">
        <f>H68+'A-Med &amp; Lrg C-I'!H42</f>
        <v>39644425</v>
      </c>
      <c r="I70" s="45">
        <f>I68+'A-Med &amp; Lrg C-I'!I42</f>
        <v>499052146</v>
      </c>
      <c r="J70" s="99" t="s">
        <v>225</v>
      </c>
      <c r="K70" s="11">
        <f t="shared" si="10"/>
        <v>56</v>
      </c>
    </row>
    <row r="71" spans="1:13" ht="19.5" thickTop="1" x14ac:dyDescent="0.3">
      <c r="A71" s="17"/>
      <c r="B71" s="24"/>
      <c r="C71" s="24"/>
      <c r="D71" s="24"/>
      <c r="E71" s="24"/>
      <c r="F71" s="24"/>
      <c r="G71" s="24"/>
      <c r="H71" s="24"/>
      <c r="I71" s="56"/>
      <c r="J71" s="17"/>
      <c r="K71" s="17"/>
    </row>
    <row r="72" spans="1:13" x14ac:dyDescent="0.3">
      <c r="B72" s="25" t="s">
        <v>46</v>
      </c>
    </row>
    <row r="73" spans="1:13" ht="22.5" x14ac:dyDescent="0.3">
      <c r="A73" s="77">
        <v>1</v>
      </c>
      <c r="B73" s="1" t="s">
        <v>226</v>
      </c>
    </row>
    <row r="74" spans="1:13" ht="22.5" x14ac:dyDescent="0.3">
      <c r="A74" s="77">
        <v>2</v>
      </c>
      <c r="B74" s="1" t="s">
        <v>227</v>
      </c>
    </row>
    <row r="75" spans="1:13" ht="22.5" x14ac:dyDescent="0.3">
      <c r="A75" s="77">
        <v>3</v>
      </c>
      <c r="B75" s="1" t="s">
        <v>157</v>
      </c>
    </row>
    <row r="76" spans="1:13" ht="22.5" x14ac:dyDescent="0.3">
      <c r="A76" s="77"/>
    </row>
    <row r="77" spans="1:13" ht="22.5" x14ac:dyDescent="0.3">
      <c r="A77" s="77"/>
    </row>
  </sheetData>
  <mergeCells count="5">
    <mergeCell ref="A5:K5"/>
    <mergeCell ref="A1:K1"/>
    <mergeCell ref="A2:K2"/>
    <mergeCell ref="A3:K3"/>
    <mergeCell ref="A4:K4"/>
  </mergeCells>
  <phoneticPr fontId="3" type="noConversion"/>
  <printOptions horizontalCentered="1"/>
  <pageMargins left="0.25" right="0.25" top="0.5" bottom="0.5" header="0.25" footer="0.25"/>
  <pageSetup scale="42" orientation="portrait" r:id="rId1"/>
  <headerFooter scaleWithDoc="0">
    <oddFooter xml:space="preserve">&amp;L&amp;"Times New Roman,Regular"&amp;9Statement BG-Medium and Large Commercial/Industrial Customers&amp;C&amp;"Times New Roman,Regular"&amp;9Page BG-&amp;P&amp;12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771938ab00236982f99d2b4820e74ca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412d9caf41c8aede63add79f91b5de69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6012B5-C7C2-4832-A298-EEF11024F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ADBB2A-2018-421A-98C1-F664D0882D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0CD85C-B636-4574-BA72-80767E03BC5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21</vt:i4>
      </vt:variant>
    </vt:vector>
  </HeadingPairs>
  <TitlesOfParts>
    <vt:vector size="43" baseType="lpstr">
      <vt:lpstr>Comparison of Revenues</vt:lpstr>
      <vt:lpstr>Summary of Revs @ Changed Rates</vt:lpstr>
      <vt:lpstr>A-Revenues@Changed Rates</vt:lpstr>
      <vt:lpstr>B-Revenues@Changed Rates</vt:lpstr>
      <vt:lpstr>C-Revenues@Changed Rates</vt:lpstr>
      <vt:lpstr>A-Med &amp; Lrg C-I</vt:lpstr>
      <vt:lpstr>B-Med &amp; Lrg C-I</vt:lpstr>
      <vt:lpstr>C-Med &amp; Lrg C-I</vt:lpstr>
      <vt:lpstr>D-Med &amp; Lrg C-I</vt:lpstr>
      <vt:lpstr>E-Med &amp; Lrg C-I</vt:lpstr>
      <vt:lpstr>F-Med &amp; Lrg C-I</vt:lpstr>
      <vt:lpstr>San Diego Unified Port District</vt:lpstr>
      <vt:lpstr>PA-T-1</vt:lpstr>
      <vt:lpstr>Standby</vt:lpstr>
      <vt:lpstr>Wholesale TAC Rates</vt:lpstr>
      <vt:lpstr>Escondido</vt:lpstr>
      <vt:lpstr>Rate Impact</vt:lpstr>
      <vt:lpstr>A-Billing Determinants</vt:lpstr>
      <vt:lpstr>B-Billing Determinants</vt:lpstr>
      <vt:lpstr>Billing Determinants-12 Month</vt:lpstr>
      <vt:lpstr>Workpaper 1</vt:lpstr>
      <vt:lpstr>Workpaper 2</vt:lpstr>
      <vt:lpstr>'A-Billing Determinants'!Print_Area</vt:lpstr>
      <vt:lpstr>'A-Med &amp; Lrg C-I'!Print_Area</vt:lpstr>
      <vt:lpstr>'A-Revenues@Changed Rates'!Print_Area</vt:lpstr>
      <vt:lpstr>'B-Billing Determinants'!Print_Area</vt:lpstr>
      <vt:lpstr>'Billing Determinants-12 Month'!Print_Area</vt:lpstr>
      <vt:lpstr>'B-Med &amp; Lrg C-I'!Print_Area</vt:lpstr>
      <vt:lpstr>'B-Revenues@Changed Rates'!Print_Area</vt:lpstr>
      <vt:lpstr>'C-Med &amp; Lrg C-I'!Print_Area</vt:lpstr>
      <vt:lpstr>'Comparison of Revenues'!Print_Area</vt:lpstr>
      <vt:lpstr>'C-Revenues@Changed Rates'!Print_Area</vt:lpstr>
      <vt:lpstr>'D-Med &amp; Lrg C-I'!Print_Area</vt:lpstr>
      <vt:lpstr>'E-Med &amp; Lrg C-I'!Print_Area</vt:lpstr>
      <vt:lpstr>'F-Med &amp; Lrg C-I'!Print_Area</vt:lpstr>
      <vt:lpstr>'PA-T-1'!Print_Area</vt:lpstr>
      <vt:lpstr>'Rate Impact'!Print_Area</vt:lpstr>
      <vt:lpstr>'San Diego Unified Port District'!Print_Area</vt:lpstr>
      <vt:lpstr>Standby!Print_Area</vt:lpstr>
      <vt:lpstr>'Summary of Revs @ Changed Rates'!Print_Area</vt:lpstr>
      <vt:lpstr>'Workpaper 1'!Print_Area</vt:lpstr>
      <vt:lpstr>'Workpaper 2'!Print_Area</vt:lpstr>
      <vt:lpstr>'Workpaper 1'!Print_Titles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Sempra Energy</dc:creator>
  <cp:keywords/>
  <dc:description/>
  <cp:lastModifiedBy>Pham, Jenny L.</cp:lastModifiedBy>
  <cp:revision/>
  <cp:lastPrinted>2026-03-20T05:42:07Z</cp:lastPrinted>
  <dcterms:created xsi:type="dcterms:W3CDTF">2002-10-18T20:00:36Z</dcterms:created>
  <dcterms:modified xsi:type="dcterms:W3CDTF">2026-03-23T20:17:23Z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01DC-43EE-7F53-F035</vt:lpwstr>
  </property>
  <property fmtid="{D5CDD505-2E9C-101B-9397-08002B2CF9AE}" pid="3" name="ContentTypeId">
    <vt:lpwstr>0x010100B2C66BA30F6EC541B9CEB3D9AC6A7FD3</vt:lpwstr>
  </property>
</Properties>
</file>