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29" documentId="8_{C3D8AB61-CE13-4A89-91AA-9A9BA2CAE5FE}" xr6:coauthVersionLast="47" xr6:coauthVersionMax="47" xr10:uidLastSave="{B2B5FCCB-9E47-4F3E-BEF3-5474BEAABACA}"/>
  <bookViews>
    <workbookView xWindow="-120" yWindow="-120" windowWidth="29040" windowHeight="15720" tabRatio="900" xr2:uid="{00000000-000D-0000-FFFF-FFFF00000000}"/>
  </bookViews>
  <sheets>
    <sheet name="Comparison of Revenues" sheetId="25" r:id="rId1"/>
    <sheet name="Summary of Revs @ Changed Rates" sheetId="6" r:id="rId2"/>
    <sheet name="A-Revenues@Changed Rates" sheetId="5" r:id="rId3"/>
    <sheet name="B-Revenues@Changed Rates" sheetId="9" r:id="rId4"/>
    <sheet name="C-Revenues@Changed Rates" sheetId="31" r:id="rId5"/>
    <sheet name="A-Med &amp; Lrg C-I" sheetId="18" r:id="rId6"/>
    <sheet name="B-Med &amp; Lrg C-I" sheetId="30" r:id="rId7"/>
    <sheet name="C-Med &amp; Lrg C-I" sheetId="27" r:id="rId8"/>
    <sheet name="D-Med &amp; Lrg C-I" sheetId="29" r:id="rId9"/>
    <sheet name="E-Med &amp; Lrg C-I" sheetId="39" r:id="rId10"/>
    <sheet name="F-Med &amp; Lrg C-I" sheetId="40" r:id="rId11"/>
    <sheet name="San Diego Unified Port District" sheetId="43" r:id="rId12"/>
    <sheet name="PA-T-1" sheetId="36" r:id="rId13"/>
    <sheet name="Standby" sheetId="19" r:id="rId14"/>
    <sheet name="Wholesale TAC Rates" sheetId="41" r:id="rId15"/>
    <sheet name="Escondido" sheetId="42" r:id="rId16"/>
    <sheet name="Rate Impact" sheetId="32" r:id="rId17"/>
    <sheet name="A-Billing Determinants" sheetId="7" r:id="rId18"/>
    <sheet name="B-Billing Determinants" sheetId="1" r:id="rId19"/>
    <sheet name="Billing Determinants-12 Month" sheetId="2" r:id="rId20"/>
    <sheet name="Workpaper 1" sheetId="23" r:id="rId21"/>
    <sheet name="Workpaper 2" sheetId="35" r:id="rId22"/>
  </sheets>
  <externalReferences>
    <externalReference r:id="rId23"/>
    <externalReference r:id="rId24"/>
    <externalReference r:id="rId25"/>
    <externalReference r:id="rId26"/>
  </externalReferences>
  <definedNames>
    <definedName name="_xlnm.Print_Area" localSheetId="17">'A-Billing Determinants'!$A$1:$O$48</definedName>
    <definedName name="_xlnm.Print_Area" localSheetId="5">'A-Med &amp; Lrg C-I'!$A$1:$K$66</definedName>
    <definedName name="_xlnm.Print_Area" localSheetId="2">'A-Revenues@Changed Rates'!$A$1:$K$97</definedName>
    <definedName name="_xlnm.Print_Area" localSheetId="18">'B-Billing Determinants'!$A$1:$O$48</definedName>
    <definedName name="_xlnm.Print_Area" localSheetId="19">'Billing Determinants-12 Month'!$A$1:$E$45</definedName>
    <definedName name="_xlnm.Print_Area" localSheetId="6">'B-Med &amp; Lrg C-I'!$A$1:$K$58</definedName>
    <definedName name="_xlnm.Print_Area" localSheetId="3">'B-Revenues@Changed Rates'!$A$1:$K$97</definedName>
    <definedName name="_xlnm.Print_Area" localSheetId="7">'C-Med &amp; Lrg C-I'!$A$1:$K$59</definedName>
    <definedName name="_xlnm.Print_Area" localSheetId="0">'Comparison of Revenues'!$A$1:$H$45</definedName>
    <definedName name="_xlnm.Print_Area" localSheetId="4">'C-Revenues@Changed Rates'!$A$1:$M$97</definedName>
    <definedName name="_xlnm.Print_Area" localSheetId="8">'D-Med &amp; Lrg C-I'!$A$1:$K$75</definedName>
    <definedName name="_xlnm.Print_Area" localSheetId="9">'E-Med &amp; Lrg C-I'!$A$1:$K$59</definedName>
    <definedName name="_xlnm.Print_Area" localSheetId="10">'F-Med &amp; Lrg C-I'!$A$1:$K$75</definedName>
    <definedName name="_xlnm.Print_Area" localSheetId="12">'PA-T-1'!$A$1:$K$66</definedName>
    <definedName name="_xlnm.Print_Area" localSheetId="16">'Rate Impact'!$A$1:$G$21</definedName>
    <definedName name="_xlnm.Print_Area" localSheetId="11">'San Diego Unified Port District'!$A$1:$K$76</definedName>
    <definedName name="_xlnm.Print_Area" localSheetId="13">Standby!$A$1:$K$61</definedName>
    <definedName name="_xlnm.Print_Area" localSheetId="1">'Summary of Revs @ Changed Rates'!$A$1:$J$54</definedName>
    <definedName name="_xlnm.Print_Area" localSheetId="20">'Workpaper 1'!$A$1:$P$219</definedName>
    <definedName name="_xlnm.Print_Area" localSheetId="21">'Workpaper 2'!$A$1:$E$30</definedName>
    <definedName name="_xlnm.Print_Titles" localSheetId="20">'Workpaper 1'!$1:$2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2" i="23" l="1"/>
  <c r="M212" i="23"/>
  <c r="L212" i="23"/>
  <c r="K212" i="23"/>
  <c r="J212" i="23"/>
  <c r="I212" i="23"/>
  <c r="H212" i="23"/>
  <c r="G212" i="23"/>
  <c r="F212" i="23"/>
  <c r="E212" i="23"/>
  <c r="D212" i="23"/>
  <c r="C212" i="23"/>
  <c r="N211" i="23"/>
  <c r="M211" i="23"/>
  <c r="L211" i="23"/>
  <c r="K211" i="23"/>
  <c r="J211" i="23"/>
  <c r="I211" i="23"/>
  <c r="H211" i="23"/>
  <c r="G211" i="23"/>
  <c r="F211" i="23"/>
  <c r="E211" i="23"/>
  <c r="D211" i="23"/>
  <c r="C211" i="23"/>
  <c r="N210" i="23"/>
  <c r="M210" i="23"/>
  <c r="L210" i="23"/>
  <c r="K210" i="23"/>
  <c r="J210" i="23"/>
  <c r="I210" i="23"/>
  <c r="H210" i="23"/>
  <c r="G210" i="23"/>
  <c r="F210" i="23"/>
  <c r="E210" i="23"/>
  <c r="D210" i="23"/>
  <c r="C210" i="23"/>
  <c r="N207" i="23"/>
  <c r="M207" i="23"/>
  <c r="L207" i="23"/>
  <c r="K207" i="23"/>
  <c r="J207" i="23"/>
  <c r="I207" i="23"/>
  <c r="H207" i="23"/>
  <c r="G207" i="23"/>
  <c r="F207" i="23"/>
  <c r="E207" i="23"/>
  <c r="D207" i="23"/>
  <c r="C207" i="23"/>
  <c r="N201" i="23"/>
  <c r="M201" i="23"/>
  <c r="L201" i="23"/>
  <c r="K201" i="23"/>
  <c r="J201" i="23"/>
  <c r="I201" i="23"/>
  <c r="H201" i="23"/>
  <c r="G201" i="23"/>
  <c r="F201" i="23"/>
  <c r="E201" i="23"/>
  <c r="D201" i="23"/>
  <c r="C201" i="23"/>
  <c r="N200" i="23"/>
  <c r="M200" i="23"/>
  <c r="L200" i="23"/>
  <c r="K200" i="23"/>
  <c r="J200" i="23"/>
  <c r="I200" i="23"/>
  <c r="H200" i="23"/>
  <c r="G200" i="23"/>
  <c r="F200" i="23"/>
  <c r="E200" i="23"/>
  <c r="D200" i="23"/>
  <c r="C200" i="23"/>
  <c r="N199" i="23"/>
  <c r="M199" i="23"/>
  <c r="L199" i="23"/>
  <c r="K199" i="23"/>
  <c r="J199" i="23"/>
  <c r="I199" i="23"/>
  <c r="H199" i="23"/>
  <c r="G199" i="23"/>
  <c r="F199" i="23"/>
  <c r="E199" i="23"/>
  <c r="D199" i="23"/>
  <c r="C199" i="23"/>
  <c r="N186" i="23"/>
  <c r="M186" i="23"/>
  <c r="L186" i="23"/>
  <c r="K186" i="23"/>
  <c r="J186" i="23"/>
  <c r="I186" i="23"/>
  <c r="H186" i="23"/>
  <c r="G186" i="23"/>
  <c r="F186" i="23"/>
  <c r="E186" i="23"/>
  <c r="D186" i="23"/>
  <c r="C186" i="23"/>
  <c r="N185" i="23"/>
  <c r="M185" i="23"/>
  <c r="L185" i="23"/>
  <c r="K185" i="23"/>
  <c r="J185" i="23"/>
  <c r="I185" i="23"/>
  <c r="H185" i="23"/>
  <c r="G185" i="23"/>
  <c r="F185" i="23"/>
  <c r="E185" i="23"/>
  <c r="D185" i="23"/>
  <c r="C185" i="23"/>
  <c r="N184" i="23"/>
  <c r="M184" i="23"/>
  <c r="L184" i="23"/>
  <c r="K184" i="23"/>
  <c r="J184" i="23"/>
  <c r="I184" i="23"/>
  <c r="H184" i="23"/>
  <c r="G184" i="23"/>
  <c r="F184" i="23"/>
  <c r="E184" i="23"/>
  <c r="D184" i="23"/>
  <c r="C184" i="23"/>
  <c r="N176" i="23"/>
  <c r="M176" i="23"/>
  <c r="L176" i="23"/>
  <c r="K176" i="23"/>
  <c r="J176" i="23"/>
  <c r="I176" i="23"/>
  <c r="H176" i="23"/>
  <c r="G176" i="23"/>
  <c r="F176" i="23"/>
  <c r="E176" i="23"/>
  <c r="D176" i="23"/>
  <c r="C176" i="23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N174" i="23"/>
  <c r="M174" i="23"/>
  <c r="L174" i="23"/>
  <c r="K174" i="23"/>
  <c r="J174" i="23"/>
  <c r="I174" i="23"/>
  <c r="H174" i="23"/>
  <c r="G174" i="23"/>
  <c r="F174" i="23"/>
  <c r="E174" i="23"/>
  <c r="D174" i="23"/>
  <c r="C174" i="23"/>
  <c r="N166" i="23"/>
  <c r="M166" i="23"/>
  <c r="L166" i="23"/>
  <c r="K166" i="23"/>
  <c r="J166" i="23"/>
  <c r="I166" i="23"/>
  <c r="H166" i="23"/>
  <c r="G166" i="23"/>
  <c r="F166" i="23"/>
  <c r="E166" i="23"/>
  <c r="D166" i="23"/>
  <c r="C166" i="23"/>
  <c r="N164" i="23"/>
  <c r="M164" i="23"/>
  <c r="L164" i="23"/>
  <c r="K164" i="23"/>
  <c r="J164" i="23"/>
  <c r="I164" i="23"/>
  <c r="H164" i="23"/>
  <c r="G164" i="23"/>
  <c r="F164" i="23"/>
  <c r="E164" i="23"/>
  <c r="D164" i="23"/>
  <c r="C164" i="23"/>
  <c r="N162" i="23"/>
  <c r="M162" i="23"/>
  <c r="L162" i="23"/>
  <c r="K162" i="23"/>
  <c r="J162" i="23"/>
  <c r="I162" i="23"/>
  <c r="H162" i="23"/>
  <c r="G162" i="23"/>
  <c r="F162" i="23"/>
  <c r="E162" i="23"/>
  <c r="D162" i="23"/>
  <c r="C162" i="23"/>
  <c r="N135" i="23"/>
  <c r="M135" i="23"/>
  <c r="L135" i="23"/>
  <c r="K135" i="23"/>
  <c r="J135" i="23"/>
  <c r="I135" i="23"/>
  <c r="H135" i="23"/>
  <c r="G135" i="23"/>
  <c r="F135" i="23"/>
  <c r="E135" i="23"/>
  <c r="D135" i="23"/>
  <c r="C135" i="23"/>
  <c r="N134" i="23"/>
  <c r="M134" i="23"/>
  <c r="L134" i="23"/>
  <c r="K134" i="23"/>
  <c r="J134" i="23"/>
  <c r="I134" i="23"/>
  <c r="H134" i="23"/>
  <c r="G134" i="23"/>
  <c r="F134" i="23"/>
  <c r="E134" i="23"/>
  <c r="D134" i="23"/>
  <c r="C134" i="23"/>
  <c r="N133" i="23"/>
  <c r="M133" i="23"/>
  <c r="L133" i="23"/>
  <c r="K133" i="23"/>
  <c r="J133" i="23"/>
  <c r="I133" i="23"/>
  <c r="H133" i="23"/>
  <c r="G133" i="23"/>
  <c r="F133" i="23"/>
  <c r="E133" i="23"/>
  <c r="D133" i="23"/>
  <c r="C133" i="23"/>
  <c r="N125" i="23"/>
  <c r="M125" i="23"/>
  <c r="L125" i="23"/>
  <c r="K125" i="23"/>
  <c r="J125" i="23"/>
  <c r="I125" i="23"/>
  <c r="H125" i="23"/>
  <c r="G125" i="23"/>
  <c r="F125" i="23"/>
  <c r="E125" i="23"/>
  <c r="D125" i="23"/>
  <c r="C125" i="23"/>
  <c r="N124" i="23"/>
  <c r="M124" i="23"/>
  <c r="L124" i="23"/>
  <c r="K124" i="23"/>
  <c r="J124" i="23"/>
  <c r="I124" i="23"/>
  <c r="H124" i="23"/>
  <c r="G124" i="23"/>
  <c r="F124" i="23"/>
  <c r="E124" i="23"/>
  <c r="D124" i="23"/>
  <c r="C124" i="23"/>
  <c r="N123" i="23"/>
  <c r="M123" i="23"/>
  <c r="L123" i="23"/>
  <c r="K123" i="23"/>
  <c r="J123" i="23"/>
  <c r="I123" i="23"/>
  <c r="H123" i="23"/>
  <c r="G123" i="23"/>
  <c r="F123" i="23"/>
  <c r="E123" i="23"/>
  <c r="D123" i="23"/>
  <c r="C123" i="23"/>
  <c r="N115" i="23"/>
  <c r="M115" i="23"/>
  <c r="L115" i="23"/>
  <c r="K115" i="23"/>
  <c r="J115" i="23"/>
  <c r="I115" i="23"/>
  <c r="H115" i="23"/>
  <c r="G115" i="23"/>
  <c r="F115" i="23"/>
  <c r="E115" i="23"/>
  <c r="D115" i="23"/>
  <c r="C115" i="23"/>
  <c r="N114" i="23"/>
  <c r="M114" i="23"/>
  <c r="L114" i="23"/>
  <c r="K114" i="23"/>
  <c r="J114" i="23"/>
  <c r="I114" i="23"/>
  <c r="H114" i="23"/>
  <c r="G114" i="23"/>
  <c r="F114" i="23"/>
  <c r="E114" i="23"/>
  <c r="D114" i="23"/>
  <c r="C114" i="23"/>
  <c r="N113" i="23"/>
  <c r="M113" i="23"/>
  <c r="L113" i="23"/>
  <c r="K113" i="23"/>
  <c r="J113" i="23"/>
  <c r="I113" i="23"/>
  <c r="H113" i="23"/>
  <c r="G113" i="23"/>
  <c r="F113" i="23"/>
  <c r="E113" i="23"/>
  <c r="D113" i="23"/>
  <c r="C113" i="23"/>
  <c r="N106" i="23"/>
  <c r="M106" i="23"/>
  <c r="L106" i="23"/>
  <c r="K106" i="23"/>
  <c r="J106" i="23"/>
  <c r="I106" i="23"/>
  <c r="H106" i="23"/>
  <c r="G106" i="23"/>
  <c r="F106" i="23"/>
  <c r="E106" i="23"/>
  <c r="D106" i="23"/>
  <c r="C106" i="23"/>
  <c r="N105" i="23"/>
  <c r="M105" i="23"/>
  <c r="L105" i="23"/>
  <c r="K105" i="23"/>
  <c r="J105" i="23"/>
  <c r="I105" i="23"/>
  <c r="H105" i="23"/>
  <c r="G105" i="23"/>
  <c r="F105" i="23"/>
  <c r="E105" i="23"/>
  <c r="D105" i="23"/>
  <c r="C105" i="23"/>
  <c r="N104" i="23"/>
  <c r="M104" i="23"/>
  <c r="L104" i="23"/>
  <c r="K104" i="23"/>
  <c r="J104" i="23"/>
  <c r="I104" i="23"/>
  <c r="H104" i="23"/>
  <c r="G104" i="23"/>
  <c r="F104" i="23"/>
  <c r="E104" i="23"/>
  <c r="D104" i="23"/>
  <c r="C104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N89" i="23"/>
  <c r="M89" i="23"/>
  <c r="L89" i="23"/>
  <c r="K89" i="23"/>
  <c r="J89" i="23"/>
  <c r="I89" i="23"/>
  <c r="H89" i="23"/>
  <c r="G89" i="23"/>
  <c r="F89" i="23"/>
  <c r="E89" i="23"/>
  <c r="D89" i="23"/>
  <c r="C89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N87" i="23"/>
  <c r="M87" i="23"/>
  <c r="L87" i="23"/>
  <c r="K87" i="23"/>
  <c r="J87" i="23"/>
  <c r="I87" i="23"/>
  <c r="H87" i="23"/>
  <c r="G87" i="23"/>
  <c r="F87" i="23"/>
  <c r="E87" i="23"/>
  <c r="D87" i="23"/>
  <c r="C87" i="23"/>
  <c r="N79" i="23"/>
  <c r="M79" i="23"/>
  <c r="L79" i="23"/>
  <c r="K79" i="23"/>
  <c r="J79" i="23"/>
  <c r="I79" i="23"/>
  <c r="H79" i="23"/>
  <c r="G79" i="23"/>
  <c r="F79" i="23"/>
  <c r="E79" i="23"/>
  <c r="D79" i="23"/>
  <c r="C79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N67" i="23"/>
  <c r="M67" i="23"/>
  <c r="L67" i="23"/>
  <c r="K67" i="23"/>
  <c r="J67" i="23"/>
  <c r="I67" i="23"/>
  <c r="H67" i="23"/>
  <c r="G67" i="23"/>
  <c r="F67" i="23"/>
  <c r="E67" i="23"/>
  <c r="D67" i="23"/>
  <c r="C67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N9" i="23"/>
  <c r="M9" i="23"/>
  <c r="L9" i="23"/>
  <c r="K9" i="23"/>
  <c r="J9" i="23"/>
  <c r="I9" i="23"/>
  <c r="H9" i="23"/>
  <c r="G9" i="23"/>
  <c r="F9" i="23"/>
  <c r="E9" i="23"/>
  <c r="D9" i="23"/>
  <c r="C9" i="23"/>
  <c r="N8" i="23"/>
  <c r="M8" i="23"/>
  <c r="L8" i="23"/>
  <c r="K8" i="23"/>
  <c r="J8" i="23"/>
  <c r="I8" i="23"/>
  <c r="H8" i="23"/>
  <c r="G8" i="23"/>
  <c r="F8" i="23"/>
  <c r="E8" i="23"/>
  <c r="D8" i="23"/>
  <c r="C8" i="23"/>
  <c r="N12" i="42"/>
  <c r="M12" i="42"/>
  <c r="L12" i="42"/>
  <c r="K12" i="42"/>
  <c r="J12" i="42"/>
  <c r="I12" i="42"/>
  <c r="H12" i="42"/>
  <c r="G12" i="42"/>
  <c r="F12" i="42"/>
  <c r="E12" i="42"/>
  <c r="D12" i="42"/>
  <c r="C12" i="42"/>
  <c r="C12" i="35"/>
  <c r="C22" i="35"/>
  <c r="C16" i="32"/>
  <c r="E22" i="41"/>
  <c r="D22" i="41"/>
  <c r="E18" i="41"/>
  <c r="E16" i="41"/>
  <c r="E14" i="41"/>
  <c r="O12" i="42"/>
  <c r="E20" i="41"/>
  <c r="E24" i="41"/>
  <c r="D20" i="41"/>
  <c r="D24" i="41"/>
  <c r="C17" i="42"/>
  <c r="C20" i="41"/>
  <c r="C24" i="41"/>
  <c r="N15" i="42"/>
  <c r="M15" i="42"/>
  <c r="M20" i="42"/>
  <c r="L15" i="42"/>
  <c r="L20" i="42"/>
  <c r="K15" i="42"/>
  <c r="K20" i="42"/>
  <c r="J15" i="42"/>
  <c r="J20" i="42"/>
  <c r="I15" i="42"/>
  <c r="I20" i="42"/>
  <c r="H15" i="42"/>
  <c r="H20" i="42"/>
  <c r="G15" i="42"/>
  <c r="G20" i="42"/>
  <c r="F15" i="42"/>
  <c r="F20" i="42"/>
  <c r="E15" i="42"/>
  <c r="E20" i="42"/>
  <c r="D15" i="42"/>
  <c r="D20" i="42"/>
  <c r="N20" i="42"/>
  <c r="C20" i="42"/>
  <c r="F17" i="42"/>
  <c r="F22" i="42"/>
  <c r="F24" i="42"/>
  <c r="G17" i="42"/>
  <c r="G22" i="42"/>
  <c r="G24" i="42"/>
  <c r="K17" i="42"/>
  <c r="K22" i="42"/>
  <c r="K24" i="42"/>
  <c r="J17" i="42"/>
  <c r="J22" i="42"/>
  <c r="J24" i="42"/>
  <c r="I17" i="42"/>
  <c r="I22" i="42"/>
  <c r="I24" i="42"/>
  <c r="H17" i="42"/>
  <c r="H22" i="42"/>
  <c r="H24" i="42"/>
  <c r="C22" i="42"/>
  <c r="C24" i="42"/>
  <c r="D17" i="42"/>
  <c r="D22" i="42"/>
  <c r="D24" i="42"/>
  <c r="L17" i="42"/>
  <c r="L22" i="42"/>
  <c r="L24" i="42"/>
  <c r="M17" i="42"/>
  <c r="M22" i="42"/>
  <c r="M24" i="42"/>
  <c r="N17" i="42"/>
  <c r="N22" i="42"/>
  <c r="N24" i="42"/>
  <c r="E17" i="42"/>
  <c r="E22" i="42"/>
  <c r="E24" i="42"/>
  <c r="O20" i="42"/>
  <c r="O22" i="42"/>
  <c r="O24" i="42"/>
  <c r="O13" i="23"/>
  <c r="O9" i="23"/>
  <c r="A24" i="25"/>
  <c r="O10" i="23"/>
  <c r="O12" i="23"/>
  <c r="O11" i="23"/>
  <c r="K74" i="5"/>
  <c r="A74" i="5"/>
  <c r="K74" i="9"/>
  <c r="A74" i="9"/>
  <c r="M74" i="31"/>
  <c r="A74" i="31"/>
  <c r="O201" i="23"/>
  <c r="N26" i="1"/>
  <c r="N25" i="1"/>
  <c r="L26" i="1"/>
  <c r="L25" i="1"/>
  <c r="J26" i="1"/>
  <c r="J25" i="1"/>
  <c r="H26" i="1"/>
  <c r="H25" i="1"/>
  <c r="F26" i="1"/>
  <c r="F25" i="1"/>
  <c r="D26" i="1"/>
  <c r="D25" i="1"/>
  <c r="N26" i="7"/>
  <c r="N25" i="7"/>
  <c r="L26" i="7"/>
  <c r="L25" i="7"/>
  <c r="J26" i="7"/>
  <c r="J25" i="7"/>
  <c r="H26" i="7"/>
  <c r="H25" i="7"/>
  <c r="F26" i="7"/>
  <c r="F25" i="7"/>
  <c r="D26" i="7"/>
  <c r="D25" i="7"/>
  <c r="D60" i="43"/>
  <c r="E60" i="43"/>
  <c r="F60" i="43"/>
  <c r="G60" i="43"/>
  <c r="H60" i="43"/>
  <c r="C60" i="43"/>
  <c r="D27" i="43"/>
  <c r="E27" i="43"/>
  <c r="F27" i="43"/>
  <c r="G27" i="43"/>
  <c r="H27" i="43"/>
  <c r="C27" i="43"/>
  <c r="A22" i="25"/>
  <c r="A23" i="25"/>
  <c r="J39" i="6"/>
  <c r="J40" i="6"/>
  <c r="J41" i="6"/>
  <c r="J42" i="6"/>
  <c r="J17" i="6"/>
  <c r="J18" i="6"/>
  <c r="J19" i="6"/>
  <c r="J20" i="6"/>
  <c r="J21" i="6"/>
  <c r="A39" i="6"/>
  <c r="A40" i="6"/>
  <c r="A41" i="6"/>
  <c r="A42" i="6"/>
  <c r="A17" i="6"/>
  <c r="A18" i="6"/>
  <c r="A19" i="6"/>
  <c r="A21" i="31"/>
  <c r="A22" i="31"/>
  <c r="A23" i="31"/>
  <c r="A24" i="31"/>
  <c r="A25" i="31"/>
  <c r="A26" i="31"/>
  <c r="M21" i="31"/>
  <c r="M22" i="31"/>
  <c r="M23" i="31"/>
  <c r="M24" i="31"/>
  <c r="M25" i="31"/>
  <c r="M26" i="31"/>
  <c r="M27" i="31"/>
  <c r="B59" i="9"/>
  <c r="B58" i="9"/>
  <c r="K49" i="9"/>
  <c r="K50" i="9"/>
  <c r="K51" i="9"/>
  <c r="K52" i="9"/>
  <c r="A49" i="9"/>
  <c r="A50" i="9"/>
  <c r="A51" i="9"/>
  <c r="K21" i="9"/>
  <c r="K22" i="9"/>
  <c r="K23" i="9"/>
  <c r="K24" i="9"/>
  <c r="K25" i="9"/>
  <c r="K26" i="9"/>
  <c r="K27" i="9"/>
  <c r="A21" i="9"/>
  <c r="A22" i="9"/>
  <c r="A23" i="9"/>
  <c r="A24" i="9"/>
  <c r="A25" i="9"/>
  <c r="J47" i="18"/>
  <c r="J46" i="18"/>
  <c r="J45" i="18"/>
  <c r="J40" i="18"/>
  <c r="J39" i="30"/>
  <c r="J38" i="30"/>
  <c r="J37" i="30"/>
  <c r="J39" i="27"/>
  <c r="J38" i="27"/>
  <c r="J37" i="27"/>
  <c r="J47" i="29"/>
  <c r="J46" i="29"/>
  <c r="J45" i="29"/>
  <c r="J39" i="39"/>
  <c r="J38" i="39"/>
  <c r="J37" i="39"/>
  <c r="J47" i="40"/>
  <c r="J46" i="40"/>
  <c r="J45" i="40"/>
  <c r="D49" i="43"/>
  <c r="J77" i="9"/>
  <c r="E49" i="43"/>
  <c r="F49" i="43"/>
  <c r="G49" i="43"/>
  <c r="H49" i="43"/>
  <c r="C49" i="43"/>
  <c r="D16" i="43"/>
  <c r="E16" i="43"/>
  <c r="F16" i="43"/>
  <c r="G16" i="43"/>
  <c r="H16" i="43"/>
  <c r="C16" i="43"/>
  <c r="J60" i="43"/>
  <c r="J53" i="43"/>
  <c r="J49" i="43"/>
  <c r="F45" i="43"/>
  <c r="G45" i="43"/>
  <c r="H45" i="43"/>
  <c r="E45" i="43"/>
  <c r="D45" i="43"/>
  <c r="J44" i="43"/>
  <c r="I40" i="43"/>
  <c r="H40" i="43"/>
  <c r="G40" i="43"/>
  <c r="F40" i="43"/>
  <c r="E40" i="43"/>
  <c r="D40" i="43"/>
  <c r="C40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E12" i="43"/>
  <c r="D12" i="43"/>
  <c r="K11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J56" i="36"/>
  <c r="J55" i="36"/>
  <c r="J54" i="36"/>
  <c r="J47" i="36"/>
  <c r="J46" i="36"/>
  <c r="J45" i="36"/>
  <c r="J40" i="36"/>
  <c r="J41" i="19"/>
  <c r="J40" i="19"/>
  <c r="J39" i="19"/>
  <c r="I49" i="43"/>
  <c r="F12" i="43"/>
  <c r="G12" i="43"/>
  <c r="I60" i="43"/>
  <c r="O24" i="1"/>
  <c r="O25" i="1"/>
  <c r="O26" i="1"/>
  <c r="O27" i="1"/>
  <c r="O28" i="1"/>
  <c r="O29" i="1"/>
  <c r="A24" i="1"/>
  <c r="A25" i="1"/>
  <c r="A26" i="1"/>
  <c r="A27" i="1"/>
  <c r="A28" i="1"/>
  <c r="J23" i="31"/>
  <c r="H23" i="31"/>
  <c r="F23" i="31"/>
  <c r="D23" i="31"/>
  <c r="J23" i="9"/>
  <c r="H23" i="9"/>
  <c r="J22" i="31"/>
  <c r="H22" i="31"/>
  <c r="F22" i="31"/>
  <c r="D22" i="31"/>
  <c r="J22" i="9"/>
  <c r="H22" i="9"/>
  <c r="O24" i="7"/>
  <c r="O25" i="7"/>
  <c r="O26" i="7"/>
  <c r="O27" i="7"/>
  <c r="O28" i="7"/>
  <c r="O29" i="7"/>
  <c r="O30" i="7"/>
  <c r="O31" i="7"/>
  <c r="O32" i="7"/>
  <c r="O33" i="7"/>
  <c r="A24" i="7"/>
  <c r="A25" i="7"/>
  <c r="A26" i="7"/>
  <c r="A27" i="7"/>
  <c r="A28" i="7"/>
  <c r="A29" i="7"/>
  <c r="F23" i="9"/>
  <c r="D23" i="9"/>
  <c r="J23" i="5"/>
  <c r="H23" i="5"/>
  <c r="F23" i="5"/>
  <c r="F22" i="9"/>
  <c r="D22" i="9"/>
  <c r="H22" i="5"/>
  <c r="F22" i="5"/>
  <c r="D22" i="5"/>
  <c r="O166" i="23"/>
  <c r="O164" i="23"/>
  <c r="G24" i="1"/>
  <c r="E44" i="43"/>
  <c r="E46" i="43"/>
  <c r="C76" i="31"/>
  <c r="C24" i="7"/>
  <c r="C11" i="43"/>
  <c r="D23" i="2"/>
  <c r="J22" i="5"/>
  <c r="L22" i="31"/>
  <c r="D24" i="2"/>
  <c r="D23" i="5"/>
  <c r="L23" i="31"/>
  <c r="H12" i="43"/>
  <c r="C21" i="5"/>
  <c r="C21" i="31"/>
  <c r="K24" i="7"/>
  <c r="G11" i="43"/>
  <c r="G13" i="43"/>
  <c r="C76" i="9"/>
  <c r="G24" i="7"/>
  <c r="E11" i="43"/>
  <c r="E13" i="43"/>
  <c r="G76" i="5"/>
  <c r="C13" i="43"/>
  <c r="C76" i="5"/>
  <c r="I24" i="1"/>
  <c r="F44" i="43"/>
  <c r="F46" i="43"/>
  <c r="E76" i="31"/>
  <c r="E24" i="7"/>
  <c r="D11" i="43"/>
  <c r="D13" i="43"/>
  <c r="E76" i="5"/>
  <c r="O162" i="23"/>
  <c r="K24" i="1"/>
  <c r="G44" i="43"/>
  <c r="G46" i="43"/>
  <c r="G76" i="31"/>
  <c r="M24" i="1"/>
  <c r="H44" i="43"/>
  <c r="H46" i="43"/>
  <c r="I76" i="31"/>
  <c r="E24" i="1"/>
  <c r="D44" i="43"/>
  <c r="D46" i="43"/>
  <c r="I76" i="9"/>
  <c r="C24" i="1"/>
  <c r="C44" i="43"/>
  <c r="C46" i="43"/>
  <c r="M24" i="7"/>
  <c r="H11" i="43"/>
  <c r="H13" i="43"/>
  <c r="E76" i="9"/>
  <c r="I24" i="7"/>
  <c r="F11" i="43"/>
  <c r="F13" i="43"/>
  <c r="I76" i="5"/>
  <c r="I21" i="5"/>
  <c r="E21" i="31"/>
  <c r="E21" i="9"/>
  <c r="E21" i="5"/>
  <c r="G21" i="9"/>
  <c r="G21" i="31"/>
  <c r="G21" i="5"/>
  <c r="C21" i="9"/>
  <c r="I21" i="9"/>
  <c r="I21" i="31"/>
  <c r="G76" i="9"/>
  <c r="K76" i="31"/>
  <c r="I46" i="43"/>
  <c r="I44" i="43"/>
  <c r="K21" i="31"/>
  <c r="B48" i="1"/>
  <c r="O212" i="23"/>
  <c r="I12" i="7"/>
  <c r="K12" i="7"/>
  <c r="M12" i="7"/>
  <c r="C12" i="1"/>
  <c r="E12" i="1"/>
  <c r="G12" i="1"/>
  <c r="I12" i="1"/>
  <c r="K12" i="1"/>
  <c r="M12" i="1"/>
  <c r="E12" i="7"/>
  <c r="O206" i="23"/>
  <c r="O211" i="23"/>
  <c r="O210" i="23"/>
  <c r="O207" i="23"/>
  <c r="C12" i="7"/>
  <c r="G12" i="7"/>
  <c r="C12" i="2"/>
  <c r="O8" i="23"/>
  <c r="G15" i="41"/>
  <c r="G16" i="41"/>
  <c r="G17" i="41"/>
  <c r="G18" i="41"/>
  <c r="G19" i="41"/>
  <c r="G20" i="41"/>
  <c r="G21" i="41"/>
  <c r="G22" i="41"/>
  <c r="G23" i="41"/>
  <c r="G24" i="41"/>
  <c r="A15" i="41"/>
  <c r="A16" i="41"/>
  <c r="A17" i="41"/>
  <c r="A18" i="41"/>
  <c r="A19" i="41"/>
  <c r="A20" i="41"/>
  <c r="A21" i="41"/>
  <c r="A22" i="41"/>
  <c r="A23" i="41"/>
  <c r="A24" i="41"/>
  <c r="B18" i="9"/>
  <c r="B18" i="31"/>
  <c r="D12" i="19"/>
  <c r="E12" i="19"/>
  <c r="F12" i="19"/>
  <c r="G12" i="19"/>
  <c r="H12" i="19"/>
  <c r="C39" i="19"/>
  <c r="D39" i="19"/>
  <c r="E39" i="19"/>
  <c r="F39" i="19"/>
  <c r="G39" i="19"/>
  <c r="H39" i="19"/>
  <c r="C12" i="19"/>
  <c r="G202" i="23"/>
  <c r="L36" i="7"/>
  <c r="H13" i="19"/>
  <c r="E40" i="19"/>
  <c r="F40" i="19"/>
  <c r="H40" i="19"/>
  <c r="D14" i="19"/>
  <c r="F14" i="19"/>
  <c r="H14" i="19"/>
  <c r="D41" i="19"/>
  <c r="F41" i="19"/>
  <c r="G41" i="19"/>
  <c r="C13" i="19"/>
  <c r="N177" i="23"/>
  <c r="D177" i="23"/>
  <c r="K14" i="7"/>
  <c r="C14" i="1"/>
  <c r="G14" i="1"/>
  <c r="M14" i="1"/>
  <c r="D27" i="23"/>
  <c r="H27" i="23"/>
  <c r="H35" i="23"/>
  <c r="K27" i="23"/>
  <c r="L27" i="23"/>
  <c r="L36" i="23"/>
  <c r="L46" i="23"/>
  <c r="D54" i="23"/>
  <c r="E54" i="23"/>
  <c r="F54" i="23"/>
  <c r="F64" i="23"/>
  <c r="H54" i="23"/>
  <c r="I54" i="23"/>
  <c r="I64" i="23"/>
  <c r="I84" i="23"/>
  <c r="J54" i="23"/>
  <c r="M54" i="23"/>
  <c r="N54" i="23"/>
  <c r="N64" i="23"/>
  <c r="N94" i="23"/>
  <c r="H39" i="39"/>
  <c r="F100" i="23"/>
  <c r="F109" i="23"/>
  <c r="I100" i="23"/>
  <c r="I110" i="23"/>
  <c r="J100" i="23"/>
  <c r="K100" i="23"/>
  <c r="K110" i="23"/>
  <c r="M100" i="23"/>
  <c r="O14" i="23"/>
  <c r="M29" i="7"/>
  <c r="C29" i="1"/>
  <c r="E29" i="1"/>
  <c r="G29" i="1"/>
  <c r="I29" i="1"/>
  <c r="K29" i="1"/>
  <c r="M29" i="1"/>
  <c r="G30" i="7"/>
  <c r="I30" i="7"/>
  <c r="C30" i="1"/>
  <c r="K171" i="23"/>
  <c r="K30" i="1"/>
  <c r="N171" i="23"/>
  <c r="E32" i="7"/>
  <c r="G32" i="7"/>
  <c r="I32" i="7"/>
  <c r="E32" i="1"/>
  <c r="M32" i="1"/>
  <c r="I34" i="7"/>
  <c r="E34" i="1"/>
  <c r="G34" i="1"/>
  <c r="I34" i="1"/>
  <c r="K34" i="1"/>
  <c r="M34" i="1"/>
  <c r="C27" i="23"/>
  <c r="C35" i="23"/>
  <c r="C100" i="23"/>
  <c r="C109" i="23"/>
  <c r="C119" i="23"/>
  <c r="C34" i="7"/>
  <c r="Q13" i="42"/>
  <c r="Q14" i="42"/>
  <c r="Q15" i="42"/>
  <c r="Q16" i="42"/>
  <c r="Q17" i="42"/>
  <c r="Q18" i="42"/>
  <c r="Q19" i="42"/>
  <c r="A13" i="42"/>
  <c r="A14" i="42"/>
  <c r="A15" i="42"/>
  <c r="A16" i="42"/>
  <c r="A17" i="42"/>
  <c r="A18" i="42"/>
  <c r="A19" i="42"/>
  <c r="E26" i="23"/>
  <c r="E53" i="23"/>
  <c r="E99" i="23"/>
  <c r="E145" i="23"/>
  <c r="F26" i="23"/>
  <c r="F53" i="23"/>
  <c r="F99" i="23"/>
  <c r="F145" i="23"/>
  <c r="F197" i="23"/>
  <c r="F206" i="23"/>
  <c r="G26" i="23"/>
  <c r="G53" i="23"/>
  <c r="G99" i="23"/>
  <c r="G145" i="23"/>
  <c r="H26" i="23"/>
  <c r="H53" i="23"/>
  <c r="H99" i="23"/>
  <c r="H145" i="23"/>
  <c r="H170" i="23"/>
  <c r="I26" i="23"/>
  <c r="I53" i="23"/>
  <c r="I99" i="23"/>
  <c r="I145" i="23"/>
  <c r="J26" i="23"/>
  <c r="J53" i="23"/>
  <c r="J99" i="23"/>
  <c r="J145" i="23"/>
  <c r="K26" i="23"/>
  <c r="K53" i="23"/>
  <c r="K99" i="23"/>
  <c r="K145" i="23"/>
  <c r="K197" i="23"/>
  <c r="K206" i="23"/>
  <c r="L26" i="23"/>
  <c r="L53" i="23"/>
  <c r="L99" i="23"/>
  <c r="L145" i="23"/>
  <c r="M26" i="23"/>
  <c r="M53" i="23"/>
  <c r="M99" i="23"/>
  <c r="M145" i="23"/>
  <c r="N26" i="23"/>
  <c r="N53" i="23"/>
  <c r="N99" i="23"/>
  <c r="N145" i="23"/>
  <c r="D26" i="23"/>
  <c r="D53" i="23"/>
  <c r="D99" i="23"/>
  <c r="D145" i="23"/>
  <c r="C26" i="23"/>
  <c r="C53" i="23"/>
  <c r="C99" i="23"/>
  <c r="C145" i="23"/>
  <c r="B95" i="31"/>
  <c r="B96" i="31"/>
  <c r="B95" i="9"/>
  <c r="B46" i="1"/>
  <c r="B44" i="1"/>
  <c r="B45" i="1"/>
  <c r="B43" i="1"/>
  <c r="B47" i="1"/>
  <c r="B97" i="31"/>
  <c r="B96" i="9"/>
  <c r="B97" i="9"/>
  <c r="B19" i="31"/>
  <c r="B59" i="31"/>
  <c r="B58" i="31"/>
  <c r="J56" i="40"/>
  <c r="J55" i="40"/>
  <c r="J54" i="40"/>
  <c r="K11" i="40"/>
  <c r="K12" i="40"/>
  <c r="K13" i="40"/>
  <c r="K14" i="40"/>
  <c r="K15" i="40"/>
  <c r="K16" i="40"/>
  <c r="K17" i="40"/>
  <c r="K18" i="40"/>
  <c r="K19" i="40"/>
  <c r="A11" i="40"/>
  <c r="A12" i="40"/>
  <c r="A13" i="40"/>
  <c r="A14" i="40"/>
  <c r="A15" i="40"/>
  <c r="A16" i="40"/>
  <c r="A17" i="40"/>
  <c r="A18" i="40"/>
  <c r="A19" i="40"/>
  <c r="I7" i="40"/>
  <c r="I40" i="40"/>
  <c r="H7" i="40"/>
  <c r="H40" i="40"/>
  <c r="G7" i="40"/>
  <c r="G40" i="40"/>
  <c r="F7" i="40"/>
  <c r="F40" i="40"/>
  <c r="E7" i="40"/>
  <c r="E40" i="40"/>
  <c r="D7" i="40"/>
  <c r="D40" i="40"/>
  <c r="C7" i="40"/>
  <c r="C40" i="40"/>
  <c r="A3" i="40"/>
  <c r="A2" i="40"/>
  <c r="A1" i="40"/>
  <c r="J48" i="39"/>
  <c r="J47" i="39"/>
  <c r="J46" i="39"/>
  <c r="K11" i="39"/>
  <c r="K12" i="39"/>
  <c r="K13" i="39"/>
  <c r="K14" i="39"/>
  <c r="K15" i="39"/>
  <c r="K16" i="39"/>
  <c r="K17" i="39"/>
  <c r="K18" i="39"/>
  <c r="K19" i="39"/>
  <c r="A11" i="39"/>
  <c r="A12" i="39"/>
  <c r="A13" i="39"/>
  <c r="A14" i="39"/>
  <c r="A15" i="39"/>
  <c r="A16" i="39"/>
  <c r="A17" i="39"/>
  <c r="A18" i="39"/>
  <c r="A19" i="39"/>
  <c r="I7" i="39"/>
  <c r="I32" i="39"/>
  <c r="H7" i="39"/>
  <c r="H32" i="39"/>
  <c r="G7" i="39"/>
  <c r="G32" i="39"/>
  <c r="F7" i="39"/>
  <c r="F32" i="39"/>
  <c r="E7" i="39"/>
  <c r="E32" i="39"/>
  <c r="D7" i="39"/>
  <c r="D32" i="39"/>
  <c r="C7" i="39"/>
  <c r="C32" i="39"/>
  <c r="A3" i="39"/>
  <c r="A2" i="39"/>
  <c r="A1" i="39"/>
  <c r="A4" i="30"/>
  <c r="C41" i="19"/>
  <c r="E41" i="19"/>
  <c r="H41" i="19"/>
  <c r="K14" i="1"/>
  <c r="K54" i="23"/>
  <c r="K62" i="23"/>
  <c r="L100" i="23"/>
  <c r="L109" i="23"/>
  <c r="L129" i="23"/>
  <c r="N100" i="23"/>
  <c r="N108" i="23"/>
  <c r="H171" i="23"/>
  <c r="K32" i="1"/>
  <c r="I14" i="7"/>
  <c r="E14" i="1"/>
  <c r="J27" i="23"/>
  <c r="E171" i="23"/>
  <c r="G27" i="23"/>
  <c r="G37" i="23"/>
  <c r="G47" i="23"/>
  <c r="G54" i="23"/>
  <c r="G62" i="23"/>
  <c r="L54" i="23"/>
  <c r="L63" i="23"/>
  <c r="L83" i="23"/>
  <c r="E100" i="23"/>
  <c r="E109" i="23"/>
  <c r="M30" i="7"/>
  <c r="M34" i="7"/>
  <c r="C39" i="5"/>
  <c r="C62" i="5"/>
  <c r="E39" i="5"/>
  <c r="E62" i="5"/>
  <c r="G39" i="5"/>
  <c r="G62" i="5"/>
  <c r="I39" i="5"/>
  <c r="I62" i="5"/>
  <c r="J48" i="19"/>
  <c r="J49" i="19"/>
  <c r="J47" i="19"/>
  <c r="J55" i="29"/>
  <c r="J56" i="29"/>
  <c r="J54" i="29"/>
  <c r="J47" i="27"/>
  <c r="J48" i="27"/>
  <c r="J46" i="27"/>
  <c r="J47" i="30"/>
  <c r="J48" i="30"/>
  <c r="J46" i="30"/>
  <c r="J55" i="18"/>
  <c r="J56" i="18"/>
  <c r="J54" i="18"/>
  <c r="B81" i="31"/>
  <c r="B80" i="31"/>
  <c r="B93" i="9"/>
  <c r="B94" i="9"/>
  <c r="B82" i="5"/>
  <c r="B81" i="5"/>
  <c r="B80" i="5"/>
  <c r="A3" i="36"/>
  <c r="A2" i="36"/>
  <c r="A1" i="36"/>
  <c r="C36" i="36"/>
  <c r="E36" i="36"/>
  <c r="F36" i="36"/>
  <c r="I36" i="36"/>
  <c r="A11" i="36"/>
  <c r="A12" i="36"/>
  <c r="A13" i="36"/>
  <c r="A14" i="36"/>
  <c r="A15" i="36"/>
  <c r="A16" i="36"/>
  <c r="A17" i="36"/>
  <c r="A18" i="36"/>
  <c r="A19" i="36"/>
  <c r="K11" i="36"/>
  <c r="K12" i="36"/>
  <c r="K13" i="36"/>
  <c r="K14" i="36"/>
  <c r="K15" i="36"/>
  <c r="K16" i="36"/>
  <c r="K17" i="36"/>
  <c r="K18" i="36"/>
  <c r="K19" i="36"/>
  <c r="D12" i="36"/>
  <c r="E12" i="36"/>
  <c r="F12" i="36"/>
  <c r="G12" i="36"/>
  <c r="D36" i="36"/>
  <c r="G36" i="36"/>
  <c r="H36" i="36"/>
  <c r="G29" i="7"/>
  <c r="C29" i="7"/>
  <c r="B94" i="31"/>
  <c r="D7" i="19"/>
  <c r="D34" i="19"/>
  <c r="E7" i="19"/>
  <c r="E34" i="19"/>
  <c r="F7" i="19"/>
  <c r="F34" i="19"/>
  <c r="G7" i="19"/>
  <c r="G34" i="19"/>
  <c r="H7" i="19"/>
  <c r="H34" i="19"/>
  <c r="I7" i="19"/>
  <c r="I34" i="19"/>
  <c r="C7" i="19"/>
  <c r="C34" i="19"/>
  <c r="D7" i="29"/>
  <c r="D40" i="29"/>
  <c r="E7" i="29"/>
  <c r="E40" i="29"/>
  <c r="F7" i="29"/>
  <c r="F40" i="29"/>
  <c r="G7" i="29"/>
  <c r="G40" i="29"/>
  <c r="H7" i="29"/>
  <c r="H40" i="29"/>
  <c r="I7" i="29"/>
  <c r="I40" i="29"/>
  <c r="C7" i="29"/>
  <c r="C40" i="29"/>
  <c r="D7" i="27"/>
  <c r="D32" i="27"/>
  <c r="E7" i="27"/>
  <c r="E32" i="27"/>
  <c r="F7" i="27"/>
  <c r="F32" i="27"/>
  <c r="G7" i="27"/>
  <c r="G32" i="27"/>
  <c r="H7" i="27"/>
  <c r="H32" i="27"/>
  <c r="I7" i="27"/>
  <c r="I32" i="27"/>
  <c r="C7" i="27"/>
  <c r="C32" i="27"/>
  <c r="D7" i="30"/>
  <c r="D32" i="30"/>
  <c r="E7" i="30"/>
  <c r="E32" i="30"/>
  <c r="F7" i="30"/>
  <c r="F32" i="30"/>
  <c r="G7" i="30"/>
  <c r="G32" i="30"/>
  <c r="H7" i="30"/>
  <c r="H32" i="30"/>
  <c r="I7" i="30"/>
  <c r="I32" i="30"/>
  <c r="C7" i="30"/>
  <c r="C32" i="30"/>
  <c r="D7" i="18"/>
  <c r="D36" i="18"/>
  <c r="E7" i="18"/>
  <c r="E36" i="18"/>
  <c r="F7" i="18"/>
  <c r="F36" i="18"/>
  <c r="G7" i="18"/>
  <c r="G36" i="18"/>
  <c r="H7" i="18"/>
  <c r="H36" i="18"/>
  <c r="I7" i="18"/>
  <c r="I36" i="18"/>
  <c r="C7" i="18"/>
  <c r="C36" i="18"/>
  <c r="D28" i="6"/>
  <c r="E28" i="6"/>
  <c r="F28" i="6"/>
  <c r="G28" i="6"/>
  <c r="H28" i="6"/>
  <c r="I28" i="6"/>
  <c r="C28" i="6"/>
  <c r="D66" i="5"/>
  <c r="D66" i="9"/>
  <c r="F66" i="9"/>
  <c r="H66" i="9"/>
  <c r="J66" i="9"/>
  <c r="D66" i="31"/>
  <c r="F66" i="31"/>
  <c r="H66" i="31"/>
  <c r="J66" i="31"/>
  <c r="D68" i="5"/>
  <c r="F68" i="5"/>
  <c r="H68" i="5"/>
  <c r="J68" i="5"/>
  <c r="D68" i="9"/>
  <c r="F68" i="9"/>
  <c r="H68" i="9"/>
  <c r="J68" i="9"/>
  <c r="D68" i="31"/>
  <c r="F68" i="31"/>
  <c r="H68" i="31"/>
  <c r="J68" i="31"/>
  <c r="I70" i="5"/>
  <c r="D84" i="9"/>
  <c r="F84" i="9"/>
  <c r="H84" i="9"/>
  <c r="D84" i="31"/>
  <c r="F84" i="31"/>
  <c r="H84" i="31"/>
  <c r="J84" i="31"/>
  <c r="E13" i="35"/>
  <c r="E14" i="35"/>
  <c r="E15" i="35"/>
  <c r="E16" i="35"/>
  <c r="E17" i="35"/>
  <c r="E18" i="35"/>
  <c r="E19" i="35"/>
  <c r="E20" i="35"/>
  <c r="E21" i="35"/>
  <c r="E22" i="35"/>
  <c r="E23" i="35"/>
  <c r="E24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3" i="32"/>
  <c r="A2" i="32"/>
  <c r="A1" i="32"/>
  <c r="G13" i="32"/>
  <c r="G14" i="32"/>
  <c r="G15" i="32"/>
  <c r="G16" i="32"/>
  <c r="A13" i="32"/>
  <c r="A14" i="32"/>
  <c r="A15" i="32"/>
  <c r="A16" i="32"/>
  <c r="A3" i="35"/>
  <c r="A2" i="35"/>
  <c r="A1" i="35"/>
  <c r="K11" i="27"/>
  <c r="K12" i="27"/>
  <c r="K13" i="27"/>
  <c r="K14" i="27"/>
  <c r="K15" i="27"/>
  <c r="K16" i="27"/>
  <c r="K17" i="27"/>
  <c r="K18" i="27"/>
  <c r="K19" i="27"/>
  <c r="A11" i="27"/>
  <c r="A12" i="27"/>
  <c r="A13" i="27"/>
  <c r="A14" i="27"/>
  <c r="A15" i="27"/>
  <c r="A16" i="27"/>
  <c r="A17" i="27"/>
  <c r="A18" i="27"/>
  <c r="A19" i="27"/>
  <c r="B93" i="31"/>
  <c r="B92" i="31"/>
  <c r="B57" i="31"/>
  <c r="B35" i="31"/>
  <c r="B92" i="9"/>
  <c r="B57" i="9"/>
  <c r="B35" i="9"/>
  <c r="J12" i="6"/>
  <c r="J13" i="6"/>
  <c r="J14" i="6"/>
  <c r="J15" i="6"/>
  <c r="J16" i="6"/>
  <c r="A4" i="6"/>
  <c r="A3" i="6"/>
  <c r="A2" i="6"/>
  <c r="A1" i="6"/>
  <c r="A12" i="6"/>
  <c r="A13" i="6"/>
  <c r="A14" i="6"/>
  <c r="A15" i="6"/>
  <c r="A16" i="6"/>
  <c r="A20" i="6"/>
  <c r="A21" i="6"/>
  <c r="K86" i="31"/>
  <c r="A4" i="9"/>
  <c r="A3" i="9"/>
  <c r="A2" i="9"/>
  <c r="A1" i="9"/>
  <c r="A4" i="5"/>
  <c r="A3" i="5"/>
  <c r="A2" i="5"/>
  <c r="A1" i="5"/>
  <c r="B86" i="5"/>
  <c r="B86" i="9"/>
  <c r="B84" i="5"/>
  <c r="B84" i="9"/>
  <c r="B72" i="5"/>
  <c r="B72" i="9"/>
  <c r="B71" i="5"/>
  <c r="B71" i="9"/>
  <c r="B70" i="5"/>
  <c r="B70" i="9"/>
  <c r="B66" i="5"/>
  <c r="B66" i="9"/>
  <c r="B16" i="9"/>
  <c r="B17" i="9"/>
  <c r="B19" i="9"/>
  <c r="B29" i="9"/>
  <c r="B31" i="9"/>
  <c r="B15" i="9"/>
  <c r="B13" i="9"/>
  <c r="B11" i="9"/>
  <c r="C39" i="9"/>
  <c r="C62" i="9"/>
  <c r="E39" i="9"/>
  <c r="E62" i="9"/>
  <c r="M12" i="31"/>
  <c r="M13" i="31"/>
  <c r="M14" i="31"/>
  <c r="M15" i="31"/>
  <c r="M16" i="31"/>
  <c r="M17" i="31"/>
  <c r="M18" i="31"/>
  <c r="M19" i="31"/>
  <c r="A12" i="9"/>
  <c r="A13" i="9"/>
  <c r="A14" i="9"/>
  <c r="A15" i="9"/>
  <c r="A16" i="9"/>
  <c r="A17" i="9"/>
  <c r="A18" i="9"/>
  <c r="A19" i="9"/>
  <c r="A12" i="5"/>
  <c r="A13" i="5"/>
  <c r="A14" i="5"/>
  <c r="A15" i="5"/>
  <c r="A16" i="5"/>
  <c r="A17" i="5"/>
  <c r="A18" i="5"/>
  <c r="A19" i="5"/>
  <c r="I39" i="31"/>
  <c r="I62" i="31"/>
  <c r="G39" i="31"/>
  <c r="G62" i="31"/>
  <c r="E39" i="31"/>
  <c r="E62" i="31"/>
  <c r="C39" i="31"/>
  <c r="C62" i="31"/>
  <c r="A12" i="31"/>
  <c r="A13" i="31"/>
  <c r="A14" i="31"/>
  <c r="A15" i="31"/>
  <c r="A16" i="31"/>
  <c r="A17" i="31"/>
  <c r="A18" i="31"/>
  <c r="A19" i="31"/>
  <c r="A4" i="31"/>
  <c r="K11" i="29"/>
  <c r="K12" i="29"/>
  <c r="K13" i="29"/>
  <c r="K14" i="29"/>
  <c r="K15" i="29"/>
  <c r="K16" i="29"/>
  <c r="K17" i="29"/>
  <c r="K18" i="29"/>
  <c r="K19" i="29"/>
  <c r="A11" i="29"/>
  <c r="A12" i="29"/>
  <c r="A13" i="29"/>
  <c r="A14" i="29"/>
  <c r="A15" i="29"/>
  <c r="A16" i="29"/>
  <c r="A17" i="29"/>
  <c r="A18" i="29"/>
  <c r="A19" i="29"/>
  <c r="B39" i="2"/>
  <c r="A11" i="30"/>
  <c r="A12" i="30"/>
  <c r="A13" i="30"/>
  <c r="A14" i="30"/>
  <c r="A15" i="30"/>
  <c r="A16" i="30"/>
  <c r="A17" i="30"/>
  <c r="A18" i="30"/>
  <c r="A19" i="30"/>
  <c r="K11" i="30"/>
  <c r="K12" i="30"/>
  <c r="K13" i="30"/>
  <c r="K14" i="30"/>
  <c r="K15" i="30"/>
  <c r="K16" i="30"/>
  <c r="K17" i="30"/>
  <c r="K18" i="30"/>
  <c r="K19" i="30"/>
  <c r="K11" i="18"/>
  <c r="K12" i="18"/>
  <c r="K13" i="18"/>
  <c r="K14" i="18"/>
  <c r="K15" i="18"/>
  <c r="K16" i="18"/>
  <c r="K17" i="18"/>
  <c r="K18" i="18"/>
  <c r="K19" i="18"/>
  <c r="A11" i="18"/>
  <c r="A12" i="18"/>
  <c r="A13" i="18"/>
  <c r="A14" i="18"/>
  <c r="A15" i="18"/>
  <c r="A16" i="18"/>
  <c r="A17" i="18"/>
  <c r="A18" i="18"/>
  <c r="A19" i="18"/>
  <c r="D12" i="18"/>
  <c r="A3" i="30"/>
  <c r="A2" i="30"/>
  <c r="A1" i="30"/>
  <c r="A3" i="18"/>
  <c r="A2" i="18"/>
  <c r="A1" i="18"/>
  <c r="H30" i="6"/>
  <c r="H33" i="30"/>
  <c r="G30" i="6"/>
  <c r="G41" i="29"/>
  <c r="F30" i="6"/>
  <c r="E30" i="6"/>
  <c r="E41" i="29"/>
  <c r="D30" i="6"/>
  <c r="D35" i="19"/>
  <c r="C30" i="6"/>
  <c r="C33" i="39"/>
  <c r="H8" i="6"/>
  <c r="H8" i="40"/>
  <c r="G8" i="6"/>
  <c r="G8" i="39"/>
  <c r="F8" i="6"/>
  <c r="F8" i="40"/>
  <c r="E8" i="6"/>
  <c r="E8" i="18"/>
  <c r="D8" i="6"/>
  <c r="D8" i="18"/>
  <c r="C8" i="6"/>
  <c r="C8" i="36"/>
  <c r="A3" i="29"/>
  <c r="A2" i="29"/>
  <c r="A1" i="29"/>
  <c r="A3" i="27"/>
  <c r="A2" i="27"/>
  <c r="A1" i="27"/>
  <c r="K11" i="19"/>
  <c r="K12" i="19"/>
  <c r="K13" i="19"/>
  <c r="K14" i="19"/>
  <c r="K15" i="19"/>
  <c r="K16" i="19"/>
  <c r="K17" i="19"/>
  <c r="K18" i="19"/>
  <c r="K19" i="19"/>
  <c r="A11" i="19"/>
  <c r="A12" i="19"/>
  <c r="A13" i="19"/>
  <c r="A14" i="19"/>
  <c r="A15" i="19"/>
  <c r="A16" i="19"/>
  <c r="A17" i="19"/>
  <c r="A18" i="19"/>
  <c r="A19" i="19"/>
  <c r="A3" i="19"/>
  <c r="A2" i="19"/>
  <c r="A1" i="19"/>
  <c r="A4" i="23"/>
  <c r="A5" i="23"/>
  <c r="A6" i="23"/>
  <c r="P4" i="23"/>
  <c r="P5" i="23"/>
  <c r="P6" i="23"/>
  <c r="P7" i="23"/>
  <c r="P8" i="23"/>
  <c r="P9" i="23"/>
  <c r="P10" i="23"/>
  <c r="P11" i="23"/>
  <c r="P12" i="23"/>
  <c r="A4" i="2"/>
  <c r="B34" i="2"/>
  <c r="B32" i="2"/>
  <c r="B30" i="2"/>
  <c r="B16" i="2"/>
  <c r="B14" i="2"/>
  <c r="B12" i="2"/>
  <c r="B36" i="1"/>
  <c r="B34" i="1"/>
  <c r="B32" i="1"/>
  <c r="B36" i="7"/>
  <c r="B32" i="7"/>
  <c r="B16" i="1"/>
  <c r="B14" i="1"/>
  <c r="B14" i="7"/>
  <c r="B16" i="7"/>
  <c r="A3" i="1"/>
  <c r="A2" i="1"/>
  <c r="A1" i="1"/>
  <c r="A4" i="1"/>
  <c r="A3" i="7"/>
  <c r="A2" i="7"/>
  <c r="A1" i="7"/>
  <c r="A3" i="2"/>
  <c r="A2" i="2"/>
  <c r="A1" i="2"/>
  <c r="K12" i="9"/>
  <c r="K13" i="9"/>
  <c r="K14" i="9"/>
  <c r="K15" i="9"/>
  <c r="K16" i="9"/>
  <c r="K17" i="9"/>
  <c r="K18" i="9"/>
  <c r="K19" i="9"/>
  <c r="E34" i="7"/>
  <c r="A13" i="1"/>
  <c r="A14" i="1"/>
  <c r="A15" i="1"/>
  <c r="A16" i="1"/>
  <c r="A17" i="1"/>
  <c r="A18" i="1"/>
  <c r="A19" i="1"/>
  <c r="D12" i="2"/>
  <c r="D14" i="2"/>
  <c r="D30" i="2"/>
  <c r="C34" i="2"/>
  <c r="A14" i="25"/>
  <c r="A15" i="25"/>
  <c r="A16" i="25"/>
  <c r="A17" i="25"/>
  <c r="A18" i="25"/>
  <c r="A19" i="25"/>
  <c r="K12" i="5"/>
  <c r="K13" i="5"/>
  <c r="K14" i="5"/>
  <c r="K15" i="5"/>
  <c r="K16" i="5"/>
  <c r="K17" i="5"/>
  <c r="K18" i="5"/>
  <c r="K19" i="5"/>
  <c r="D32" i="2"/>
  <c r="C34" i="1"/>
  <c r="I39" i="9"/>
  <c r="I62" i="9"/>
  <c r="G39" i="9"/>
  <c r="G62" i="9"/>
  <c r="E13" i="2"/>
  <c r="E14" i="2"/>
  <c r="E15" i="2"/>
  <c r="E16" i="2"/>
  <c r="E17" i="2"/>
  <c r="E18" i="2"/>
  <c r="E19" i="2"/>
  <c r="A13" i="2"/>
  <c r="A14" i="2"/>
  <c r="A15" i="2"/>
  <c r="A16" i="2"/>
  <c r="A17" i="2"/>
  <c r="A18" i="2"/>
  <c r="A19" i="2"/>
  <c r="O13" i="1"/>
  <c r="O14" i="1"/>
  <c r="O15" i="1"/>
  <c r="O16" i="1"/>
  <c r="O17" i="1"/>
  <c r="O18" i="1"/>
  <c r="O19" i="1"/>
  <c r="O13" i="7"/>
  <c r="O14" i="7"/>
  <c r="O15" i="7"/>
  <c r="O16" i="7"/>
  <c r="O17" i="7"/>
  <c r="O18" i="7"/>
  <c r="O19" i="7"/>
  <c r="A13" i="7"/>
  <c r="A14" i="7"/>
  <c r="A15" i="7"/>
  <c r="A16" i="7"/>
  <c r="A17" i="7"/>
  <c r="A18" i="7"/>
  <c r="A19" i="7"/>
  <c r="E12" i="18"/>
  <c r="F12" i="18"/>
  <c r="G12" i="18"/>
  <c r="H12" i="18"/>
  <c r="C41" i="18"/>
  <c r="D41" i="18"/>
  <c r="D84" i="5"/>
  <c r="H84" i="5"/>
  <c r="J66" i="5"/>
  <c r="J84" i="5"/>
  <c r="J84" i="9"/>
  <c r="F84" i="5"/>
  <c r="F66" i="5"/>
  <c r="H66" i="5"/>
  <c r="C14" i="7"/>
  <c r="G14" i="19"/>
  <c r="G30" i="1"/>
  <c r="G13" i="19"/>
  <c r="D40" i="19"/>
  <c r="N202" i="23"/>
  <c r="N36" i="1"/>
  <c r="E14" i="19"/>
  <c r="C40" i="19"/>
  <c r="I202" i="23"/>
  <c r="D36" i="1"/>
  <c r="E13" i="19"/>
  <c r="I30" i="1"/>
  <c r="L171" i="23"/>
  <c r="K29" i="7"/>
  <c r="C32" i="1"/>
  <c r="M30" i="1"/>
  <c r="G171" i="23"/>
  <c r="I32" i="1"/>
  <c r="H100" i="23"/>
  <c r="H109" i="23"/>
  <c r="D100" i="23"/>
  <c r="H177" i="23"/>
  <c r="I171" i="23"/>
  <c r="E29" i="7"/>
  <c r="M27" i="23"/>
  <c r="M36" i="23"/>
  <c r="M46" i="23"/>
  <c r="I27" i="23"/>
  <c r="I14" i="1"/>
  <c r="E27" i="23"/>
  <c r="E37" i="23"/>
  <c r="E47" i="23"/>
  <c r="M14" i="7"/>
  <c r="E14" i="7"/>
  <c r="K202" i="23"/>
  <c r="H36" i="1"/>
  <c r="G34" i="7"/>
  <c r="C30" i="7"/>
  <c r="C171" i="23"/>
  <c r="J202" i="23"/>
  <c r="F36" i="1"/>
  <c r="F13" i="19"/>
  <c r="F202" i="23"/>
  <c r="J36" i="7"/>
  <c r="G177" i="23"/>
  <c r="M202" i="23"/>
  <c r="L36" i="1"/>
  <c r="G40" i="19"/>
  <c r="M32" i="7"/>
  <c r="J177" i="23"/>
  <c r="C14" i="19"/>
  <c r="C202" i="23"/>
  <c r="D36" i="7"/>
  <c r="I29" i="7"/>
  <c r="M177" i="23"/>
  <c r="E30" i="7"/>
  <c r="D171" i="23"/>
  <c r="E8" i="30"/>
  <c r="H42" i="19"/>
  <c r="N63" i="23"/>
  <c r="N83" i="23"/>
  <c r="C110" i="23"/>
  <c r="C140" i="23"/>
  <c r="G8" i="27"/>
  <c r="G8" i="36"/>
  <c r="E35" i="19"/>
  <c r="E41" i="40"/>
  <c r="E33" i="27"/>
  <c r="F8" i="39"/>
  <c r="P13" i="23"/>
  <c r="P14" i="23"/>
  <c r="P15" i="23"/>
  <c r="P16" i="23"/>
  <c r="P17" i="23"/>
  <c r="P18" i="23"/>
  <c r="P19" i="23"/>
  <c r="P20" i="23"/>
  <c r="K180" i="23"/>
  <c r="K190" i="23"/>
  <c r="C13" i="9"/>
  <c r="E29" i="5"/>
  <c r="F40" i="36"/>
  <c r="C8" i="18"/>
  <c r="C8" i="19"/>
  <c r="G8" i="40"/>
  <c r="E37" i="36"/>
  <c r="G8" i="30"/>
  <c r="H35" i="19"/>
  <c r="F8" i="30"/>
  <c r="G8" i="29"/>
  <c r="E37" i="18"/>
  <c r="F170" i="23"/>
  <c r="G8" i="18"/>
  <c r="E33" i="39"/>
  <c r="E33" i="30"/>
  <c r="K109" i="23"/>
  <c r="K119" i="23"/>
  <c r="C108" i="23"/>
  <c r="C128" i="23"/>
  <c r="K108" i="23"/>
  <c r="K128" i="23"/>
  <c r="A7" i="23"/>
  <c r="A8" i="23"/>
  <c r="A9" i="23"/>
  <c r="A10" i="23"/>
  <c r="A11" i="23"/>
  <c r="A12" i="23"/>
  <c r="C33" i="30"/>
  <c r="E8" i="27"/>
  <c r="E197" i="23"/>
  <c r="E206" i="23"/>
  <c r="E170" i="23"/>
  <c r="H197" i="23"/>
  <c r="H206" i="23"/>
  <c r="N62" i="23"/>
  <c r="L37" i="23"/>
  <c r="L47" i="23"/>
  <c r="L35" i="23"/>
  <c r="B42" i="1"/>
  <c r="F8" i="36"/>
  <c r="F8" i="27"/>
  <c r="H41" i="29"/>
  <c r="F8" i="19"/>
  <c r="D8" i="40"/>
  <c r="D33" i="39"/>
  <c r="F8" i="18"/>
  <c r="F8" i="29"/>
  <c r="E27" i="5"/>
  <c r="E13" i="31"/>
  <c r="E27" i="31"/>
  <c r="C40" i="36"/>
  <c r="H11" i="36"/>
  <c r="E40" i="36"/>
  <c r="I11" i="5"/>
  <c r="G11" i="36"/>
  <c r="G13" i="36"/>
  <c r="D31" i="5"/>
  <c r="G13" i="9"/>
  <c r="D180" i="23"/>
  <c r="D190" i="23"/>
  <c r="E29" i="9"/>
  <c r="C11" i="31"/>
  <c r="L179" i="23"/>
  <c r="L189" i="23"/>
  <c r="C27" i="31"/>
  <c r="E181" i="23"/>
  <c r="E191" i="23"/>
  <c r="I11" i="9"/>
  <c r="E8" i="36"/>
  <c r="C41" i="40"/>
  <c r="E8" i="39"/>
  <c r="E8" i="29"/>
  <c r="L180" i="23"/>
  <c r="L190" i="23"/>
  <c r="C33" i="27"/>
  <c r="C41" i="29"/>
  <c r="C37" i="36"/>
  <c r="E8" i="40"/>
  <c r="C37" i="18"/>
  <c r="C35" i="19"/>
  <c r="I108" i="23"/>
  <c r="I118" i="23"/>
  <c r="I74" i="23"/>
  <c r="M37" i="23"/>
  <c r="M47" i="23"/>
  <c r="H37" i="23"/>
  <c r="H47" i="23"/>
  <c r="G36" i="23"/>
  <c r="G46" i="23"/>
  <c r="E180" i="23"/>
  <c r="E190" i="23"/>
  <c r="I147" i="23"/>
  <c r="G37" i="36"/>
  <c r="G33" i="39"/>
  <c r="G35" i="19"/>
  <c r="G33" i="30"/>
  <c r="G41" i="40"/>
  <c r="G37" i="18"/>
  <c r="G33" i="27"/>
  <c r="G8" i="19"/>
  <c r="E8" i="19"/>
  <c r="C8" i="40"/>
  <c r="C8" i="30"/>
  <c r="C8" i="29"/>
  <c r="C8" i="27"/>
  <c r="C8" i="39"/>
  <c r="G170" i="23"/>
  <c r="G197" i="23"/>
  <c r="G206" i="23"/>
  <c r="K170" i="23"/>
  <c r="F62" i="23"/>
  <c r="F72" i="23"/>
  <c r="N197" i="23"/>
  <c r="N206" i="23"/>
  <c r="N170" i="23"/>
  <c r="M170" i="23"/>
  <c r="M197" i="23"/>
  <c r="M206" i="23"/>
  <c r="C197" i="23"/>
  <c r="C206" i="23"/>
  <c r="C170" i="23"/>
  <c r="C37" i="23"/>
  <c r="C47" i="23"/>
  <c r="N84" i="23"/>
  <c r="B41" i="1"/>
  <c r="H33" i="27"/>
  <c r="H41" i="40"/>
  <c r="D33" i="30"/>
  <c r="L147" i="23"/>
  <c r="H37" i="18"/>
  <c r="D41" i="40"/>
  <c r="H37" i="36"/>
  <c r="D33" i="27"/>
  <c r="D37" i="18"/>
  <c r="D41" i="29"/>
  <c r="H33" i="39"/>
  <c r="D37" i="36"/>
  <c r="F108" i="23"/>
  <c r="F138" i="23"/>
  <c r="F12" i="40"/>
  <c r="K181" i="23"/>
  <c r="K191" i="23"/>
  <c r="L93" i="23"/>
  <c r="F38" i="39"/>
  <c r="H179" i="23"/>
  <c r="H189" i="23"/>
  <c r="I94" i="23"/>
  <c r="C39" i="39"/>
  <c r="I63" i="23"/>
  <c r="I83" i="23"/>
  <c r="D43" i="19"/>
  <c r="H31" i="9"/>
  <c r="E15" i="19"/>
  <c r="J31" i="31"/>
  <c r="C42" i="19"/>
  <c r="D31" i="31"/>
  <c r="C16" i="19"/>
  <c r="L139" i="23"/>
  <c r="F46" i="40"/>
  <c r="D181" i="23"/>
  <c r="D191" i="23"/>
  <c r="D11" i="36"/>
  <c r="D13" i="36"/>
  <c r="C11" i="9"/>
  <c r="I27" i="31"/>
  <c r="G29" i="31"/>
  <c r="I29" i="31"/>
  <c r="G27" i="9"/>
  <c r="G26" i="31"/>
  <c r="G26" i="9"/>
  <c r="F46" i="18"/>
  <c r="I13" i="31"/>
  <c r="I11" i="31"/>
  <c r="L181" i="23"/>
  <c r="L191" i="23"/>
  <c r="H181" i="23"/>
  <c r="H191" i="23"/>
  <c r="I26" i="5"/>
  <c r="E36" i="23"/>
  <c r="E46" i="23"/>
  <c r="E26" i="5"/>
  <c r="G29" i="9"/>
  <c r="C26" i="9"/>
  <c r="E11" i="5"/>
  <c r="F38" i="27"/>
  <c r="I13" i="9"/>
  <c r="I29" i="9"/>
  <c r="I27" i="5"/>
  <c r="E26" i="31"/>
  <c r="E26" i="9"/>
  <c r="C13" i="31"/>
  <c r="K63" i="23"/>
  <c r="K93" i="23"/>
  <c r="E38" i="39"/>
  <c r="E13" i="9"/>
  <c r="I180" i="23"/>
  <c r="I190" i="23"/>
  <c r="E29" i="31"/>
  <c r="F46" i="29"/>
  <c r="E11" i="9"/>
  <c r="G26" i="5"/>
  <c r="G18" i="18"/>
  <c r="I13" i="5"/>
  <c r="H180" i="23"/>
  <c r="H190" i="23"/>
  <c r="G13" i="31"/>
  <c r="I29" i="5"/>
  <c r="G27" i="31"/>
  <c r="G27" i="5"/>
  <c r="C26" i="31"/>
  <c r="G11" i="9"/>
  <c r="K64" i="23"/>
  <c r="K94" i="23"/>
  <c r="E39" i="39"/>
  <c r="J63" i="23"/>
  <c r="J73" i="23"/>
  <c r="G46" i="18"/>
  <c r="E13" i="5"/>
  <c r="E18" i="18"/>
  <c r="E27" i="9"/>
  <c r="E11" i="36"/>
  <c r="E13" i="36"/>
  <c r="E11" i="31"/>
  <c r="G29" i="5"/>
  <c r="K179" i="23"/>
  <c r="K189" i="23"/>
  <c r="I26" i="31"/>
  <c r="I26" i="9"/>
  <c r="C39" i="27"/>
  <c r="C27" i="5"/>
  <c r="C129" i="23"/>
  <c r="C179" i="23"/>
  <c r="C189" i="23"/>
  <c r="C26" i="5"/>
  <c r="C11" i="5"/>
  <c r="N181" i="23"/>
  <c r="N191" i="23"/>
  <c r="N180" i="23"/>
  <c r="N190" i="23"/>
  <c r="H40" i="36"/>
  <c r="N179" i="23"/>
  <c r="N189" i="23"/>
  <c r="G72" i="23"/>
  <c r="G92" i="23"/>
  <c r="G12" i="39"/>
  <c r="N138" i="23"/>
  <c r="H45" i="40"/>
  <c r="N118" i="23"/>
  <c r="N128" i="23"/>
  <c r="J108" i="23"/>
  <c r="J128" i="23"/>
  <c r="J109" i="23"/>
  <c r="J119" i="23"/>
  <c r="M62" i="23"/>
  <c r="M82" i="23"/>
  <c r="M64" i="23"/>
  <c r="M84" i="23"/>
  <c r="M147" i="23"/>
  <c r="M63" i="23"/>
  <c r="M93" i="23"/>
  <c r="I120" i="23"/>
  <c r="I130" i="23"/>
  <c r="H64" i="23"/>
  <c r="H147" i="23"/>
  <c r="H63" i="23"/>
  <c r="H62" i="23"/>
  <c r="H82" i="23"/>
  <c r="D64" i="23"/>
  <c r="D94" i="23"/>
  <c r="D62" i="23"/>
  <c r="D63" i="23"/>
  <c r="D83" i="23"/>
  <c r="K35" i="23"/>
  <c r="K36" i="23"/>
  <c r="K46" i="23"/>
  <c r="K147" i="23"/>
  <c r="E42" i="19"/>
  <c r="K140" i="23"/>
  <c r="E47" i="40"/>
  <c r="G63" i="23"/>
  <c r="K37" i="23"/>
  <c r="K47" i="23"/>
  <c r="M35" i="23"/>
  <c r="G64" i="23"/>
  <c r="G94" i="23"/>
  <c r="G14" i="39"/>
  <c r="I62" i="23"/>
  <c r="I82" i="23"/>
  <c r="J110" i="23"/>
  <c r="F110" i="23"/>
  <c r="F120" i="23"/>
  <c r="M109" i="23"/>
  <c r="M129" i="23"/>
  <c r="K177" i="23"/>
  <c r="F177" i="23"/>
  <c r="I179" i="23"/>
  <c r="I189" i="23"/>
  <c r="E179" i="23"/>
  <c r="E189" i="23"/>
  <c r="L119" i="23"/>
  <c r="K130" i="23"/>
  <c r="E110" i="23"/>
  <c r="D179" i="23"/>
  <c r="D189" i="23"/>
  <c r="H36" i="23"/>
  <c r="C43" i="19"/>
  <c r="L62" i="23"/>
  <c r="L92" i="23"/>
  <c r="F37" i="39"/>
  <c r="L73" i="23"/>
  <c r="K120" i="23"/>
  <c r="I181" i="23"/>
  <c r="I191" i="23"/>
  <c r="C36" i="23"/>
  <c r="C46" i="23"/>
  <c r="E108" i="23"/>
  <c r="E118" i="23"/>
  <c r="I37" i="23"/>
  <c r="F171" i="23"/>
  <c r="L177" i="23"/>
  <c r="G15" i="19"/>
  <c r="L151" i="23"/>
  <c r="C181" i="23"/>
  <c r="C191" i="23"/>
  <c r="F15" i="19"/>
  <c r="G35" i="23"/>
  <c r="L64" i="23"/>
  <c r="L84" i="23"/>
  <c r="E35" i="23"/>
  <c r="E45" i="23"/>
  <c r="J62" i="23"/>
  <c r="J82" i="23"/>
  <c r="L170" i="23"/>
  <c r="L197" i="23"/>
  <c r="L206" i="23"/>
  <c r="J171" i="23"/>
  <c r="E30" i="1"/>
  <c r="D202" i="23"/>
  <c r="F36" i="7"/>
  <c r="J31" i="5"/>
  <c r="F16" i="19"/>
  <c r="C27" i="2"/>
  <c r="G82" i="23"/>
  <c r="D197" i="23"/>
  <c r="D206" i="23"/>
  <c r="D170" i="23"/>
  <c r="C32" i="7"/>
  <c r="O16" i="23"/>
  <c r="C54" i="23"/>
  <c r="O17" i="23"/>
  <c r="K34" i="7"/>
  <c r="C32" i="2"/>
  <c r="G32" i="1"/>
  <c r="K32" i="7"/>
  <c r="E62" i="23"/>
  <c r="E64" i="23"/>
  <c r="E147" i="23"/>
  <c r="E63" i="23"/>
  <c r="K72" i="23"/>
  <c r="K92" i="23"/>
  <c r="E43" i="19"/>
  <c r="G43" i="19"/>
  <c r="H31" i="31"/>
  <c r="D31" i="9"/>
  <c r="G16" i="19"/>
  <c r="J36" i="23"/>
  <c r="J46" i="23"/>
  <c r="J37" i="23"/>
  <c r="J47" i="23"/>
  <c r="J35" i="23"/>
  <c r="I140" i="23"/>
  <c r="C47" i="40"/>
  <c r="F74" i="23"/>
  <c r="F94" i="23"/>
  <c r="F14" i="39"/>
  <c r="J31" i="9"/>
  <c r="C11" i="36"/>
  <c r="M171" i="23"/>
  <c r="G181" i="23"/>
  <c r="G191" i="23"/>
  <c r="G180" i="23"/>
  <c r="G190" i="23"/>
  <c r="G179" i="23"/>
  <c r="D37" i="23"/>
  <c r="D47" i="23"/>
  <c r="D36" i="23"/>
  <c r="D46" i="23"/>
  <c r="D35" i="23"/>
  <c r="D8" i="36"/>
  <c r="D8" i="19"/>
  <c r="D8" i="39"/>
  <c r="D8" i="29"/>
  <c r="D8" i="27"/>
  <c r="D8" i="30"/>
  <c r="J170" i="23"/>
  <c r="J197" i="23"/>
  <c r="J206" i="23"/>
  <c r="N27" i="23"/>
  <c r="F27" i="23"/>
  <c r="F147" i="23"/>
  <c r="G14" i="7"/>
  <c r="I41" i="19"/>
  <c r="N74" i="23"/>
  <c r="L84" i="31"/>
  <c r="H12" i="36"/>
  <c r="C41" i="36"/>
  <c r="D41" i="36"/>
  <c r="E41" i="36"/>
  <c r="F41" i="36"/>
  <c r="G41" i="36"/>
  <c r="H41" i="36"/>
  <c r="N110" i="23"/>
  <c r="N140" i="23"/>
  <c r="H47" i="40"/>
  <c r="N109" i="23"/>
  <c r="I170" i="23"/>
  <c r="I197" i="23"/>
  <c r="I206" i="23"/>
  <c r="K30" i="7"/>
  <c r="O15" i="23"/>
  <c r="J147" i="23"/>
  <c r="G100" i="23"/>
  <c r="O100" i="23"/>
  <c r="F63" i="23"/>
  <c r="D42" i="19"/>
  <c r="L108" i="23"/>
  <c r="I177" i="23"/>
  <c r="H108" i="23"/>
  <c r="H43" i="19"/>
  <c r="I109" i="23"/>
  <c r="L68" i="31"/>
  <c r="C177" i="23"/>
  <c r="H45" i="23"/>
  <c r="C15" i="19"/>
  <c r="E41" i="18"/>
  <c r="F41" i="18"/>
  <c r="G41" i="18"/>
  <c r="D108" i="23"/>
  <c r="D110" i="23"/>
  <c r="D147" i="23"/>
  <c r="D109" i="23"/>
  <c r="F119" i="23"/>
  <c r="F129" i="23"/>
  <c r="F139" i="23"/>
  <c r="C45" i="23"/>
  <c r="E119" i="23"/>
  <c r="E139" i="23"/>
  <c r="E129" i="23"/>
  <c r="F84" i="23"/>
  <c r="C139" i="23"/>
  <c r="G42" i="19"/>
  <c r="H8" i="30"/>
  <c r="H8" i="19"/>
  <c r="H8" i="18"/>
  <c r="H8" i="36"/>
  <c r="H8" i="27"/>
  <c r="H8" i="39"/>
  <c r="H8" i="29"/>
  <c r="F41" i="40"/>
  <c r="F33" i="30"/>
  <c r="F37" i="18"/>
  <c r="F37" i="36"/>
  <c r="F41" i="29"/>
  <c r="F33" i="27"/>
  <c r="F33" i="39"/>
  <c r="L202" i="23"/>
  <c r="J36" i="1"/>
  <c r="H202" i="23"/>
  <c r="N36" i="7"/>
  <c r="O200" i="23"/>
  <c r="H129" i="23"/>
  <c r="H139" i="23"/>
  <c r="H119" i="23"/>
  <c r="C180" i="23"/>
  <c r="D13" i="19"/>
  <c r="E202" i="23"/>
  <c r="H36" i="7"/>
  <c r="O199" i="23"/>
  <c r="F35" i="19"/>
  <c r="C13" i="5"/>
  <c r="L66" i="31"/>
  <c r="H110" i="23"/>
  <c r="J64" i="23"/>
  <c r="I36" i="23"/>
  <c r="I35" i="23"/>
  <c r="K82" i="23"/>
  <c r="L110" i="23"/>
  <c r="M110" i="23"/>
  <c r="M108" i="23"/>
  <c r="M138" i="23"/>
  <c r="E177" i="23"/>
  <c r="N93" i="23"/>
  <c r="H38" i="39"/>
  <c r="N73" i="23"/>
  <c r="H44" i="19"/>
  <c r="C130" i="23"/>
  <c r="N65" i="23"/>
  <c r="C14" i="40"/>
  <c r="C120" i="23"/>
  <c r="D14" i="39"/>
  <c r="J156" i="23"/>
  <c r="D38" i="30"/>
  <c r="F38" i="30"/>
  <c r="L156" i="23"/>
  <c r="A13" i="23"/>
  <c r="A14" i="23"/>
  <c r="A15" i="23"/>
  <c r="A16" i="23"/>
  <c r="A17" i="23"/>
  <c r="A18" i="23"/>
  <c r="A19" i="23"/>
  <c r="A20" i="23"/>
  <c r="E46" i="36"/>
  <c r="K139" i="23"/>
  <c r="E46" i="40"/>
  <c r="F11" i="36"/>
  <c r="F13" i="36"/>
  <c r="F47" i="18"/>
  <c r="E11" i="18"/>
  <c r="C12" i="29"/>
  <c r="C138" i="23"/>
  <c r="C118" i="23"/>
  <c r="K129" i="23"/>
  <c r="K111" i="23"/>
  <c r="K118" i="23"/>
  <c r="K121" i="23"/>
  <c r="K138" i="23"/>
  <c r="E45" i="40"/>
  <c r="C111" i="23"/>
  <c r="K150" i="23"/>
  <c r="L38" i="23"/>
  <c r="N82" i="23"/>
  <c r="N72" i="23"/>
  <c r="N92" i="23"/>
  <c r="H37" i="39"/>
  <c r="L45" i="23"/>
  <c r="C39" i="30"/>
  <c r="L182" i="23"/>
  <c r="D44" i="19"/>
  <c r="H16" i="36"/>
  <c r="F40" i="18"/>
  <c r="C16" i="1"/>
  <c r="E18" i="36"/>
  <c r="F45" i="36"/>
  <c r="D17" i="36"/>
  <c r="C40" i="18"/>
  <c r="C18" i="36"/>
  <c r="F181" i="23"/>
  <c r="F191" i="23"/>
  <c r="C46" i="36"/>
  <c r="E17" i="36"/>
  <c r="F46" i="36"/>
  <c r="D18" i="36"/>
  <c r="G18" i="36"/>
  <c r="C47" i="36"/>
  <c r="E182" i="23"/>
  <c r="E44" i="19"/>
  <c r="E16" i="36"/>
  <c r="H46" i="36"/>
  <c r="H17" i="36"/>
  <c r="H18" i="36"/>
  <c r="G47" i="18"/>
  <c r="C38" i="27"/>
  <c r="E47" i="36"/>
  <c r="H39" i="27"/>
  <c r="G17" i="18"/>
  <c r="G17" i="36"/>
  <c r="H12" i="27"/>
  <c r="H47" i="36"/>
  <c r="F47" i="36"/>
  <c r="C18" i="18"/>
  <c r="H18" i="18"/>
  <c r="J150" i="23"/>
  <c r="M119" i="23"/>
  <c r="J93" i="23"/>
  <c r="D38" i="39"/>
  <c r="J72" i="23"/>
  <c r="D84" i="23"/>
  <c r="J138" i="23"/>
  <c r="D45" i="40"/>
  <c r="K182" i="23"/>
  <c r="I93" i="23"/>
  <c r="C38" i="39"/>
  <c r="I73" i="23"/>
  <c r="I138" i="23"/>
  <c r="C45" i="40"/>
  <c r="D74" i="23"/>
  <c r="L72" i="23"/>
  <c r="I128" i="23"/>
  <c r="J83" i="23"/>
  <c r="H150" i="23"/>
  <c r="E38" i="23"/>
  <c r="C44" i="19"/>
  <c r="J65" i="23"/>
  <c r="I72" i="23"/>
  <c r="M139" i="23"/>
  <c r="G46" i="40"/>
  <c r="J129" i="23"/>
  <c r="M151" i="23"/>
  <c r="K74" i="23"/>
  <c r="L150" i="23"/>
  <c r="K84" i="23"/>
  <c r="H38" i="23"/>
  <c r="K26" i="31"/>
  <c r="F17" i="19"/>
  <c r="G44" i="19"/>
  <c r="G17" i="19"/>
  <c r="K192" i="23"/>
  <c r="H30" i="1"/>
  <c r="I192" i="23"/>
  <c r="D30" i="1"/>
  <c r="J139" i="23"/>
  <c r="D46" i="40"/>
  <c r="F140" i="23"/>
  <c r="F14" i="40"/>
  <c r="F130" i="23"/>
  <c r="J118" i="23"/>
  <c r="I92" i="23"/>
  <c r="G65" i="23"/>
  <c r="K83" i="23"/>
  <c r="F92" i="23"/>
  <c r="F12" i="39"/>
  <c r="D73" i="23"/>
  <c r="K73" i="23"/>
  <c r="D93" i="23"/>
  <c r="F82" i="23"/>
  <c r="J151" i="23"/>
  <c r="I16" i="1"/>
  <c r="F118" i="23"/>
  <c r="F12" i="30"/>
  <c r="N182" i="23"/>
  <c r="E128" i="23"/>
  <c r="F128" i="23"/>
  <c r="F111" i="23"/>
  <c r="M65" i="23"/>
  <c r="K65" i="23"/>
  <c r="L65" i="23"/>
  <c r="H182" i="23"/>
  <c r="N192" i="23"/>
  <c r="N30" i="1"/>
  <c r="M92" i="23"/>
  <c r="G37" i="39"/>
  <c r="E48" i="23"/>
  <c r="H17" i="7"/>
  <c r="C17" i="19"/>
  <c r="E192" i="23"/>
  <c r="N120" i="23"/>
  <c r="H39" i="30"/>
  <c r="G16" i="7"/>
  <c r="C29" i="9"/>
  <c r="E16" i="18"/>
  <c r="E47" i="18"/>
  <c r="E46" i="18"/>
  <c r="G37" i="27"/>
  <c r="H45" i="36"/>
  <c r="K152" i="23"/>
  <c r="E45" i="36"/>
  <c r="E45" i="29"/>
  <c r="C45" i="36"/>
  <c r="C47" i="29"/>
  <c r="G46" i="29"/>
  <c r="D17" i="18"/>
  <c r="F14" i="30"/>
  <c r="D46" i="18"/>
  <c r="I27" i="9"/>
  <c r="F179" i="23"/>
  <c r="F189" i="23"/>
  <c r="E47" i="29"/>
  <c r="D13" i="27"/>
  <c r="D45" i="29"/>
  <c r="H38" i="27"/>
  <c r="H13" i="40"/>
  <c r="F14" i="27"/>
  <c r="G13" i="5"/>
  <c r="K13" i="31"/>
  <c r="D18" i="18"/>
  <c r="F39" i="27"/>
  <c r="D16" i="36"/>
  <c r="D65" i="23"/>
  <c r="G39" i="27"/>
  <c r="H45" i="29"/>
  <c r="C182" i="23"/>
  <c r="C13" i="29"/>
  <c r="C17" i="18"/>
  <c r="O18" i="23"/>
  <c r="N130" i="23"/>
  <c r="G45" i="23"/>
  <c r="G38" i="23"/>
  <c r="I152" i="23"/>
  <c r="I47" i="23"/>
  <c r="L82" i="23"/>
  <c r="M45" i="23"/>
  <c r="M38" i="23"/>
  <c r="E138" i="23"/>
  <c r="E12" i="40"/>
  <c r="K45" i="23"/>
  <c r="K38" i="23"/>
  <c r="H92" i="23"/>
  <c r="H65" i="23"/>
  <c r="H72" i="23"/>
  <c r="M83" i="23"/>
  <c r="M73" i="23"/>
  <c r="D182" i="23"/>
  <c r="I39" i="19"/>
  <c r="E111" i="23"/>
  <c r="C38" i="23"/>
  <c r="J92" i="23"/>
  <c r="D37" i="39"/>
  <c r="M72" i="23"/>
  <c r="H42" i="36"/>
  <c r="F180" i="23"/>
  <c r="D82" i="23"/>
  <c r="I65" i="23"/>
  <c r="M74" i="23"/>
  <c r="L94" i="23"/>
  <c r="F39" i="39"/>
  <c r="F40" i="39"/>
  <c r="M94" i="23"/>
  <c r="G39" i="39"/>
  <c r="K151" i="23"/>
  <c r="I182" i="23"/>
  <c r="O27" i="23"/>
  <c r="E150" i="23"/>
  <c r="L74" i="23"/>
  <c r="E130" i="23"/>
  <c r="E120" i="23"/>
  <c r="E121" i="23"/>
  <c r="E140" i="23"/>
  <c r="E14" i="40"/>
  <c r="H83" i="23"/>
  <c r="H73" i="23"/>
  <c r="H93" i="23"/>
  <c r="K16" i="1"/>
  <c r="G40" i="18"/>
  <c r="H192" i="23"/>
  <c r="N30" i="7"/>
  <c r="H151" i="23"/>
  <c r="H46" i="23"/>
  <c r="J140" i="23"/>
  <c r="D47" i="40"/>
  <c r="J120" i="23"/>
  <c r="J130" i="23"/>
  <c r="E40" i="18"/>
  <c r="G16" i="1"/>
  <c r="D92" i="23"/>
  <c r="D72" i="23"/>
  <c r="M16" i="7"/>
  <c r="H11" i="18"/>
  <c r="J111" i="23"/>
  <c r="L192" i="23"/>
  <c r="J30" i="1"/>
  <c r="G74" i="23"/>
  <c r="G84" i="23"/>
  <c r="G83" i="23"/>
  <c r="G73" i="23"/>
  <c r="G93" i="23"/>
  <c r="H74" i="23"/>
  <c r="H84" i="23"/>
  <c r="H94" i="23"/>
  <c r="E16" i="1"/>
  <c r="D40" i="18"/>
  <c r="C13" i="36"/>
  <c r="E65" i="23"/>
  <c r="E73" i="23"/>
  <c r="E83" i="23"/>
  <c r="E93" i="23"/>
  <c r="E13" i="39"/>
  <c r="F65" i="23"/>
  <c r="F93" i="23"/>
  <c r="F73" i="23"/>
  <c r="F83" i="23"/>
  <c r="N129" i="23"/>
  <c r="N111" i="23"/>
  <c r="N119" i="23"/>
  <c r="C42" i="36"/>
  <c r="N35" i="23"/>
  <c r="N36" i="23"/>
  <c r="N46" i="23"/>
  <c r="N147" i="23"/>
  <c r="N37" i="23"/>
  <c r="G11" i="31"/>
  <c r="F31" i="5"/>
  <c r="D16" i="19"/>
  <c r="E151" i="23"/>
  <c r="H138" i="23"/>
  <c r="H118" i="23"/>
  <c r="H128" i="23"/>
  <c r="L138" i="23"/>
  <c r="F45" i="40"/>
  <c r="L128" i="23"/>
  <c r="L118" i="23"/>
  <c r="C27" i="9"/>
  <c r="C28" i="2"/>
  <c r="G182" i="23"/>
  <c r="G189" i="23"/>
  <c r="E84" i="23"/>
  <c r="E94" i="23"/>
  <c r="E14" i="39"/>
  <c r="E152" i="23"/>
  <c r="E74" i="23"/>
  <c r="O54" i="23"/>
  <c r="C62" i="23"/>
  <c r="C63" i="23"/>
  <c r="C64" i="23"/>
  <c r="O64" i="23"/>
  <c r="C147" i="23"/>
  <c r="N139" i="23"/>
  <c r="I16" i="7"/>
  <c r="F11" i="18"/>
  <c r="G40" i="36"/>
  <c r="G42" i="36"/>
  <c r="M180" i="23"/>
  <c r="M190" i="23"/>
  <c r="M181" i="23"/>
  <c r="M191" i="23"/>
  <c r="M179" i="23"/>
  <c r="H13" i="36"/>
  <c r="F42" i="36"/>
  <c r="E37" i="39"/>
  <c r="E40" i="39"/>
  <c r="K95" i="23"/>
  <c r="H21" i="1"/>
  <c r="E41" i="39"/>
  <c r="E42" i="36"/>
  <c r="J45" i="23"/>
  <c r="J38" i="23"/>
  <c r="C29" i="5"/>
  <c r="C30" i="2"/>
  <c r="G12" i="27"/>
  <c r="J181" i="23"/>
  <c r="J191" i="23"/>
  <c r="J179" i="23"/>
  <c r="J180" i="23"/>
  <c r="J190" i="23"/>
  <c r="D40" i="36"/>
  <c r="D42" i="36"/>
  <c r="O171" i="23"/>
  <c r="C14" i="2"/>
  <c r="O202" i="23"/>
  <c r="I119" i="23"/>
  <c r="I111" i="23"/>
  <c r="I139" i="23"/>
  <c r="I129" i="23"/>
  <c r="G109" i="23"/>
  <c r="G110" i="23"/>
  <c r="O110" i="23"/>
  <c r="O105" i="23"/>
  <c r="G108" i="23"/>
  <c r="O108" i="23"/>
  <c r="G147" i="23"/>
  <c r="I41" i="36"/>
  <c r="F36" i="23"/>
  <c r="F37" i="23"/>
  <c r="F35" i="23"/>
  <c r="D45" i="23"/>
  <c r="D38" i="23"/>
  <c r="C37" i="27"/>
  <c r="I85" i="23"/>
  <c r="D19" i="1"/>
  <c r="G11" i="5"/>
  <c r="E72" i="23"/>
  <c r="E82" i="23"/>
  <c r="C29" i="31"/>
  <c r="E92" i="23"/>
  <c r="F31" i="31"/>
  <c r="F43" i="19"/>
  <c r="E13" i="29"/>
  <c r="F13" i="29"/>
  <c r="D120" i="23"/>
  <c r="D152" i="23"/>
  <c r="D140" i="23"/>
  <c r="D130" i="23"/>
  <c r="M118" i="23"/>
  <c r="M128" i="23"/>
  <c r="M111" i="23"/>
  <c r="M150" i="23"/>
  <c r="I46" i="23"/>
  <c r="I151" i="23"/>
  <c r="E16" i="19"/>
  <c r="H31" i="5"/>
  <c r="D34" i="2"/>
  <c r="C13" i="40"/>
  <c r="E13" i="40"/>
  <c r="C16" i="36"/>
  <c r="D111" i="23"/>
  <c r="D138" i="23"/>
  <c r="D150" i="23"/>
  <c r="D128" i="23"/>
  <c r="D118" i="23"/>
  <c r="H16" i="18"/>
  <c r="M120" i="23"/>
  <c r="M130" i="23"/>
  <c r="M140" i="23"/>
  <c r="G47" i="40"/>
  <c r="M152" i="23"/>
  <c r="E37" i="27"/>
  <c r="J94" i="23"/>
  <c r="D39" i="39"/>
  <c r="J74" i="23"/>
  <c r="J84" i="23"/>
  <c r="J152" i="23"/>
  <c r="F31" i="9"/>
  <c r="H16" i="19"/>
  <c r="D37" i="27"/>
  <c r="D47" i="18"/>
  <c r="C190" i="23"/>
  <c r="G38" i="39"/>
  <c r="D129" i="23"/>
  <c r="D139" i="23"/>
  <c r="D13" i="40"/>
  <c r="D119" i="23"/>
  <c r="D151" i="23"/>
  <c r="H41" i="18"/>
  <c r="D192" i="23"/>
  <c r="F30" i="7"/>
  <c r="I40" i="19"/>
  <c r="H13" i="29"/>
  <c r="F42" i="19"/>
  <c r="F13" i="40"/>
  <c r="E17" i="18"/>
  <c r="D15" i="19"/>
  <c r="E16" i="7"/>
  <c r="D11" i="18"/>
  <c r="L140" i="23"/>
  <c r="L120" i="23"/>
  <c r="L130" i="23"/>
  <c r="L152" i="23"/>
  <c r="L111" i="23"/>
  <c r="I45" i="23"/>
  <c r="I38" i="23"/>
  <c r="I150" i="23"/>
  <c r="H120" i="23"/>
  <c r="H111" i="23"/>
  <c r="H152" i="23"/>
  <c r="H130" i="23"/>
  <c r="H140" i="23"/>
  <c r="H15" i="19"/>
  <c r="G45" i="40"/>
  <c r="C48" i="23"/>
  <c r="D17" i="7"/>
  <c r="C16" i="18"/>
  <c r="H38" i="30"/>
  <c r="C14" i="29"/>
  <c r="C15" i="29"/>
  <c r="C131" i="23"/>
  <c r="D20" i="7"/>
  <c r="C45" i="18"/>
  <c r="H37" i="30"/>
  <c r="C121" i="23"/>
  <c r="C20" i="18"/>
  <c r="N75" i="23"/>
  <c r="N156" i="23"/>
  <c r="D13" i="39"/>
  <c r="E13" i="30"/>
  <c r="E156" i="23"/>
  <c r="I156" i="23"/>
  <c r="C38" i="30"/>
  <c r="F13" i="30"/>
  <c r="F15" i="30"/>
  <c r="H156" i="23"/>
  <c r="H13" i="30"/>
  <c r="D13" i="30"/>
  <c r="D156" i="23"/>
  <c r="G38" i="30"/>
  <c r="M156" i="23"/>
  <c r="E38" i="30"/>
  <c r="K156" i="23"/>
  <c r="C12" i="40"/>
  <c r="C15" i="40"/>
  <c r="E13" i="18"/>
  <c r="E46" i="29"/>
  <c r="E48" i="29"/>
  <c r="C141" i="23"/>
  <c r="D22" i="7"/>
  <c r="C16" i="40"/>
  <c r="E37" i="30"/>
  <c r="E48" i="40"/>
  <c r="F14" i="29"/>
  <c r="E49" i="36"/>
  <c r="K131" i="23"/>
  <c r="H20" i="1"/>
  <c r="F12" i="29"/>
  <c r="E15" i="31"/>
  <c r="E33" i="31"/>
  <c r="K157" i="23"/>
  <c r="I75" i="23"/>
  <c r="D14" i="27"/>
  <c r="N85" i="23"/>
  <c r="N19" i="1"/>
  <c r="F45" i="18"/>
  <c r="F48" i="18"/>
  <c r="J27" i="31"/>
  <c r="F42" i="18"/>
  <c r="H37" i="27"/>
  <c r="H40" i="27"/>
  <c r="C42" i="18"/>
  <c r="K141" i="23"/>
  <c r="H22" i="1"/>
  <c r="E49" i="40"/>
  <c r="F141" i="23"/>
  <c r="J22" i="7"/>
  <c r="F16" i="40"/>
  <c r="H40" i="39"/>
  <c r="G15" i="9"/>
  <c r="G33" i="9"/>
  <c r="N95" i="23"/>
  <c r="N21" i="1"/>
  <c r="H41" i="39"/>
  <c r="L153" i="23"/>
  <c r="L48" i="23"/>
  <c r="J17" i="1"/>
  <c r="F15" i="40"/>
  <c r="C40" i="27"/>
  <c r="E19" i="36"/>
  <c r="H19" i="36"/>
  <c r="K75" i="23"/>
  <c r="H18" i="1"/>
  <c r="F48" i="36"/>
  <c r="C37" i="30"/>
  <c r="E39" i="30"/>
  <c r="L155" i="23"/>
  <c r="D27" i="31"/>
  <c r="F121" i="23"/>
  <c r="I95" i="23"/>
  <c r="D21" i="1"/>
  <c r="C41" i="39"/>
  <c r="G46" i="36"/>
  <c r="E48" i="36"/>
  <c r="H49" i="36"/>
  <c r="F12" i="27"/>
  <c r="C49" i="36"/>
  <c r="D46" i="29"/>
  <c r="D38" i="27"/>
  <c r="G47" i="36"/>
  <c r="D46" i="36"/>
  <c r="G42" i="18"/>
  <c r="L75" i="23"/>
  <c r="M85" i="23"/>
  <c r="L19" i="1"/>
  <c r="D19" i="36"/>
  <c r="H16" i="5"/>
  <c r="E38" i="27"/>
  <c r="F131" i="23"/>
  <c r="J20" i="7"/>
  <c r="C45" i="29"/>
  <c r="D47" i="36"/>
  <c r="E12" i="29"/>
  <c r="C17" i="36"/>
  <c r="C19" i="36"/>
  <c r="H48" i="23"/>
  <c r="N17" i="7"/>
  <c r="D85" i="23"/>
  <c r="F19" i="7"/>
  <c r="H27" i="9"/>
  <c r="D37" i="30"/>
  <c r="D14" i="30"/>
  <c r="O59" i="23"/>
  <c r="J131" i="23"/>
  <c r="F20" i="1"/>
  <c r="C19" i="18"/>
  <c r="D48" i="40"/>
  <c r="D75" i="23"/>
  <c r="K85" i="23"/>
  <c r="H19" i="1"/>
  <c r="E19" i="18"/>
  <c r="H30" i="7"/>
  <c r="C37" i="39"/>
  <c r="C40" i="39"/>
  <c r="J121" i="23"/>
  <c r="E39" i="27"/>
  <c r="O191" i="23"/>
  <c r="F18" i="36"/>
  <c r="J153" i="23"/>
  <c r="I42" i="19"/>
  <c r="J141" i="23"/>
  <c r="F22" i="1"/>
  <c r="D49" i="40"/>
  <c r="K153" i="23"/>
  <c r="E131" i="23"/>
  <c r="H20" i="7"/>
  <c r="H12" i="30"/>
  <c r="L95" i="23"/>
  <c r="J21" i="1"/>
  <c r="F41" i="39"/>
  <c r="F42" i="39"/>
  <c r="E20" i="18"/>
  <c r="G37" i="30"/>
  <c r="M95" i="23"/>
  <c r="L21" i="1"/>
  <c r="G41" i="39"/>
  <c r="G40" i="39"/>
  <c r="G15" i="5"/>
  <c r="G33" i="5"/>
  <c r="G48" i="40"/>
  <c r="H153" i="23"/>
  <c r="F182" i="23"/>
  <c r="O179" i="23"/>
  <c r="O174" i="23"/>
  <c r="G85" i="23"/>
  <c r="L19" i="7"/>
  <c r="O180" i="23"/>
  <c r="O175" i="23"/>
  <c r="H48" i="36"/>
  <c r="K11" i="31"/>
  <c r="K27" i="31"/>
  <c r="M75" i="23"/>
  <c r="E141" i="23"/>
  <c r="H22" i="7"/>
  <c r="E16" i="40"/>
  <c r="E15" i="40"/>
  <c r="L31" i="31"/>
  <c r="F190" i="23"/>
  <c r="C48" i="36"/>
  <c r="M141" i="23"/>
  <c r="L22" i="1"/>
  <c r="G49" i="40"/>
  <c r="J75" i="23"/>
  <c r="E42" i="39"/>
  <c r="K155" i="23"/>
  <c r="O36" i="23"/>
  <c r="O31" i="23"/>
  <c r="D45" i="18"/>
  <c r="D48" i="18"/>
  <c r="F45" i="29"/>
  <c r="H12" i="40"/>
  <c r="H14" i="27"/>
  <c r="G13" i="27"/>
  <c r="E42" i="18"/>
  <c r="H17" i="18"/>
  <c r="H19" i="18"/>
  <c r="E14" i="29"/>
  <c r="H46" i="29"/>
  <c r="D42" i="18"/>
  <c r="G14" i="27"/>
  <c r="D47" i="29"/>
  <c r="H47" i="29"/>
  <c r="H14" i="40"/>
  <c r="H14" i="29"/>
  <c r="G47" i="29"/>
  <c r="E14" i="27"/>
  <c r="H12" i="29"/>
  <c r="F13" i="27"/>
  <c r="G15" i="31"/>
  <c r="G33" i="31"/>
  <c r="F16" i="36"/>
  <c r="D39" i="27"/>
  <c r="F13" i="18"/>
  <c r="F75" i="23"/>
  <c r="E13" i="27"/>
  <c r="H14" i="39"/>
  <c r="G75" i="23"/>
  <c r="H13" i="18"/>
  <c r="C15" i="31"/>
  <c r="C33" i="31"/>
  <c r="H13" i="39"/>
  <c r="D12" i="27"/>
  <c r="G38" i="27"/>
  <c r="G40" i="27"/>
  <c r="C192" i="23"/>
  <c r="F49" i="36"/>
  <c r="F27" i="31"/>
  <c r="E15" i="9"/>
  <c r="E33" i="9"/>
  <c r="H12" i="39"/>
  <c r="H95" i="23"/>
  <c r="N21" i="7"/>
  <c r="H16" i="39"/>
  <c r="H17" i="19"/>
  <c r="H13" i="27"/>
  <c r="H85" i="23"/>
  <c r="N19" i="7"/>
  <c r="M48" i="23"/>
  <c r="L17" i="1"/>
  <c r="G45" i="18"/>
  <c r="G48" i="18"/>
  <c r="I40" i="36"/>
  <c r="G13" i="39"/>
  <c r="G15" i="39"/>
  <c r="G95" i="23"/>
  <c r="L21" i="7"/>
  <c r="G16" i="39"/>
  <c r="D12" i="39"/>
  <c r="D95" i="23"/>
  <c r="F21" i="7"/>
  <c r="D16" i="39"/>
  <c r="H75" i="23"/>
  <c r="K48" i="23"/>
  <c r="H17" i="1"/>
  <c r="E45" i="18"/>
  <c r="E48" i="18"/>
  <c r="F37" i="27"/>
  <c r="F40" i="27"/>
  <c r="L85" i="23"/>
  <c r="J19" i="1"/>
  <c r="G16" i="18"/>
  <c r="G19" i="18"/>
  <c r="G48" i="23"/>
  <c r="L17" i="7"/>
  <c r="F27" i="9"/>
  <c r="H20" i="36"/>
  <c r="C47" i="18"/>
  <c r="I157" i="23"/>
  <c r="C83" i="23"/>
  <c r="C73" i="23"/>
  <c r="C151" i="23"/>
  <c r="O63" i="23"/>
  <c r="O58" i="23"/>
  <c r="C93" i="23"/>
  <c r="G11" i="18"/>
  <c r="K16" i="7"/>
  <c r="N152" i="23"/>
  <c r="N47" i="23"/>
  <c r="I153" i="23"/>
  <c r="G138" i="23"/>
  <c r="G111" i="23"/>
  <c r="G128" i="23"/>
  <c r="G118" i="23"/>
  <c r="G150" i="23"/>
  <c r="M16" i="1"/>
  <c r="H40" i="18"/>
  <c r="I42" i="36"/>
  <c r="O147" i="23"/>
  <c r="J48" i="23"/>
  <c r="F17" i="1"/>
  <c r="J85" i="23"/>
  <c r="F19" i="1"/>
  <c r="F85" i="23"/>
  <c r="J19" i="7"/>
  <c r="E12" i="27"/>
  <c r="E85" i="23"/>
  <c r="H19" i="7"/>
  <c r="C41" i="27"/>
  <c r="H18" i="9"/>
  <c r="F45" i="23"/>
  <c r="F150" i="23"/>
  <c r="F38" i="23"/>
  <c r="F37" i="30"/>
  <c r="G120" i="23"/>
  <c r="O120" i="23"/>
  <c r="G152" i="23"/>
  <c r="G130" i="23"/>
  <c r="G140" i="23"/>
  <c r="K29" i="31"/>
  <c r="M189" i="23"/>
  <c r="M182" i="23"/>
  <c r="C16" i="7"/>
  <c r="C11" i="18"/>
  <c r="O181" i="23"/>
  <c r="O176" i="23"/>
  <c r="H46" i="18"/>
  <c r="N151" i="23"/>
  <c r="F46" i="23"/>
  <c r="F151" i="23"/>
  <c r="C46" i="29"/>
  <c r="I131" i="23"/>
  <c r="D20" i="1"/>
  <c r="G16" i="36"/>
  <c r="G19" i="36"/>
  <c r="G192" i="23"/>
  <c r="L30" i="7"/>
  <c r="D16" i="18"/>
  <c r="D19" i="18"/>
  <c r="D48" i="23"/>
  <c r="F17" i="7"/>
  <c r="C46" i="40"/>
  <c r="C48" i="40"/>
  <c r="I141" i="23"/>
  <c r="D22" i="1"/>
  <c r="C49" i="40"/>
  <c r="J155" i="23"/>
  <c r="J189" i="23"/>
  <c r="J182" i="23"/>
  <c r="H46" i="40"/>
  <c r="H48" i="40"/>
  <c r="N141" i="23"/>
  <c r="N22" i="1"/>
  <c r="H49" i="40"/>
  <c r="C92" i="23"/>
  <c r="C150" i="23"/>
  <c r="C65" i="23"/>
  <c r="C82" i="23"/>
  <c r="O62" i="23"/>
  <c r="O57" i="23"/>
  <c r="C72" i="23"/>
  <c r="D17" i="19"/>
  <c r="N121" i="23"/>
  <c r="F44" i="19"/>
  <c r="N131" i="23"/>
  <c r="N20" i="1"/>
  <c r="H155" i="23"/>
  <c r="E12" i="39"/>
  <c r="E15" i="39"/>
  <c r="E95" i="23"/>
  <c r="H21" i="7"/>
  <c r="E16" i="39"/>
  <c r="E75" i="23"/>
  <c r="H18" i="7"/>
  <c r="E12" i="30"/>
  <c r="E155" i="23"/>
  <c r="O37" i="23"/>
  <c r="O32" i="23"/>
  <c r="F47" i="23"/>
  <c r="F152" i="23"/>
  <c r="G119" i="23"/>
  <c r="O119" i="23"/>
  <c r="G129" i="23"/>
  <c r="G151" i="23"/>
  <c r="G139" i="23"/>
  <c r="O109" i="23"/>
  <c r="O104" i="23"/>
  <c r="I121" i="23"/>
  <c r="I15" i="5"/>
  <c r="I33" i="5"/>
  <c r="C94" i="23"/>
  <c r="C74" i="23"/>
  <c r="C152" i="23"/>
  <c r="C84" i="23"/>
  <c r="E14" i="30"/>
  <c r="E157" i="23"/>
  <c r="E153" i="23"/>
  <c r="O35" i="23"/>
  <c r="O30" i="23"/>
  <c r="N45" i="23"/>
  <c r="N38" i="23"/>
  <c r="N150" i="23"/>
  <c r="F13" i="39"/>
  <c r="F15" i="39"/>
  <c r="F95" i="23"/>
  <c r="J21" i="7"/>
  <c r="F16" i="39"/>
  <c r="I15" i="9"/>
  <c r="I33" i="9"/>
  <c r="I48" i="23"/>
  <c r="D17" i="1"/>
  <c r="H157" i="23"/>
  <c r="H14" i="30"/>
  <c r="H121" i="23"/>
  <c r="F47" i="40"/>
  <c r="F48" i="40"/>
  <c r="L141" i="23"/>
  <c r="J22" i="1"/>
  <c r="F49" i="40"/>
  <c r="H131" i="23"/>
  <c r="N20" i="7"/>
  <c r="D39" i="30"/>
  <c r="J157" i="23"/>
  <c r="G39" i="30"/>
  <c r="M157" i="23"/>
  <c r="D141" i="23"/>
  <c r="F22" i="7"/>
  <c r="D16" i="40"/>
  <c r="D12" i="40"/>
  <c r="H141" i="23"/>
  <c r="N22" i="7"/>
  <c r="H16" i="40"/>
  <c r="M153" i="23"/>
  <c r="D16" i="5"/>
  <c r="D20" i="36"/>
  <c r="F27" i="5"/>
  <c r="D121" i="23"/>
  <c r="D12" i="30"/>
  <c r="D155" i="23"/>
  <c r="D40" i="39"/>
  <c r="D14" i="40"/>
  <c r="F47" i="29"/>
  <c r="L131" i="23"/>
  <c r="J20" i="1"/>
  <c r="O103" i="23"/>
  <c r="D13" i="18"/>
  <c r="I41" i="18"/>
  <c r="D131" i="23"/>
  <c r="F20" i="7"/>
  <c r="D12" i="29"/>
  <c r="J95" i="23"/>
  <c r="F21" i="1"/>
  <c r="D41" i="39"/>
  <c r="E17" i="19"/>
  <c r="I43" i="19"/>
  <c r="C46" i="18"/>
  <c r="G45" i="29"/>
  <c r="M131" i="23"/>
  <c r="L20" i="1"/>
  <c r="L121" i="23"/>
  <c r="L157" i="23"/>
  <c r="F39" i="30"/>
  <c r="I155" i="23"/>
  <c r="E15" i="5"/>
  <c r="D13" i="29"/>
  <c r="D153" i="23"/>
  <c r="M155" i="23"/>
  <c r="M121" i="23"/>
  <c r="D14" i="29"/>
  <c r="D157" i="23"/>
  <c r="G14" i="40"/>
  <c r="C16" i="29"/>
  <c r="C17" i="29"/>
  <c r="D19" i="5"/>
  <c r="H40" i="30"/>
  <c r="D19" i="31"/>
  <c r="O139" i="23"/>
  <c r="N18" i="1"/>
  <c r="D15" i="39"/>
  <c r="D17" i="39"/>
  <c r="O33" i="23"/>
  <c r="C17" i="40"/>
  <c r="C13" i="30"/>
  <c r="C156" i="23"/>
  <c r="O73" i="23"/>
  <c r="F156" i="23"/>
  <c r="G13" i="30"/>
  <c r="G156" i="23"/>
  <c r="G70" i="9"/>
  <c r="E70" i="5"/>
  <c r="E70" i="31"/>
  <c r="H41" i="27"/>
  <c r="H42" i="27"/>
  <c r="J18" i="31"/>
  <c r="E49" i="29"/>
  <c r="E50" i="29"/>
  <c r="D18" i="1"/>
  <c r="K158" i="23"/>
  <c r="F15" i="29"/>
  <c r="E50" i="36"/>
  <c r="D15" i="27"/>
  <c r="E50" i="40"/>
  <c r="F16" i="29"/>
  <c r="H18" i="31"/>
  <c r="D49" i="29"/>
  <c r="H20" i="18"/>
  <c r="D16" i="27"/>
  <c r="F49" i="18"/>
  <c r="F50" i="18"/>
  <c r="O186" i="23"/>
  <c r="I70" i="9"/>
  <c r="G70" i="31"/>
  <c r="E70" i="9"/>
  <c r="F17" i="40"/>
  <c r="H42" i="39"/>
  <c r="C42" i="27"/>
  <c r="F16" i="31"/>
  <c r="D48" i="29"/>
  <c r="H50" i="36"/>
  <c r="C40" i="30"/>
  <c r="D40" i="30"/>
  <c r="D40" i="27"/>
  <c r="E15" i="29"/>
  <c r="G41" i="27"/>
  <c r="G42" i="27"/>
  <c r="J19" i="5"/>
  <c r="F50" i="36"/>
  <c r="J18" i="7"/>
  <c r="E40" i="27"/>
  <c r="E40" i="30"/>
  <c r="F15" i="27"/>
  <c r="C42" i="39"/>
  <c r="G48" i="29"/>
  <c r="C48" i="29"/>
  <c r="O130" i="23"/>
  <c r="D41" i="27"/>
  <c r="E20" i="36"/>
  <c r="C16" i="2"/>
  <c r="J18" i="9"/>
  <c r="H49" i="29"/>
  <c r="D49" i="18"/>
  <c r="D50" i="18"/>
  <c r="F18" i="1"/>
  <c r="O129" i="23"/>
  <c r="O118" i="23"/>
  <c r="D18" i="31"/>
  <c r="J18" i="1"/>
  <c r="F18" i="5"/>
  <c r="F16" i="9"/>
  <c r="O84" i="23"/>
  <c r="J18" i="5"/>
  <c r="O128" i="23"/>
  <c r="C50" i="36"/>
  <c r="D18" i="9"/>
  <c r="E16" i="29"/>
  <c r="J19" i="9"/>
  <c r="D50" i="40"/>
  <c r="H15" i="29"/>
  <c r="H15" i="27"/>
  <c r="H27" i="5"/>
  <c r="F18" i="7"/>
  <c r="E41" i="27"/>
  <c r="H19" i="5"/>
  <c r="J158" i="23"/>
  <c r="E17" i="40"/>
  <c r="G40" i="30"/>
  <c r="H17" i="5"/>
  <c r="E16" i="30"/>
  <c r="D30" i="7"/>
  <c r="E41" i="30"/>
  <c r="D17" i="31"/>
  <c r="F192" i="23"/>
  <c r="J30" i="7"/>
  <c r="F17" i="36"/>
  <c r="F19" i="36"/>
  <c r="I47" i="36"/>
  <c r="J19" i="31"/>
  <c r="H15" i="30"/>
  <c r="I44" i="19"/>
  <c r="O140" i="23"/>
  <c r="N18" i="7"/>
  <c r="G42" i="39"/>
  <c r="O152" i="23"/>
  <c r="G50" i="40"/>
  <c r="J16" i="9"/>
  <c r="G16" i="27"/>
  <c r="F48" i="29"/>
  <c r="I40" i="18"/>
  <c r="E15" i="27"/>
  <c r="L18" i="1"/>
  <c r="O190" i="23"/>
  <c r="I47" i="40"/>
  <c r="H15" i="40"/>
  <c r="H17" i="40"/>
  <c r="H15" i="39"/>
  <c r="H17" i="39"/>
  <c r="O182" i="23"/>
  <c r="M158" i="23"/>
  <c r="H158" i="23"/>
  <c r="G15" i="27"/>
  <c r="F16" i="27"/>
  <c r="F40" i="30"/>
  <c r="O60" i="23"/>
  <c r="O65" i="23"/>
  <c r="O150" i="23"/>
  <c r="G13" i="29"/>
  <c r="I46" i="29"/>
  <c r="G13" i="18"/>
  <c r="O189" i="23"/>
  <c r="H42" i="18"/>
  <c r="G14" i="29"/>
  <c r="I47" i="29"/>
  <c r="H48" i="29"/>
  <c r="C70" i="31"/>
  <c r="O106" i="23"/>
  <c r="O177" i="23"/>
  <c r="O111" i="23"/>
  <c r="O114" i="23"/>
  <c r="O115" i="23"/>
  <c r="C14" i="27"/>
  <c r="I39" i="27"/>
  <c r="C13" i="18"/>
  <c r="F50" i="40"/>
  <c r="E158" i="23"/>
  <c r="E17" i="39"/>
  <c r="H16" i="27"/>
  <c r="F18" i="9"/>
  <c r="E15" i="30"/>
  <c r="G20" i="18"/>
  <c r="D16" i="9"/>
  <c r="E49" i="18"/>
  <c r="E50" i="18"/>
  <c r="D16" i="31"/>
  <c r="O151" i="23"/>
  <c r="F41" i="27"/>
  <c r="F42" i="27"/>
  <c r="F18" i="31"/>
  <c r="G17" i="39"/>
  <c r="G49" i="18"/>
  <c r="G50" i="18"/>
  <c r="H16" i="31"/>
  <c r="O74" i="23"/>
  <c r="C157" i="23"/>
  <c r="C14" i="30"/>
  <c r="C12" i="30"/>
  <c r="C75" i="23"/>
  <c r="D18" i="7"/>
  <c r="C155" i="23"/>
  <c r="O72" i="23"/>
  <c r="C153" i="23"/>
  <c r="C50" i="40"/>
  <c r="N153" i="23"/>
  <c r="G157" i="23"/>
  <c r="G14" i="30"/>
  <c r="F48" i="23"/>
  <c r="J17" i="7"/>
  <c r="O45" i="23"/>
  <c r="F16" i="18"/>
  <c r="F155" i="23"/>
  <c r="I15" i="31"/>
  <c r="I33" i="31"/>
  <c r="H45" i="18"/>
  <c r="N155" i="23"/>
  <c r="C14" i="39"/>
  <c r="I39" i="39"/>
  <c r="O94" i="23"/>
  <c r="G141" i="23"/>
  <c r="L22" i="7"/>
  <c r="G16" i="40"/>
  <c r="I49" i="40"/>
  <c r="G13" i="40"/>
  <c r="I46" i="40"/>
  <c r="C12" i="39"/>
  <c r="O92" i="23"/>
  <c r="C95" i="23"/>
  <c r="D21" i="7"/>
  <c r="C16" i="39"/>
  <c r="I41" i="39"/>
  <c r="D45" i="36"/>
  <c r="J192" i="23"/>
  <c r="F30" i="1"/>
  <c r="F16" i="5"/>
  <c r="D20" i="18"/>
  <c r="D27" i="9"/>
  <c r="G20" i="36"/>
  <c r="C15" i="5"/>
  <c r="C33" i="5"/>
  <c r="G153" i="23"/>
  <c r="G12" i="40"/>
  <c r="I45" i="40"/>
  <c r="O138" i="23"/>
  <c r="C13" i="39"/>
  <c r="I38" i="39"/>
  <c r="O93" i="23"/>
  <c r="O83" i="23"/>
  <c r="C13" i="27"/>
  <c r="I38" i="27"/>
  <c r="I158" i="23"/>
  <c r="F17" i="39"/>
  <c r="O38" i="23"/>
  <c r="F157" i="23"/>
  <c r="O47" i="23"/>
  <c r="F18" i="18"/>
  <c r="O82" i="23"/>
  <c r="C85" i="23"/>
  <c r="D19" i="7"/>
  <c r="C12" i="27"/>
  <c r="H50" i="40"/>
  <c r="F17" i="18"/>
  <c r="I46" i="18"/>
  <c r="O46" i="23"/>
  <c r="N48" i="23"/>
  <c r="N17" i="1"/>
  <c r="G155" i="23"/>
  <c r="G12" i="30"/>
  <c r="G121" i="23"/>
  <c r="L18" i="7"/>
  <c r="C15" i="9"/>
  <c r="C33" i="9"/>
  <c r="H19" i="9"/>
  <c r="C49" i="29"/>
  <c r="G45" i="36"/>
  <c r="G48" i="36"/>
  <c r="M192" i="23"/>
  <c r="L30" i="1"/>
  <c r="F153" i="23"/>
  <c r="H18" i="5"/>
  <c r="E16" i="27"/>
  <c r="G131" i="23"/>
  <c r="L20" i="7"/>
  <c r="G12" i="29"/>
  <c r="H47" i="18"/>
  <c r="N157" i="23"/>
  <c r="F19" i="5"/>
  <c r="D16" i="29"/>
  <c r="F19" i="31"/>
  <c r="F49" i="29"/>
  <c r="H16" i="29"/>
  <c r="F19" i="9"/>
  <c r="H19" i="31"/>
  <c r="G49" i="29"/>
  <c r="D158" i="23"/>
  <c r="D15" i="40"/>
  <c r="D17" i="40"/>
  <c r="C48" i="18"/>
  <c r="L158" i="23"/>
  <c r="D42" i="39"/>
  <c r="D15" i="30"/>
  <c r="H16" i="9"/>
  <c r="C49" i="18"/>
  <c r="E33" i="5"/>
  <c r="D15" i="29"/>
  <c r="O134" i="23"/>
  <c r="J17" i="31"/>
  <c r="H41" i="30"/>
  <c r="H42" i="30"/>
  <c r="O68" i="23"/>
  <c r="C41" i="30"/>
  <c r="C42" i="30"/>
  <c r="H17" i="9"/>
  <c r="D17" i="27"/>
  <c r="O184" i="23"/>
  <c r="O42" i="23"/>
  <c r="O113" i="23"/>
  <c r="O124" i="23"/>
  <c r="O185" i="23"/>
  <c r="F17" i="29"/>
  <c r="O133" i="23"/>
  <c r="J17" i="5"/>
  <c r="D16" i="30"/>
  <c r="D17" i="30"/>
  <c r="F17" i="31"/>
  <c r="D41" i="30"/>
  <c r="D42" i="30"/>
  <c r="C70" i="9"/>
  <c r="O121" i="23"/>
  <c r="C70" i="5"/>
  <c r="D50" i="29"/>
  <c r="E17" i="29"/>
  <c r="F16" i="30"/>
  <c r="F17" i="30"/>
  <c r="D42" i="27"/>
  <c r="E42" i="27"/>
  <c r="G50" i="29"/>
  <c r="O131" i="23"/>
  <c r="J17" i="9"/>
  <c r="O125" i="23"/>
  <c r="F17" i="27"/>
  <c r="C50" i="29"/>
  <c r="F41" i="30"/>
  <c r="F42" i="30"/>
  <c r="H17" i="29"/>
  <c r="D20" i="2"/>
  <c r="E42" i="30"/>
  <c r="F17" i="5"/>
  <c r="O135" i="23"/>
  <c r="O79" i="23"/>
  <c r="G17" i="27"/>
  <c r="D27" i="5"/>
  <c r="O41" i="23"/>
  <c r="O40" i="23"/>
  <c r="F20" i="36"/>
  <c r="H17" i="27"/>
  <c r="J27" i="5"/>
  <c r="E17" i="27"/>
  <c r="F50" i="29"/>
  <c r="F19" i="18"/>
  <c r="G16" i="30"/>
  <c r="D17" i="9"/>
  <c r="G70" i="5"/>
  <c r="C16" i="30"/>
  <c r="D17" i="5"/>
  <c r="D18" i="2"/>
  <c r="I46" i="36"/>
  <c r="C20" i="36"/>
  <c r="F17" i="9"/>
  <c r="H16" i="30"/>
  <c r="H17" i="31"/>
  <c r="G41" i="30"/>
  <c r="I47" i="18"/>
  <c r="O153" i="23"/>
  <c r="G15" i="29"/>
  <c r="O192" i="23"/>
  <c r="N158" i="23"/>
  <c r="D17" i="29"/>
  <c r="O156" i="23"/>
  <c r="E17" i="30"/>
  <c r="H50" i="29"/>
  <c r="I70" i="31"/>
  <c r="I39" i="30"/>
  <c r="O78" i="23"/>
  <c r="O89" i="23"/>
  <c r="O141" i="23"/>
  <c r="O88" i="23"/>
  <c r="O69" i="23"/>
  <c r="I42" i="18"/>
  <c r="C50" i="18"/>
  <c r="C15" i="30"/>
  <c r="I38" i="30"/>
  <c r="C158" i="23"/>
  <c r="O157" i="23"/>
  <c r="I45" i="29"/>
  <c r="I48" i="29"/>
  <c r="K15" i="31"/>
  <c r="K33" i="31"/>
  <c r="O155" i="23"/>
  <c r="D19" i="9"/>
  <c r="L19" i="31"/>
  <c r="G16" i="29"/>
  <c r="I49" i="29"/>
  <c r="G49" i="36"/>
  <c r="G50" i="36"/>
  <c r="H27" i="31"/>
  <c r="G15" i="30"/>
  <c r="I37" i="27"/>
  <c r="I40" i="27"/>
  <c r="C15" i="27"/>
  <c r="I48" i="40"/>
  <c r="I50" i="40"/>
  <c r="O95" i="23"/>
  <c r="O87" i="23"/>
  <c r="H48" i="18"/>
  <c r="F20" i="18"/>
  <c r="D17" i="2"/>
  <c r="J16" i="5"/>
  <c r="G158" i="23"/>
  <c r="D19" i="2"/>
  <c r="C16" i="27"/>
  <c r="I41" i="27"/>
  <c r="D18" i="5"/>
  <c r="L18" i="31"/>
  <c r="D49" i="36"/>
  <c r="D28" i="2"/>
  <c r="J27" i="9"/>
  <c r="I37" i="39"/>
  <c r="I40" i="39"/>
  <c r="I42" i="39"/>
  <c r="C15" i="39"/>
  <c r="C17" i="39"/>
  <c r="F158" i="23"/>
  <c r="I37" i="30"/>
  <c r="H49" i="18"/>
  <c r="J16" i="31"/>
  <c r="O85" i="23"/>
  <c r="O77" i="23"/>
  <c r="G15" i="40"/>
  <c r="G17" i="40"/>
  <c r="D48" i="36"/>
  <c r="I45" i="36"/>
  <c r="I45" i="18"/>
  <c r="O67" i="23"/>
  <c r="O75" i="23"/>
  <c r="O48" i="23"/>
  <c r="D36" i="2"/>
  <c r="G42" i="30"/>
  <c r="H17" i="30"/>
  <c r="I48" i="36"/>
  <c r="K70" i="31"/>
  <c r="L27" i="31"/>
  <c r="G17" i="29"/>
  <c r="I48" i="18"/>
  <c r="O158" i="23"/>
  <c r="I40" i="30"/>
  <c r="I50" i="29"/>
  <c r="L17" i="31"/>
  <c r="C17" i="30"/>
  <c r="H50" i="18"/>
  <c r="C17" i="27"/>
  <c r="D50" i="36"/>
  <c r="I49" i="36"/>
  <c r="I41" i="30"/>
  <c r="G17" i="30"/>
  <c r="I49" i="18"/>
  <c r="L16" i="31"/>
  <c r="I42" i="27"/>
  <c r="I50" i="36"/>
  <c r="I50" i="18"/>
  <c r="I42" i="30"/>
  <c r="H21" i="18"/>
  <c r="D21" i="18"/>
  <c r="F21" i="18"/>
  <c r="G21" i="36"/>
  <c r="E21" i="18"/>
  <c r="G21" i="18"/>
  <c r="C21" i="18"/>
  <c r="C21" i="36"/>
  <c r="D21" i="36"/>
  <c r="H21" i="36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0" i="39"/>
  <c r="A21" i="39"/>
  <c r="A22" i="39"/>
  <c r="A23" i="39"/>
  <c r="A24" i="39"/>
  <c r="A25" i="39"/>
  <c r="A26" i="39"/>
  <c r="A27" i="39"/>
  <c r="A28" i="39"/>
  <c r="A29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54" i="39"/>
  <c r="E20" i="2"/>
  <c r="E21" i="2"/>
  <c r="J22" i="6"/>
  <c r="J23" i="6"/>
  <c r="J24" i="6"/>
  <c r="J25" i="6"/>
  <c r="J33" i="6"/>
  <c r="J34" i="6"/>
  <c r="J35" i="6"/>
  <c r="J36" i="6"/>
  <c r="J37" i="6"/>
  <c r="J38" i="6"/>
  <c r="J43" i="6"/>
  <c r="J44" i="6"/>
  <c r="J45" i="6"/>
  <c r="J46" i="6"/>
  <c r="J47" i="6"/>
  <c r="A20" i="31"/>
  <c r="A27" i="31"/>
  <c r="A28" i="31"/>
  <c r="A29" i="31"/>
  <c r="A30" i="31"/>
  <c r="A31" i="31"/>
  <c r="A32" i="31"/>
  <c r="A33" i="31"/>
  <c r="A43" i="31"/>
  <c r="A44" i="31"/>
  <c r="A45" i="31"/>
  <c r="A46" i="31"/>
  <c r="A47" i="31"/>
  <c r="A48" i="31"/>
  <c r="A20" i="9"/>
  <c r="A26" i="9"/>
  <c r="A27" i="9"/>
  <c r="A28" i="9"/>
  <c r="A29" i="9"/>
  <c r="A30" i="9"/>
  <c r="A31" i="9"/>
  <c r="A32" i="9"/>
  <c r="A33" i="9"/>
  <c r="A43" i="9"/>
  <c r="A44" i="9"/>
  <c r="A45" i="9"/>
  <c r="A46" i="9"/>
  <c r="A47" i="9"/>
  <c r="A48" i="9"/>
  <c r="A52" i="9"/>
  <c r="A53" i="9"/>
  <c r="A54" i="9"/>
  <c r="A55" i="9"/>
  <c r="A66" i="9"/>
  <c r="A67" i="9"/>
  <c r="A68" i="9"/>
  <c r="A69" i="9"/>
  <c r="A70" i="9"/>
  <c r="A71" i="9"/>
  <c r="A72" i="9"/>
  <c r="A73" i="9"/>
  <c r="K20" i="5"/>
  <c r="E21" i="36"/>
  <c r="F21" i="36"/>
  <c r="Q20" i="42"/>
  <c r="Q21" i="42"/>
  <c r="Q22" i="42"/>
  <c r="Q23" i="42"/>
  <c r="Q24" i="42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K20" i="9"/>
  <c r="K28" i="9"/>
  <c r="K29" i="9"/>
  <c r="K30" i="9"/>
  <c r="K31" i="9"/>
  <c r="K32" i="9"/>
  <c r="K33" i="9"/>
  <c r="K43" i="9"/>
  <c r="K44" i="9"/>
  <c r="K45" i="9"/>
  <c r="K46" i="9"/>
  <c r="K47" i="9"/>
  <c r="K48" i="9"/>
  <c r="K53" i="9"/>
  <c r="K54" i="9"/>
  <c r="K55" i="9"/>
  <c r="K66" i="9"/>
  <c r="K67" i="9"/>
  <c r="K68" i="9"/>
  <c r="K69" i="9"/>
  <c r="K70" i="9"/>
  <c r="K71" i="9"/>
  <c r="K72" i="9"/>
  <c r="K73" i="9"/>
  <c r="O20" i="1"/>
  <c r="O21" i="1"/>
  <c r="O22" i="1"/>
  <c r="O23" i="1"/>
  <c r="O30" i="1"/>
  <c r="O31" i="1"/>
  <c r="O32" i="1"/>
  <c r="O33" i="1"/>
  <c r="O34" i="1"/>
  <c r="O35" i="1"/>
  <c r="O36" i="1"/>
  <c r="O37" i="1"/>
  <c r="O38" i="1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K20" i="27"/>
  <c r="K21" i="27"/>
  <c r="K22" i="27"/>
  <c r="K23" i="27"/>
  <c r="K24" i="27"/>
  <c r="K25" i="27"/>
  <c r="K26" i="27"/>
  <c r="K27" i="27"/>
  <c r="K28" i="27"/>
  <c r="K29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M20" i="31"/>
  <c r="M28" i="31"/>
  <c r="M29" i="31"/>
  <c r="M30" i="31"/>
  <c r="M31" i="31"/>
  <c r="M32" i="31"/>
  <c r="M33" i="31"/>
  <c r="M43" i="31"/>
  <c r="M44" i="31"/>
  <c r="M45" i="31"/>
  <c r="M46" i="31"/>
  <c r="M47" i="31"/>
  <c r="M48" i="31"/>
  <c r="A20" i="27"/>
  <c r="A21" i="27"/>
  <c r="A22" i="27"/>
  <c r="A23" i="27"/>
  <c r="A24" i="27"/>
  <c r="A25" i="27"/>
  <c r="A26" i="27"/>
  <c r="A27" i="27"/>
  <c r="A28" i="27"/>
  <c r="A29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20" i="19"/>
  <c r="A21" i="19"/>
  <c r="A22" i="19"/>
  <c r="A23" i="19"/>
  <c r="A24" i="19"/>
  <c r="A25" i="19"/>
  <c r="A26" i="19"/>
  <c r="A27" i="19"/>
  <c r="A28" i="19"/>
  <c r="A29" i="19"/>
  <c r="A30" i="19"/>
  <c r="A31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43" i="5"/>
  <c r="A44" i="5"/>
  <c r="A45" i="5"/>
  <c r="A46" i="5"/>
  <c r="A47" i="5"/>
  <c r="A48" i="5"/>
  <c r="A20" i="2"/>
  <c r="A21" i="2"/>
  <c r="K20" i="19"/>
  <c r="K21" i="19"/>
  <c r="K22" i="19"/>
  <c r="K23" i="19"/>
  <c r="K24" i="19"/>
  <c r="K25" i="19"/>
  <c r="K26" i="19"/>
  <c r="K27" i="19"/>
  <c r="K28" i="19"/>
  <c r="K29" i="19"/>
  <c r="K30" i="19"/>
  <c r="K31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A20" i="1"/>
  <c r="A21" i="1"/>
  <c r="A22" i="1"/>
  <c r="A23" i="1"/>
  <c r="A29" i="1"/>
  <c r="A30" i="1"/>
  <c r="A31" i="1"/>
  <c r="A32" i="1"/>
  <c r="A33" i="1"/>
  <c r="A34" i="1"/>
  <c r="A35" i="1"/>
  <c r="A36" i="1"/>
  <c r="A37" i="1"/>
  <c r="A38" i="1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20" i="30"/>
  <c r="K21" i="30"/>
  <c r="K22" i="30"/>
  <c r="K23" i="30"/>
  <c r="K24" i="30"/>
  <c r="K25" i="30"/>
  <c r="K26" i="30"/>
  <c r="K27" i="30"/>
  <c r="K28" i="30"/>
  <c r="K29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20" i="7"/>
  <c r="A21" i="7"/>
  <c r="A22" i="7"/>
  <c r="A23" i="7"/>
  <c r="A30" i="7"/>
  <c r="A31" i="7"/>
  <c r="A32" i="7"/>
  <c r="A33" i="7"/>
  <c r="A34" i="7"/>
  <c r="A35" i="7"/>
  <c r="A36" i="7"/>
  <c r="A37" i="7"/>
  <c r="A38" i="7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43" i="40"/>
  <c r="A44" i="40"/>
  <c r="A45" i="40"/>
  <c r="A46" i="40"/>
  <c r="A47" i="40"/>
  <c r="A48" i="40"/>
  <c r="A49" i="40"/>
  <c r="A50" i="40"/>
  <c r="A51" i="40"/>
  <c r="A52" i="40"/>
  <c r="A53" i="40"/>
  <c r="A54" i="40"/>
  <c r="A55" i="40"/>
  <c r="A56" i="40"/>
  <c r="A57" i="40"/>
  <c r="A58" i="40"/>
  <c r="A59" i="40"/>
  <c r="A60" i="40"/>
  <c r="A61" i="40"/>
  <c r="A62" i="40"/>
  <c r="A63" i="40"/>
  <c r="A64" i="40"/>
  <c r="A65" i="40"/>
  <c r="A66" i="40"/>
  <c r="A67" i="40"/>
  <c r="A68" i="40"/>
  <c r="A69" i="40"/>
  <c r="A70" i="40"/>
  <c r="A20" i="30"/>
  <c r="A21" i="30"/>
  <c r="A22" i="30"/>
  <c r="A23" i="30"/>
  <c r="A24" i="30"/>
  <c r="A25" i="30"/>
  <c r="A26" i="30"/>
  <c r="A27" i="30"/>
  <c r="A28" i="30"/>
  <c r="A29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K20" i="39"/>
  <c r="K21" i="39"/>
  <c r="K22" i="39"/>
  <c r="K23" i="39"/>
  <c r="K24" i="39"/>
  <c r="K25" i="39"/>
  <c r="K26" i="39"/>
  <c r="K27" i="39"/>
  <c r="K28" i="39"/>
  <c r="K29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A22" i="6"/>
  <c r="A23" i="6"/>
  <c r="A24" i="6"/>
  <c r="A25" i="6"/>
  <c r="A33" i="6"/>
  <c r="A34" i="6"/>
  <c r="A35" i="6"/>
  <c r="A36" i="6"/>
  <c r="A37" i="6"/>
  <c r="A38" i="6"/>
  <c r="A43" i="6"/>
  <c r="A44" i="6"/>
  <c r="A45" i="6"/>
  <c r="A46" i="6"/>
  <c r="A47" i="6"/>
  <c r="O20" i="7"/>
  <c r="O21" i="7"/>
  <c r="O22" i="7"/>
  <c r="O23" i="7"/>
  <c r="O34" i="7"/>
  <c r="O35" i="7"/>
  <c r="O36" i="7"/>
  <c r="O37" i="7"/>
  <c r="O38" i="7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A20" i="42"/>
  <c r="A21" i="42"/>
  <c r="A22" i="42"/>
  <c r="A23" i="42"/>
  <c r="A24" i="42"/>
  <c r="A20" i="25"/>
  <c r="A21" i="25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66" i="5"/>
  <c r="K67" i="5"/>
  <c r="K68" i="5"/>
  <c r="K69" i="5"/>
  <c r="K70" i="5"/>
  <c r="K71" i="5"/>
  <c r="K72" i="5"/>
  <c r="K73" i="5"/>
  <c r="A49" i="5"/>
  <c r="A50" i="5"/>
  <c r="A51" i="5"/>
  <c r="A52" i="5"/>
  <c r="A53" i="5"/>
  <c r="A54" i="5"/>
  <c r="A55" i="5"/>
  <c r="A66" i="5"/>
  <c r="A67" i="5"/>
  <c r="A68" i="5"/>
  <c r="A69" i="5"/>
  <c r="A70" i="5"/>
  <c r="A71" i="5"/>
  <c r="A72" i="5"/>
  <c r="A73" i="5"/>
  <c r="A49" i="31"/>
  <c r="A50" i="31"/>
  <c r="A51" i="31"/>
  <c r="A52" i="31"/>
  <c r="A53" i="31"/>
  <c r="A54" i="31"/>
  <c r="A55" i="31"/>
  <c r="A66" i="31"/>
  <c r="A67" i="31"/>
  <c r="A68" i="31"/>
  <c r="A69" i="31"/>
  <c r="A70" i="31"/>
  <c r="A71" i="31"/>
  <c r="A72" i="31"/>
  <c r="A73" i="31"/>
  <c r="M52" i="31"/>
  <c r="M53" i="31"/>
  <c r="M54" i="31"/>
  <c r="M55" i="31"/>
  <c r="M66" i="31"/>
  <c r="M67" i="31"/>
  <c r="M68" i="31"/>
  <c r="M69" i="31"/>
  <c r="M70" i="31"/>
  <c r="M71" i="31"/>
  <c r="M72" i="31"/>
  <c r="M73" i="31"/>
  <c r="M49" i="31"/>
  <c r="M50" i="31"/>
  <c r="M51" i="31"/>
  <c r="M38" i="1"/>
  <c r="K38" i="1"/>
  <c r="I38" i="1"/>
  <c r="G38" i="1"/>
  <c r="E38" i="1"/>
  <c r="C38" i="1"/>
  <c r="M38" i="7"/>
  <c r="K38" i="7"/>
  <c r="I38" i="7"/>
  <c r="G38" i="7"/>
  <c r="E38" i="7"/>
  <c r="C22" i="2"/>
  <c r="C36" i="2"/>
  <c r="C38" i="7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P104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7" i="23"/>
  <c r="P118" i="23"/>
  <c r="P119" i="23"/>
  <c r="P120" i="23"/>
  <c r="P121" i="23"/>
  <c r="P122" i="23"/>
  <c r="P123" i="23"/>
  <c r="P124" i="23"/>
  <c r="P125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8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53" i="23"/>
  <c r="P154" i="23"/>
  <c r="P155" i="23"/>
  <c r="P156" i="23"/>
  <c r="P157" i="23"/>
  <c r="P158" i="23"/>
  <c r="P159" i="23"/>
  <c r="P160" i="23"/>
  <c r="P161" i="23"/>
  <c r="P162" i="23"/>
  <c r="P163" i="23"/>
  <c r="P164" i="23"/>
  <c r="P165" i="23"/>
  <c r="P166" i="23"/>
  <c r="P167" i="23"/>
  <c r="P168" i="23"/>
  <c r="P169" i="23"/>
  <c r="P170" i="23"/>
  <c r="P171" i="23"/>
  <c r="P172" i="23"/>
  <c r="P173" i="23"/>
  <c r="P174" i="23"/>
  <c r="P175" i="23"/>
  <c r="P176" i="23"/>
  <c r="P177" i="23"/>
  <c r="P178" i="23"/>
  <c r="P179" i="23"/>
  <c r="P180" i="23"/>
  <c r="P181" i="23"/>
  <c r="P182" i="23"/>
  <c r="P183" i="23"/>
  <c r="P184" i="23"/>
  <c r="P185" i="23"/>
  <c r="P186" i="23"/>
  <c r="P187" i="23"/>
  <c r="P188" i="23"/>
  <c r="P189" i="23"/>
  <c r="P190" i="23"/>
  <c r="P191" i="23"/>
  <c r="P192" i="23"/>
  <c r="P193" i="23"/>
  <c r="P194" i="23"/>
  <c r="P195" i="23"/>
  <c r="P196" i="23"/>
  <c r="P197" i="23"/>
  <c r="P198" i="23"/>
  <c r="P199" i="23"/>
  <c r="P200" i="23"/>
  <c r="P201" i="23"/>
  <c r="P202" i="23"/>
  <c r="P203" i="23"/>
  <c r="P204" i="23"/>
  <c r="P205" i="23"/>
  <c r="P206" i="23"/>
  <c r="P207" i="23"/>
  <c r="P208" i="23"/>
  <c r="P209" i="23"/>
  <c r="P210" i="23"/>
  <c r="P211" i="23"/>
  <c r="P212" i="23"/>
  <c r="P213" i="23"/>
  <c r="P214" i="23"/>
  <c r="P215" i="23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C14" i="32"/>
  <c r="C12" i="32"/>
  <c r="D12" i="32"/>
  <c r="E12" i="32"/>
  <c r="F12" i="32"/>
  <c r="D22" i="25"/>
  <c r="D38" i="25"/>
  <c r="D13" i="25"/>
  <c r="D26" i="25"/>
  <c r="D16" i="25"/>
  <c r="D35" i="25"/>
  <c r="D28" i="25"/>
  <c r="D32" i="25"/>
  <c r="C16" i="35"/>
  <c r="D19" i="25"/>
  <c r="D40" i="25"/>
  <c r="C45" i="5"/>
  <c r="C45" i="9"/>
  <c r="C68" i="5"/>
  <c r="E45" i="5"/>
  <c r="C45" i="31"/>
  <c r="E45" i="31"/>
  <c r="C68" i="31"/>
  <c r="E35" i="6"/>
  <c r="C13" i="6"/>
  <c r="G45" i="5"/>
  <c r="E68" i="5"/>
  <c r="D13" i="6"/>
  <c r="C68" i="9"/>
  <c r="G13" i="6"/>
  <c r="E45" i="9"/>
  <c r="G45" i="9"/>
  <c r="E68" i="9"/>
  <c r="H13" i="6"/>
  <c r="I45" i="5"/>
  <c r="I68" i="5"/>
  <c r="F13" i="6"/>
  <c r="G68" i="5"/>
  <c r="E13" i="6"/>
  <c r="E68" i="31"/>
  <c r="F35" i="6"/>
  <c r="G45" i="31"/>
  <c r="I45" i="31"/>
  <c r="I68" i="31"/>
  <c r="H35" i="6"/>
  <c r="G68" i="31"/>
  <c r="G35" i="6"/>
  <c r="G68" i="9"/>
  <c r="I45" i="9"/>
  <c r="I68" i="9"/>
  <c r="D35" i="6"/>
  <c r="C35" i="6"/>
  <c r="I35" i="6"/>
  <c r="C16" i="25"/>
  <c r="K68" i="31"/>
  <c r="F16" i="25"/>
  <c r="E16" i="25"/>
  <c r="C20" i="43"/>
  <c r="C23" i="43"/>
  <c r="D20" i="43"/>
  <c r="G53" i="43"/>
  <c r="G56" i="43"/>
  <c r="H31" i="43"/>
  <c r="C31" i="43"/>
  <c r="H77" i="31"/>
  <c r="C35" i="43"/>
  <c r="C37" i="43"/>
  <c r="D31" i="43"/>
  <c r="G64" i="43"/>
  <c r="H53" i="43"/>
  <c r="H56" i="43"/>
  <c r="D23" i="43"/>
  <c r="E20" i="43"/>
  <c r="C64" i="43"/>
  <c r="H35" i="43"/>
  <c r="F78" i="9"/>
  <c r="D77" i="5"/>
  <c r="C43" i="5"/>
  <c r="F77" i="5"/>
  <c r="E23" i="43"/>
  <c r="H77" i="5"/>
  <c r="F20" i="43"/>
  <c r="H64" i="43"/>
  <c r="H68" i="43"/>
  <c r="J78" i="31"/>
  <c r="G68" i="43"/>
  <c r="J77" i="31"/>
  <c r="H70" i="43"/>
  <c r="D35" i="43"/>
  <c r="F78" i="5"/>
  <c r="E31" i="43"/>
  <c r="D78" i="5"/>
  <c r="C43" i="31"/>
  <c r="E43" i="5"/>
  <c r="C66" i="5"/>
  <c r="C43" i="9"/>
  <c r="D64" i="43"/>
  <c r="C68" i="43"/>
  <c r="H78" i="9"/>
  <c r="C53" i="5"/>
  <c r="C51" i="5"/>
  <c r="H39" i="6"/>
  <c r="H78" i="31"/>
  <c r="G39" i="6"/>
  <c r="G70" i="43"/>
  <c r="E43" i="31"/>
  <c r="C66" i="31"/>
  <c r="E64" i="43"/>
  <c r="D68" i="43"/>
  <c r="J78" i="9"/>
  <c r="D39" i="6"/>
  <c r="C17" i="6"/>
  <c r="F23" i="43"/>
  <c r="G20" i="43"/>
  <c r="C53" i="9"/>
  <c r="E53" i="5"/>
  <c r="C84" i="5"/>
  <c r="C53" i="31"/>
  <c r="C66" i="9"/>
  <c r="G11" i="6"/>
  <c r="E43" i="9"/>
  <c r="C11" i="6"/>
  <c r="F31" i="43"/>
  <c r="E35" i="43"/>
  <c r="D37" i="43"/>
  <c r="C81" i="5"/>
  <c r="E51" i="5"/>
  <c r="E66" i="5"/>
  <c r="D11" i="6"/>
  <c r="G43" i="5"/>
  <c r="D17" i="6"/>
  <c r="C84" i="31"/>
  <c r="E43" i="6"/>
  <c r="E53" i="31"/>
  <c r="F64" i="43"/>
  <c r="F68" i="43"/>
  <c r="F78" i="31"/>
  <c r="E68" i="43"/>
  <c r="D78" i="31"/>
  <c r="E37" i="43"/>
  <c r="H78" i="5"/>
  <c r="C21" i="6"/>
  <c r="E33" i="6"/>
  <c r="E84" i="5"/>
  <c r="D21" i="6"/>
  <c r="G53" i="5"/>
  <c r="G43" i="31"/>
  <c r="E66" i="31"/>
  <c r="F35" i="43"/>
  <c r="J78" i="5"/>
  <c r="G31" i="43"/>
  <c r="G35" i="43"/>
  <c r="D78" i="9"/>
  <c r="I43" i="5"/>
  <c r="I66" i="5"/>
  <c r="G66" i="5"/>
  <c r="C88" i="5"/>
  <c r="E53" i="9"/>
  <c r="C84" i="9"/>
  <c r="G21" i="6"/>
  <c r="H20" i="43"/>
  <c r="G23" i="43"/>
  <c r="E81" i="5"/>
  <c r="G51" i="5"/>
  <c r="J77" i="5"/>
  <c r="G43" i="9"/>
  <c r="E66" i="9"/>
  <c r="F37" i="43"/>
  <c r="E88" i="5"/>
  <c r="F33" i="6"/>
  <c r="F17" i="6"/>
  <c r="E84" i="9"/>
  <c r="H21" i="6"/>
  <c r="G53" i="9"/>
  <c r="I43" i="31"/>
  <c r="I66" i="31"/>
  <c r="G66" i="31"/>
  <c r="G33" i="6"/>
  <c r="I68" i="43"/>
  <c r="I51" i="5"/>
  <c r="G81" i="5"/>
  <c r="G84" i="5"/>
  <c r="E21" i="6"/>
  <c r="I53" i="5"/>
  <c r="I84" i="5"/>
  <c r="F21" i="6"/>
  <c r="E17" i="6"/>
  <c r="L78" i="31"/>
  <c r="H11" i="6"/>
  <c r="E11" i="6"/>
  <c r="G37" i="43"/>
  <c r="D77" i="9"/>
  <c r="G17" i="6"/>
  <c r="F11" i="6"/>
  <c r="C53" i="43"/>
  <c r="H23" i="43"/>
  <c r="G53" i="31"/>
  <c r="E84" i="31"/>
  <c r="F43" i="6"/>
  <c r="I43" i="9"/>
  <c r="I66" i="9"/>
  <c r="D33" i="6"/>
  <c r="G66" i="9"/>
  <c r="C33" i="6"/>
  <c r="G88" i="5"/>
  <c r="G84" i="31"/>
  <c r="G43" i="6"/>
  <c r="I53" i="31"/>
  <c r="I84" i="31"/>
  <c r="H43" i="6"/>
  <c r="F77" i="9"/>
  <c r="H17" i="6"/>
  <c r="H37" i="43"/>
  <c r="C51" i="9"/>
  <c r="I81" i="5"/>
  <c r="D53" i="43"/>
  <c r="C56" i="43"/>
  <c r="G84" i="9"/>
  <c r="C43" i="6"/>
  <c r="I53" i="9"/>
  <c r="I84" i="9"/>
  <c r="D43" i="6"/>
  <c r="K66" i="31"/>
  <c r="H33" i="6"/>
  <c r="I33" i="6"/>
  <c r="H21" i="40"/>
  <c r="C21" i="19"/>
  <c r="C21" i="29"/>
  <c r="H21" i="29"/>
  <c r="I43" i="6"/>
  <c r="C35" i="25"/>
  <c r="F35" i="25"/>
  <c r="C13" i="25"/>
  <c r="H77" i="9"/>
  <c r="C39" i="6"/>
  <c r="C70" i="43"/>
  <c r="E53" i="43"/>
  <c r="D56" i="43"/>
  <c r="D70" i="43"/>
  <c r="I88" i="5"/>
  <c r="D21" i="19"/>
  <c r="C26" i="19"/>
  <c r="H26" i="29"/>
  <c r="C54" i="29"/>
  <c r="E51" i="9"/>
  <c r="C81" i="9"/>
  <c r="C54" i="40"/>
  <c r="H26" i="40"/>
  <c r="C26" i="29"/>
  <c r="G54" i="29"/>
  <c r="G59" i="29"/>
  <c r="D21" i="29"/>
  <c r="K84" i="31"/>
  <c r="C21" i="40"/>
  <c r="C22" i="19"/>
  <c r="E35" i="25"/>
  <c r="D22" i="19"/>
  <c r="C27" i="19"/>
  <c r="H54" i="29"/>
  <c r="H59" i="29"/>
  <c r="E21" i="29"/>
  <c r="D26" i="29"/>
  <c r="C59" i="29"/>
  <c r="D54" i="29"/>
  <c r="C26" i="40"/>
  <c r="D21" i="40"/>
  <c r="G54" i="40"/>
  <c r="G59" i="40"/>
  <c r="E21" i="19"/>
  <c r="D26" i="19"/>
  <c r="E81" i="9"/>
  <c r="G51" i="9"/>
  <c r="C59" i="40"/>
  <c r="D54" i="40"/>
  <c r="E56" i="43"/>
  <c r="F53" i="43"/>
  <c r="F56" i="43"/>
  <c r="C88" i="9"/>
  <c r="F13" i="25"/>
  <c r="E13" i="25"/>
  <c r="G81" i="9"/>
  <c r="G88" i="9"/>
  <c r="I51" i="9"/>
  <c r="E54" i="29"/>
  <c r="D59" i="29"/>
  <c r="E88" i="9"/>
  <c r="F21" i="19"/>
  <c r="E26" i="19"/>
  <c r="E26" i="29"/>
  <c r="F21" i="29"/>
  <c r="F70" i="43"/>
  <c r="F77" i="31"/>
  <c r="F39" i="6"/>
  <c r="I56" i="43"/>
  <c r="E70" i="43"/>
  <c r="D77" i="31"/>
  <c r="D59" i="40"/>
  <c r="E54" i="40"/>
  <c r="D26" i="40"/>
  <c r="H54" i="40"/>
  <c r="H59" i="40"/>
  <c r="E21" i="40"/>
  <c r="E22" i="19"/>
  <c r="D27" i="19"/>
  <c r="C20" i="19"/>
  <c r="E59" i="40"/>
  <c r="F54" i="40"/>
  <c r="F59" i="40"/>
  <c r="E27" i="19"/>
  <c r="F22" i="19"/>
  <c r="G21" i="29"/>
  <c r="G26" i="29"/>
  <c r="F26" i="29"/>
  <c r="F21" i="40"/>
  <c r="E26" i="40"/>
  <c r="E39" i="6"/>
  <c r="I39" i="6"/>
  <c r="C22" i="25"/>
  <c r="L77" i="31"/>
  <c r="D20" i="19"/>
  <c r="C25" i="19"/>
  <c r="I70" i="43"/>
  <c r="I81" i="9"/>
  <c r="C51" i="31"/>
  <c r="G21" i="19"/>
  <c r="F26" i="19"/>
  <c r="F54" i="29"/>
  <c r="F59" i="29"/>
  <c r="E59" i="29"/>
  <c r="C27" i="36"/>
  <c r="G22" i="19"/>
  <c r="F27" i="19"/>
  <c r="F22" i="25"/>
  <c r="E22" i="25"/>
  <c r="C32" i="36"/>
  <c r="D27" i="36"/>
  <c r="C28" i="19"/>
  <c r="C31" i="19"/>
  <c r="F26" i="40"/>
  <c r="G21" i="40"/>
  <c r="G26" i="40"/>
  <c r="G26" i="19"/>
  <c r="H21" i="19"/>
  <c r="C81" i="31"/>
  <c r="C88" i="31"/>
  <c r="E51" i="31"/>
  <c r="D25" i="19"/>
  <c r="D28" i="19"/>
  <c r="D31" i="19"/>
  <c r="F86" i="5"/>
  <c r="D23" i="6"/>
  <c r="E20" i="19"/>
  <c r="I88" i="9"/>
  <c r="I59" i="29"/>
  <c r="C26" i="36"/>
  <c r="C26" i="18"/>
  <c r="C25" i="36"/>
  <c r="C27" i="18"/>
  <c r="I59" i="40"/>
  <c r="D86" i="5"/>
  <c r="C31" i="18"/>
  <c r="D26" i="18"/>
  <c r="C48" i="19"/>
  <c r="H26" i="19"/>
  <c r="E27" i="36"/>
  <c r="D32" i="36"/>
  <c r="G27" i="19"/>
  <c r="H22" i="19"/>
  <c r="C32" i="18"/>
  <c r="D27" i="18"/>
  <c r="D25" i="36"/>
  <c r="C30" i="36"/>
  <c r="F20" i="19"/>
  <c r="E25" i="19"/>
  <c r="D26" i="36"/>
  <c r="C31" i="36"/>
  <c r="G51" i="31"/>
  <c r="E81" i="31"/>
  <c r="C25" i="18"/>
  <c r="C22" i="30"/>
  <c r="C23" i="30"/>
  <c r="E26" i="36"/>
  <c r="D31" i="36"/>
  <c r="D30" i="36"/>
  <c r="E25" i="36"/>
  <c r="E32" i="36"/>
  <c r="F27" i="36"/>
  <c r="D32" i="18"/>
  <c r="E27" i="18"/>
  <c r="C53" i="19"/>
  <c r="D48" i="19"/>
  <c r="D25" i="18"/>
  <c r="C30" i="18"/>
  <c r="D23" i="30"/>
  <c r="C28" i="30"/>
  <c r="E88" i="31"/>
  <c r="C49" i="19"/>
  <c r="H27" i="19"/>
  <c r="D31" i="18"/>
  <c r="E26" i="18"/>
  <c r="I51" i="31"/>
  <c r="I81" i="31"/>
  <c r="G81" i="31"/>
  <c r="G88" i="31"/>
  <c r="C33" i="36"/>
  <c r="D82" i="5"/>
  <c r="E28" i="19"/>
  <c r="E31" i="19"/>
  <c r="C27" i="30"/>
  <c r="D22" i="30"/>
  <c r="G20" i="19"/>
  <c r="F25" i="19"/>
  <c r="F28" i="19"/>
  <c r="F31" i="19"/>
  <c r="J86" i="5"/>
  <c r="F23" i="6"/>
  <c r="C23" i="6"/>
  <c r="C21" i="30"/>
  <c r="K81" i="31"/>
  <c r="C26" i="25"/>
  <c r="E26" i="25"/>
  <c r="D21" i="30"/>
  <c r="C26" i="30"/>
  <c r="H86" i="5"/>
  <c r="D30" i="18"/>
  <c r="D33" i="18"/>
  <c r="F71" i="5"/>
  <c r="E25" i="18"/>
  <c r="G27" i="36"/>
  <c r="F32" i="36"/>
  <c r="D53" i="19"/>
  <c r="E48" i="19"/>
  <c r="E31" i="18"/>
  <c r="F26" i="18"/>
  <c r="C19" i="6"/>
  <c r="D49" i="19"/>
  <c r="C54" i="19"/>
  <c r="F25" i="36"/>
  <c r="E30" i="36"/>
  <c r="D33" i="36"/>
  <c r="F82" i="5"/>
  <c r="D19" i="6"/>
  <c r="E22" i="30"/>
  <c r="D27" i="30"/>
  <c r="F27" i="18"/>
  <c r="E32" i="18"/>
  <c r="E31" i="36"/>
  <c r="F26" i="36"/>
  <c r="C33" i="18"/>
  <c r="D71" i="5"/>
  <c r="G25" i="19"/>
  <c r="H20" i="19"/>
  <c r="I88" i="31"/>
  <c r="K88" i="31"/>
  <c r="D28" i="30"/>
  <c r="E23" i="30"/>
  <c r="C23" i="27"/>
  <c r="H23" i="39"/>
  <c r="H22" i="39"/>
  <c r="C23" i="39"/>
  <c r="H22" i="27"/>
  <c r="C22" i="27"/>
  <c r="H23" i="27"/>
  <c r="C22" i="39"/>
  <c r="F26" i="25"/>
  <c r="E30" i="18"/>
  <c r="F25" i="18"/>
  <c r="H27" i="27"/>
  <c r="C47" i="27"/>
  <c r="F31" i="36"/>
  <c r="G26" i="36"/>
  <c r="C28" i="39"/>
  <c r="D23" i="39"/>
  <c r="H48" i="39"/>
  <c r="H53" i="39"/>
  <c r="G48" i="39"/>
  <c r="G53" i="39"/>
  <c r="F31" i="18"/>
  <c r="G26" i="18"/>
  <c r="H28" i="27"/>
  <c r="C48" i="27"/>
  <c r="E23" i="6"/>
  <c r="H28" i="39"/>
  <c r="C48" i="39"/>
  <c r="F23" i="30"/>
  <c r="E28" i="30"/>
  <c r="G27" i="18"/>
  <c r="F32" i="18"/>
  <c r="E33" i="36"/>
  <c r="H82" i="5"/>
  <c r="E19" i="6"/>
  <c r="E53" i="19"/>
  <c r="F48" i="19"/>
  <c r="C29" i="30"/>
  <c r="D72" i="5"/>
  <c r="G28" i="19"/>
  <c r="G31" i="19"/>
  <c r="C27" i="27"/>
  <c r="G47" i="27"/>
  <c r="G52" i="27"/>
  <c r="H47" i="27"/>
  <c r="H52" i="27"/>
  <c r="D22" i="27"/>
  <c r="D22" i="39"/>
  <c r="C27" i="39"/>
  <c r="H47" i="39"/>
  <c r="H52" i="39"/>
  <c r="G47" i="39"/>
  <c r="G52" i="39"/>
  <c r="H27" i="39"/>
  <c r="C47" i="39"/>
  <c r="H25" i="19"/>
  <c r="H28" i="19"/>
  <c r="H31" i="19"/>
  <c r="F86" i="9"/>
  <c r="H23" i="6"/>
  <c r="C47" i="19"/>
  <c r="F30" i="36"/>
  <c r="G25" i="36"/>
  <c r="E21" i="30"/>
  <c r="D26" i="30"/>
  <c r="D29" i="30"/>
  <c r="F72" i="5"/>
  <c r="D23" i="27"/>
  <c r="C28" i="27"/>
  <c r="G48" i="27"/>
  <c r="G53" i="27"/>
  <c r="H48" i="27"/>
  <c r="H53" i="27"/>
  <c r="E27" i="30"/>
  <c r="F22" i="30"/>
  <c r="E49" i="19"/>
  <c r="D54" i="19"/>
  <c r="H27" i="36"/>
  <c r="G32" i="36"/>
  <c r="C21" i="39"/>
  <c r="H22" i="40"/>
  <c r="H22" i="29"/>
  <c r="C23" i="29"/>
  <c r="C22" i="40"/>
  <c r="H23" i="40"/>
  <c r="C23" i="40"/>
  <c r="C22" i="29"/>
  <c r="H23" i="29"/>
  <c r="H21" i="27"/>
  <c r="H21" i="39"/>
  <c r="C21" i="27"/>
  <c r="E54" i="19"/>
  <c r="F49" i="19"/>
  <c r="F21" i="30"/>
  <c r="E26" i="30"/>
  <c r="H25" i="36"/>
  <c r="G30" i="36"/>
  <c r="F33" i="36"/>
  <c r="J82" i="5"/>
  <c r="F19" i="6"/>
  <c r="E22" i="39"/>
  <c r="D27" i="39"/>
  <c r="G23" i="30"/>
  <c r="F28" i="30"/>
  <c r="D47" i="27"/>
  <c r="C52" i="27"/>
  <c r="H28" i="29"/>
  <c r="C56" i="29"/>
  <c r="D22" i="29"/>
  <c r="C27" i="29"/>
  <c r="G55" i="29"/>
  <c r="G60" i="29"/>
  <c r="C28" i="40"/>
  <c r="G56" i="40"/>
  <c r="G61" i="40"/>
  <c r="D23" i="40"/>
  <c r="H28" i="40"/>
  <c r="C56" i="40"/>
  <c r="G55" i="40"/>
  <c r="G60" i="40"/>
  <c r="C27" i="40"/>
  <c r="D22" i="40"/>
  <c r="D21" i="39"/>
  <c r="H46" i="39"/>
  <c r="H51" i="39"/>
  <c r="H54" i="39"/>
  <c r="G46" i="39"/>
  <c r="G51" i="39"/>
  <c r="G54" i="39"/>
  <c r="C26" i="39"/>
  <c r="C52" i="19"/>
  <c r="D47" i="19"/>
  <c r="D27" i="27"/>
  <c r="E22" i="27"/>
  <c r="G48" i="19"/>
  <c r="F53" i="19"/>
  <c r="D48" i="39"/>
  <c r="C53" i="39"/>
  <c r="H26" i="18"/>
  <c r="G31" i="18"/>
  <c r="H27" i="29"/>
  <c r="C55" i="29"/>
  <c r="H46" i="27"/>
  <c r="H51" i="27"/>
  <c r="C26" i="27"/>
  <c r="D21" i="27"/>
  <c r="G46" i="27"/>
  <c r="G51" i="27"/>
  <c r="H27" i="40"/>
  <c r="C55" i="40"/>
  <c r="G22" i="30"/>
  <c r="F27" i="30"/>
  <c r="C53" i="27"/>
  <c r="D48" i="27"/>
  <c r="H26" i="39"/>
  <c r="H29" i="39"/>
  <c r="C46" i="39"/>
  <c r="F30" i="18"/>
  <c r="F33" i="18"/>
  <c r="J71" i="5"/>
  <c r="G25" i="18"/>
  <c r="E33" i="18"/>
  <c r="H71" i="5"/>
  <c r="C46" i="27"/>
  <c r="H26" i="27"/>
  <c r="D47" i="39"/>
  <c r="C52" i="39"/>
  <c r="G56" i="29"/>
  <c r="G61" i="29"/>
  <c r="D23" i="29"/>
  <c r="C28" i="29"/>
  <c r="H32" i="36"/>
  <c r="C56" i="36"/>
  <c r="E23" i="27"/>
  <c r="D28" i="27"/>
  <c r="D86" i="9"/>
  <c r="G32" i="18"/>
  <c r="H27" i="18"/>
  <c r="D28" i="39"/>
  <c r="E23" i="39"/>
  <c r="H26" i="36"/>
  <c r="G31" i="36"/>
  <c r="D55" i="40"/>
  <c r="C60" i="40"/>
  <c r="C33" i="40"/>
  <c r="C29" i="40"/>
  <c r="C33" i="29"/>
  <c r="C29" i="29"/>
  <c r="D74" i="5"/>
  <c r="F26" i="30"/>
  <c r="F29" i="30"/>
  <c r="J72" i="5"/>
  <c r="G21" i="30"/>
  <c r="F23" i="39"/>
  <c r="E28" i="39"/>
  <c r="H32" i="18"/>
  <c r="C56" i="18"/>
  <c r="C61" i="36"/>
  <c r="D56" i="36"/>
  <c r="H29" i="27"/>
  <c r="F73" i="9"/>
  <c r="C51" i="39"/>
  <c r="C54" i="39"/>
  <c r="D46" i="39"/>
  <c r="H29" i="40"/>
  <c r="D52" i="19"/>
  <c r="D55" i="19"/>
  <c r="D58" i="19"/>
  <c r="J86" i="9"/>
  <c r="D45" i="6"/>
  <c r="E47" i="19"/>
  <c r="G62" i="40"/>
  <c r="D27" i="29"/>
  <c r="E22" i="29"/>
  <c r="H55" i="29"/>
  <c r="H60" i="29"/>
  <c r="G49" i="19"/>
  <c r="F54" i="19"/>
  <c r="H29" i="29"/>
  <c r="F74" i="9"/>
  <c r="F22" i="27"/>
  <c r="E27" i="27"/>
  <c r="H23" i="30"/>
  <c r="G28" i="30"/>
  <c r="F23" i="27"/>
  <c r="E28" i="27"/>
  <c r="G54" i="27"/>
  <c r="H73" i="31"/>
  <c r="C55" i="19"/>
  <c r="C58" i="19"/>
  <c r="C61" i="40"/>
  <c r="D56" i="40"/>
  <c r="C61" i="29"/>
  <c r="D56" i="29"/>
  <c r="F22" i="39"/>
  <c r="E27" i="39"/>
  <c r="G62" i="29"/>
  <c r="H74" i="31"/>
  <c r="D46" i="27"/>
  <c r="C51" i="27"/>
  <c r="E48" i="27"/>
  <c r="D53" i="27"/>
  <c r="D26" i="27"/>
  <c r="E21" i="27"/>
  <c r="C29" i="39"/>
  <c r="D27" i="40"/>
  <c r="H55" i="40"/>
  <c r="H60" i="40"/>
  <c r="E22" i="40"/>
  <c r="E29" i="30"/>
  <c r="H72" i="5"/>
  <c r="C29" i="27"/>
  <c r="D73" i="5"/>
  <c r="C32" i="29"/>
  <c r="C32" i="40"/>
  <c r="D53" i="39"/>
  <c r="E48" i="39"/>
  <c r="E23" i="40"/>
  <c r="D28" i="40"/>
  <c r="D34" i="40"/>
  <c r="H56" i="40"/>
  <c r="H61" i="40"/>
  <c r="G27" i="30"/>
  <c r="H22" i="30"/>
  <c r="H31" i="18"/>
  <c r="C55" i="18"/>
  <c r="C34" i="29"/>
  <c r="G23" i="6"/>
  <c r="E23" i="29"/>
  <c r="D28" i="29"/>
  <c r="D34" i="29"/>
  <c r="H56" i="29"/>
  <c r="H61" i="29"/>
  <c r="H54" i="27"/>
  <c r="J73" i="31"/>
  <c r="E47" i="27"/>
  <c r="D52" i="27"/>
  <c r="G33" i="36"/>
  <c r="D82" i="9"/>
  <c r="D52" i="39"/>
  <c r="E47" i="39"/>
  <c r="H31" i="36"/>
  <c r="C55" i="36"/>
  <c r="H25" i="18"/>
  <c r="G30" i="18"/>
  <c r="G33" i="18"/>
  <c r="D71" i="9"/>
  <c r="D55" i="29"/>
  <c r="C60" i="29"/>
  <c r="G53" i="19"/>
  <c r="H48" i="19"/>
  <c r="H53" i="19"/>
  <c r="D26" i="39"/>
  <c r="D29" i="39"/>
  <c r="E21" i="39"/>
  <c r="C34" i="40"/>
  <c r="H30" i="36"/>
  <c r="C54" i="36"/>
  <c r="H33" i="36"/>
  <c r="F82" i="9"/>
  <c r="H19" i="6"/>
  <c r="C35" i="29"/>
  <c r="C37" i="29"/>
  <c r="C35" i="40"/>
  <c r="C37" i="40"/>
  <c r="I53" i="19"/>
  <c r="D33" i="40"/>
  <c r="D29" i="40"/>
  <c r="E53" i="27"/>
  <c r="F48" i="27"/>
  <c r="F53" i="27"/>
  <c r="F27" i="39"/>
  <c r="G22" i="39"/>
  <c r="G27" i="39"/>
  <c r="D33" i="29"/>
  <c r="D29" i="29"/>
  <c r="F74" i="5"/>
  <c r="D51" i="39"/>
  <c r="D54" i="39"/>
  <c r="E46" i="39"/>
  <c r="E28" i="29"/>
  <c r="E34" i="29"/>
  <c r="F23" i="29"/>
  <c r="G22" i="27"/>
  <c r="G27" i="27"/>
  <c r="F27" i="27"/>
  <c r="E52" i="39"/>
  <c r="F47" i="39"/>
  <c r="F52" i="39"/>
  <c r="D61" i="29"/>
  <c r="E56" i="29"/>
  <c r="E52" i="27"/>
  <c r="F47" i="27"/>
  <c r="F52" i="27"/>
  <c r="F22" i="29"/>
  <c r="E27" i="29"/>
  <c r="D56" i="18"/>
  <c r="C61" i="18"/>
  <c r="C15" i="6"/>
  <c r="D88" i="5"/>
  <c r="F23" i="40"/>
  <c r="E28" i="40"/>
  <c r="C54" i="27"/>
  <c r="H73" i="9"/>
  <c r="G23" i="39"/>
  <c r="G28" i="39"/>
  <c r="F28" i="39"/>
  <c r="C54" i="18"/>
  <c r="H30" i="18"/>
  <c r="H33" i="18"/>
  <c r="F71" i="9"/>
  <c r="H27" i="30"/>
  <c r="C47" i="30"/>
  <c r="F21" i="39"/>
  <c r="E26" i="39"/>
  <c r="E29" i="39"/>
  <c r="D55" i="36"/>
  <c r="C60" i="36"/>
  <c r="H62" i="40"/>
  <c r="C59" i="36"/>
  <c r="D54" i="36"/>
  <c r="C62" i="29"/>
  <c r="H74" i="9"/>
  <c r="D55" i="18"/>
  <c r="C60" i="18"/>
  <c r="E53" i="39"/>
  <c r="F48" i="39"/>
  <c r="F53" i="39"/>
  <c r="E46" i="27"/>
  <c r="D51" i="27"/>
  <c r="D61" i="40"/>
  <c r="E56" i="40"/>
  <c r="G23" i="27"/>
  <c r="G28" i="27"/>
  <c r="F28" i="27"/>
  <c r="F47" i="19"/>
  <c r="E52" i="19"/>
  <c r="G26" i="30"/>
  <c r="H21" i="30"/>
  <c r="C62" i="40"/>
  <c r="D60" i="29"/>
  <c r="E55" i="29"/>
  <c r="G19" i="6"/>
  <c r="D60" i="40"/>
  <c r="E55" i="40"/>
  <c r="E26" i="27"/>
  <c r="F21" i="27"/>
  <c r="C48" i="30"/>
  <c r="H28" i="30"/>
  <c r="H49" i="19"/>
  <c r="H54" i="19"/>
  <c r="G54" i="19"/>
  <c r="D61" i="36"/>
  <c r="E56" i="36"/>
  <c r="E27" i="40"/>
  <c r="F22" i="40"/>
  <c r="D29" i="27"/>
  <c r="F73" i="5"/>
  <c r="D32" i="29"/>
  <c r="D32" i="40"/>
  <c r="H86" i="9"/>
  <c r="H62" i="29"/>
  <c r="J74" i="31"/>
  <c r="D35" i="29"/>
  <c r="D37" i="29"/>
  <c r="I52" i="27"/>
  <c r="D35" i="40"/>
  <c r="D37" i="40"/>
  <c r="I53" i="39"/>
  <c r="I52" i="39"/>
  <c r="I53" i="27"/>
  <c r="C62" i="36"/>
  <c r="H82" i="9"/>
  <c r="C41" i="6"/>
  <c r="D62" i="40"/>
  <c r="D60" i="36"/>
  <c r="E55" i="36"/>
  <c r="I54" i="19"/>
  <c r="C46" i="30"/>
  <c r="H26" i="30"/>
  <c r="D54" i="27"/>
  <c r="J73" i="9"/>
  <c r="C25" i="6"/>
  <c r="F46" i="39"/>
  <c r="F51" i="39"/>
  <c r="F54" i="39"/>
  <c r="E51" i="39"/>
  <c r="E54" i="39"/>
  <c r="G29" i="30"/>
  <c r="D72" i="9"/>
  <c r="E51" i="27"/>
  <c r="F46" i="27"/>
  <c r="F51" i="27"/>
  <c r="F26" i="39"/>
  <c r="G21" i="39"/>
  <c r="G26" i="39"/>
  <c r="G29" i="39"/>
  <c r="G22" i="40"/>
  <c r="G27" i="40"/>
  <c r="F27" i="40"/>
  <c r="C53" i="30"/>
  <c r="D48" i="30"/>
  <c r="E55" i="19"/>
  <c r="E58" i="19"/>
  <c r="D59" i="36"/>
  <c r="E54" i="36"/>
  <c r="D47" i="30"/>
  <c r="C52" i="30"/>
  <c r="D15" i="6"/>
  <c r="D25" i="6"/>
  <c r="F88" i="5"/>
  <c r="F90" i="5"/>
  <c r="H34" i="40"/>
  <c r="H34" i="29"/>
  <c r="H33" i="40"/>
  <c r="H33" i="29"/>
  <c r="D61" i="18"/>
  <c r="E56" i="18"/>
  <c r="E33" i="40"/>
  <c r="E29" i="40"/>
  <c r="F26" i="27"/>
  <c r="G21" i="27"/>
  <c r="G26" i="27"/>
  <c r="F52" i="19"/>
  <c r="F55" i="19"/>
  <c r="F58" i="19"/>
  <c r="F86" i="31"/>
  <c r="F45" i="6"/>
  <c r="G47" i="19"/>
  <c r="F55" i="29"/>
  <c r="F60" i="29"/>
  <c r="E60" i="29"/>
  <c r="E33" i="29"/>
  <c r="E29" i="29"/>
  <c r="H74" i="5"/>
  <c r="E61" i="29"/>
  <c r="F56" i="29"/>
  <c r="F61" i="29"/>
  <c r="D90" i="5"/>
  <c r="C59" i="18"/>
  <c r="C62" i="18"/>
  <c r="H71" i="9"/>
  <c r="D54" i="18"/>
  <c r="E34" i="40"/>
  <c r="F27" i="29"/>
  <c r="G22" i="29"/>
  <c r="G27" i="29"/>
  <c r="E29" i="27"/>
  <c r="H73" i="5"/>
  <c r="E32" i="29"/>
  <c r="E32" i="40"/>
  <c r="E61" i="36"/>
  <c r="F56" i="36"/>
  <c r="D62" i="29"/>
  <c r="J74" i="9"/>
  <c r="C45" i="6"/>
  <c r="E60" i="40"/>
  <c r="F55" i="40"/>
  <c r="F60" i="40"/>
  <c r="E61" i="40"/>
  <c r="F56" i="40"/>
  <c r="F61" i="40"/>
  <c r="E55" i="18"/>
  <c r="D60" i="18"/>
  <c r="F28" i="40"/>
  <c r="F34" i="40"/>
  <c r="G23" i="40"/>
  <c r="G28" i="40"/>
  <c r="G34" i="40"/>
  <c r="F28" i="29"/>
  <c r="F34" i="29"/>
  <c r="G23" i="29"/>
  <c r="G28" i="29"/>
  <c r="G34" i="29"/>
  <c r="I61" i="40"/>
  <c r="E35" i="40"/>
  <c r="E37" i="40"/>
  <c r="D59" i="18"/>
  <c r="D62" i="18"/>
  <c r="J71" i="9"/>
  <c r="E54" i="18"/>
  <c r="D62" i="36"/>
  <c r="J82" i="9"/>
  <c r="F55" i="36"/>
  <c r="E60" i="36"/>
  <c r="G33" i="40"/>
  <c r="G29" i="40"/>
  <c r="E35" i="29"/>
  <c r="E37" i="29"/>
  <c r="E15" i="6"/>
  <c r="E25" i="6"/>
  <c r="H88" i="5"/>
  <c r="I61" i="29"/>
  <c r="F29" i="39"/>
  <c r="I51" i="39"/>
  <c r="I54" i="39"/>
  <c r="F54" i="36"/>
  <c r="E59" i="36"/>
  <c r="E62" i="29"/>
  <c r="D74" i="31"/>
  <c r="D86" i="31"/>
  <c r="F54" i="27"/>
  <c r="F73" i="31"/>
  <c r="F29" i="27"/>
  <c r="J73" i="5"/>
  <c r="F32" i="29"/>
  <c r="F32" i="40"/>
  <c r="E60" i="18"/>
  <c r="F55" i="18"/>
  <c r="G33" i="29"/>
  <c r="G29" i="29"/>
  <c r="D74" i="9"/>
  <c r="F62" i="29"/>
  <c r="F74" i="31"/>
  <c r="F56" i="18"/>
  <c r="E61" i="18"/>
  <c r="E54" i="27"/>
  <c r="D73" i="31"/>
  <c r="F62" i="40"/>
  <c r="G56" i="36"/>
  <c r="F61" i="36"/>
  <c r="F33" i="29"/>
  <c r="F29" i="29"/>
  <c r="J74" i="5"/>
  <c r="I60" i="29"/>
  <c r="G52" i="19"/>
  <c r="G55" i="19"/>
  <c r="G58" i="19"/>
  <c r="H86" i="31"/>
  <c r="G45" i="6"/>
  <c r="H47" i="19"/>
  <c r="H52" i="19"/>
  <c r="D53" i="30"/>
  <c r="E48" i="30"/>
  <c r="C66" i="40"/>
  <c r="C66" i="29"/>
  <c r="C67" i="29"/>
  <c r="C67" i="40"/>
  <c r="H29" i="30"/>
  <c r="F72" i="9"/>
  <c r="H32" i="40"/>
  <c r="H35" i="40"/>
  <c r="H37" i="40"/>
  <c r="H32" i="29"/>
  <c r="H35" i="29"/>
  <c r="H37" i="29"/>
  <c r="E62" i="40"/>
  <c r="I51" i="27"/>
  <c r="G29" i="27"/>
  <c r="D73" i="9"/>
  <c r="G32" i="29"/>
  <c r="G32" i="40"/>
  <c r="E47" i="30"/>
  <c r="D52" i="30"/>
  <c r="F33" i="40"/>
  <c r="F29" i="40"/>
  <c r="C51" i="30"/>
  <c r="D46" i="30"/>
  <c r="I60" i="40"/>
  <c r="G35" i="29"/>
  <c r="G37" i="29"/>
  <c r="G15" i="6"/>
  <c r="G25" i="6"/>
  <c r="G35" i="40"/>
  <c r="G37" i="40"/>
  <c r="E62" i="36"/>
  <c r="D82" i="31"/>
  <c r="E41" i="6"/>
  <c r="L74" i="31"/>
  <c r="F15" i="6"/>
  <c r="F25" i="6"/>
  <c r="J88" i="5"/>
  <c r="J90" i="5"/>
  <c r="G55" i="36"/>
  <c r="F60" i="36"/>
  <c r="H90" i="5"/>
  <c r="F59" i="36"/>
  <c r="G54" i="36"/>
  <c r="E59" i="18"/>
  <c r="E62" i="18"/>
  <c r="D71" i="31"/>
  <c r="F54" i="18"/>
  <c r="I62" i="40"/>
  <c r="E46" i="30"/>
  <c r="D51" i="30"/>
  <c r="L73" i="31"/>
  <c r="I54" i="27"/>
  <c r="F48" i="30"/>
  <c r="E53" i="30"/>
  <c r="E45" i="6"/>
  <c r="F47" i="30"/>
  <c r="E52" i="30"/>
  <c r="I62" i="29"/>
  <c r="D88" i="9"/>
  <c r="D90" i="9"/>
  <c r="D67" i="29"/>
  <c r="D67" i="40"/>
  <c r="H56" i="36"/>
  <c r="H61" i="36"/>
  <c r="G61" i="36"/>
  <c r="G56" i="18"/>
  <c r="F61" i="18"/>
  <c r="F35" i="40"/>
  <c r="F37" i="40"/>
  <c r="D41" i="6"/>
  <c r="C54" i="30"/>
  <c r="H72" i="9"/>
  <c r="C65" i="40"/>
  <c r="C68" i="40"/>
  <c r="C70" i="40"/>
  <c r="C65" i="29"/>
  <c r="C68" i="29"/>
  <c r="C70" i="29"/>
  <c r="H15" i="6"/>
  <c r="H25" i="6"/>
  <c r="F88" i="9"/>
  <c r="F90" i="9"/>
  <c r="G55" i="18"/>
  <c r="F60" i="18"/>
  <c r="D66" i="40"/>
  <c r="D66" i="29"/>
  <c r="H55" i="19"/>
  <c r="H58" i="19"/>
  <c r="I52" i="19"/>
  <c r="I55" i="19"/>
  <c r="F35" i="29"/>
  <c r="F37" i="29"/>
  <c r="I61" i="36"/>
  <c r="F53" i="30"/>
  <c r="G48" i="30"/>
  <c r="E67" i="40"/>
  <c r="E67" i="29"/>
  <c r="G61" i="18"/>
  <c r="H56" i="18"/>
  <c r="H61" i="18"/>
  <c r="E66" i="29"/>
  <c r="E66" i="40"/>
  <c r="H55" i="36"/>
  <c r="H60" i="36"/>
  <c r="G60" i="36"/>
  <c r="J86" i="31"/>
  <c r="I58" i="19"/>
  <c r="F52" i="30"/>
  <c r="G47" i="30"/>
  <c r="G54" i="18"/>
  <c r="F59" i="18"/>
  <c r="F62" i="18"/>
  <c r="F71" i="31"/>
  <c r="H55" i="18"/>
  <c r="H60" i="18"/>
  <c r="G60" i="18"/>
  <c r="H88" i="9"/>
  <c r="H90" i="9"/>
  <c r="C37" i="6"/>
  <c r="C47" i="6"/>
  <c r="D54" i="30"/>
  <c r="J72" i="9"/>
  <c r="D65" i="40"/>
  <c r="D68" i="40"/>
  <c r="D70" i="40"/>
  <c r="D65" i="29"/>
  <c r="D68" i="29"/>
  <c r="D70" i="29"/>
  <c r="H54" i="36"/>
  <c r="H59" i="36"/>
  <c r="G59" i="36"/>
  <c r="F46" i="30"/>
  <c r="E51" i="30"/>
  <c r="F62" i="36"/>
  <c r="F82" i="31"/>
  <c r="G62" i="36"/>
  <c r="H82" i="31"/>
  <c r="G41" i="6"/>
  <c r="I60" i="36"/>
  <c r="I60" i="18"/>
  <c r="F66" i="29"/>
  <c r="F66" i="40"/>
  <c r="I61" i="18"/>
  <c r="H47" i="30"/>
  <c r="H52" i="30"/>
  <c r="G52" i="30"/>
  <c r="H45" i="6"/>
  <c r="I45" i="6"/>
  <c r="C38" i="25"/>
  <c r="L86" i="31"/>
  <c r="H62" i="36"/>
  <c r="J82" i="31"/>
  <c r="H41" i="6"/>
  <c r="I59" i="36"/>
  <c r="G53" i="30"/>
  <c r="H48" i="30"/>
  <c r="H53" i="30"/>
  <c r="F51" i="30"/>
  <c r="G46" i="30"/>
  <c r="F67" i="29"/>
  <c r="F67" i="40"/>
  <c r="D37" i="6"/>
  <c r="D47" i="6"/>
  <c r="J88" i="9"/>
  <c r="J90" i="9"/>
  <c r="F41" i="6"/>
  <c r="E54" i="30"/>
  <c r="D72" i="31"/>
  <c r="E65" i="29"/>
  <c r="E68" i="29"/>
  <c r="E70" i="29"/>
  <c r="E65" i="40"/>
  <c r="E68" i="40"/>
  <c r="E70" i="40"/>
  <c r="H54" i="18"/>
  <c r="H59" i="18"/>
  <c r="G59" i="18"/>
  <c r="G62" i="18"/>
  <c r="H71" i="31"/>
  <c r="I62" i="36"/>
  <c r="I41" i="6"/>
  <c r="G51" i="30"/>
  <c r="H46" i="30"/>
  <c r="H51" i="30"/>
  <c r="L82" i="31"/>
  <c r="C28" i="25"/>
  <c r="F54" i="30"/>
  <c r="F72" i="31"/>
  <c r="F65" i="29"/>
  <c r="F68" i="29"/>
  <c r="F70" i="29"/>
  <c r="F65" i="40"/>
  <c r="F68" i="40"/>
  <c r="F70" i="40"/>
  <c r="G66" i="29"/>
  <c r="G66" i="40"/>
  <c r="E38" i="25"/>
  <c r="F38" i="25"/>
  <c r="H62" i="18"/>
  <c r="J71" i="31"/>
  <c r="L71" i="31"/>
  <c r="I59" i="18"/>
  <c r="I62" i="18"/>
  <c r="H67" i="29"/>
  <c r="H67" i="40"/>
  <c r="I53" i="30"/>
  <c r="H66" i="40"/>
  <c r="H66" i="29"/>
  <c r="G67" i="29"/>
  <c r="G67" i="40"/>
  <c r="I52" i="30"/>
  <c r="D88" i="31"/>
  <c r="E37" i="6"/>
  <c r="E47" i="6"/>
  <c r="I66" i="40"/>
  <c r="I66" i="29"/>
  <c r="I67" i="40"/>
  <c r="I67" i="29"/>
  <c r="F88" i="31"/>
  <c r="F90" i="31"/>
  <c r="F37" i="6"/>
  <c r="F47" i="6"/>
  <c r="E28" i="25"/>
  <c r="F28" i="25"/>
  <c r="C32" i="25"/>
  <c r="H54" i="30"/>
  <c r="J72" i="31"/>
  <c r="J88" i="31"/>
  <c r="J90" i="31"/>
  <c r="H65" i="29"/>
  <c r="H68" i="29"/>
  <c r="H70" i="29"/>
  <c r="H65" i="40"/>
  <c r="H68" i="40"/>
  <c r="H70" i="40"/>
  <c r="I51" i="30"/>
  <c r="G54" i="30"/>
  <c r="H72" i="31"/>
  <c r="G65" i="40"/>
  <c r="G68" i="40"/>
  <c r="G70" i="40"/>
  <c r="G65" i="29"/>
  <c r="G68" i="29"/>
  <c r="G70" i="29"/>
  <c r="D90" i="31"/>
  <c r="H37" i="6"/>
  <c r="H47" i="6"/>
  <c r="H88" i="31"/>
  <c r="G37" i="6"/>
  <c r="G47" i="6"/>
  <c r="I54" i="30"/>
  <c r="I65" i="29"/>
  <c r="I68" i="29"/>
  <c r="I70" i="29"/>
  <c r="I65" i="40"/>
  <c r="I68" i="40"/>
  <c r="I70" i="40"/>
  <c r="L72" i="31"/>
  <c r="E32" i="25"/>
  <c r="F32" i="25"/>
  <c r="I37" i="6"/>
  <c r="H90" i="31"/>
  <c r="L88" i="31"/>
  <c r="L90" i="31"/>
  <c r="C19" i="25"/>
  <c r="I47" i="6"/>
  <c r="C14" i="35"/>
  <c r="C18" i="35"/>
  <c r="C20" i="35"/>
  <c r="C24" i="35"/>
  <c r="D14" i="32"/>
  <c r="D16" i="32"/>
  <c r="E16" i="32"/>
  <c r="F16" i="32"/>
  <c r="E14" i="32"/>
  <c r="F14" i="32"/>
  <c r="F19" i="25"/>
  <c r="E19" i="25"/>
  <c r="E40" i="25"/>
  <c r="F40" i="25"/>
  <c r="C40" i="25"/>
</calcChain>
</file>

<file path=xl/sharedStrings.xml><?xml version="1.0" encoding="utf-8"?>
<sst xmlns="http://schemas.openxmlformats.org/spreadsheetml/2006/main" count="1603" uniqueCount="480">
  <si>
    <t>Statement BG</t>
  </si>
  <si>
    <t>SAN DIEGO GAS AND ELECTRIC COMPANY</t>
  </si>
  <si>
    <t>Transmission Revenues Data to Reflect Changed Rates</t>
  </si>
  <si>
    <t>Comparison of Revenues</t>
  </si>
  <si>
    <t>(A)</t>
  </si>
  <si>
    <t>(B)</t>
  </si>
  <si>
    <t>(C) = (A) - (B)</t>
  </si>
  <si>
    <t>(D) = (C)/(B)</t>
  </si>
  <si>
    <t>Line</t>
  </si>
  <si>
    <t>Transmission Revenues</t>
  </si>
  <si>
    <t>No.</t>
  </si>
  <si>
    <t>Customer Classes</t>
  </si>
  <si>
    <t>@ Changed Rates</t>
  </si>
  <si>
    <r>
      <t xml:space="preserve">@ Present Rates </t>
    </r>
    <r>
      <rPr>
        <vertAlign val="superscript"/>
        <sz val="14"/>
        <rFont val="Times New Roman"/>
        <family val="1"/>
      </rPr>
      <t>1</t>
    </r>
  </si>
  <si>
    <t>($) Change</t>
  </si>
  <si>
    <t>(%) Change</t>
  </si>
  <si>
    <t xml:space="preserve">Reference </t>
  </si>
  <si>
    <t>Residential</t>
  </si>
  <si>
    <t>(A): Page BG-2, Line 16, Col. G</t>
  </si>
  <si>
    <t>(B): Statement BH, Page BH-1, Line 16, Col. G</t>
  </si>
  <si>
    <t>Small Commercial</t>
  </si>
  <si>
    <t>(A): Page BG-2, Line 18, Col. G</t>
  </si>
  <si>
    <t>(B): Statement BH, Page BH-1, Line 18, Col. G</t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</si>
  <si>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</si>
  <si>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(A): Page BG-2, Line 20, Col. G</t>
  </si>
  <si>
    <t>(B): Statement BH, Page BH-1, Line 20, Col. G</t>
  </si>
  <si>
    <t>San Diego Unified Port District</t>
  </si>
  <si>
    <t>(A): Page BG-2, Line 22, Col. G</t>
  </si>
  <si>
    <t>(B): Statement BH, Page BH-1, Line 22, Col. G</t>
  </si>
  <si>
    <t>Agricultural (Schedules PA, TOU-PA and PA-T-1)</t>
  </si>
  <si>
    <t>Schedules PA and TOU-PA</t>
  </si>
  <si>
    <t>(A): Page BG-5, Line 52, Col. M</t>
  </si>
  <si>
    <t>(B): Statement BH, Page BH-4, Line 52, Col. M</t>
  </si>
  <si>
    <t>Schedule PA-T-1</t>
  </si>
  <si>
    <t>(A): Page BG-5, Line 53, Col. M</t>
  </si>
  <si>
    <t>(B): Statement BH, Page BH-4, Line 53, Col. M</t>
  </si>
  <si>
    <t>Total Agricultural</t>
  </si>
  <si>
    <t>(A): Line 14, Col. A Plus Line 16, Col. A</t>
  </si>
  <si>
    <t>(B): Line 14, Col. B Plus Line 16, Col. B</t>
  </si>
  <si>
    <t>Street Lighting</t>
  </si>
  <si>
    <t>(A): Page BG-2, Line 26, Col. G</t>
  </si>
  <si>
    <t>(B): Statement BH, Page BH-1, Line 26, Col. G</t>
  </si>
  <si>
    <t>Standby</t>
  </si>
  <si>
    <t>(A): Page BG-2, Line 28, Col. G</t>
  </si>
  <si>
    <t>(B): Statement BH, Page BH-1, Line 28, Col. G</t>
  </si>
  <si>
    <t xml:space="preserve">     Grand Total</t>
  </si>
  <si>
    <t>NOTES:</t>
  </si>
  <si>
    <t>Revenues for Medium and Large Commercial/Industrial customers include revenues of Standard Customers that have Maximum On-Peak Demand rates and Maximum Demand at the Time of System Peak rates based on SDG&amp;E's on-peak period of 4-9 p.m. everyday year-round</t>
  </si>
  <si>
    <t>(C)</t>
  </si>
  <si>
    <t>(D)</t>
  </si>
  <si>
    <t>(E)</t>
  </si>
  <si>
    <t>(F)</t>
  </si>
  <si>
    <t>(G)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</si>
  <si>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</si>
  <si>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</si>
  <si>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</si>
  <si>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4</t>
    </r>
  </si>
  <si>
    <r>
      <t xml:space="preserve">Agricultural </t>
    </r>
    <r>
      <rPr>
        <vertAlign val="superscript"/>
        <sz val="14"/>
        <rFont val="Times New Roman"/>
        <family val="1"/>
      </rPr>
      <t>5</t>
    </r>
  </si>
  <si>
    <r>
      <t xml:space="preserve">Street Lighting </t>
    </r>
    <r>
      <rPr>
        <vertAlign val="superscript"/>
        <sz val="14"/>
        <rFont val="Times New Roman"/>
        <family val="1"/>
      </rPr>
      <t>6</t>
    </r>
  </si>
  <si>
    <r>
      <t xml:space="preserve">Standby </t>
    </r>
    <r>
      <rPr>
        <vertAlign val="superscript"/>
        <sz val="14"/>
        <rFont val="Times New Roman"/>
        <family val="1"/>
      </rPr>
      <t>7</t>
    </r>
  </si>
  <si>
    <t>TOTAL</t>
  </si>
  <si>
    <t>Total</t>
  </si>
  <si>
    <t>Pages BG-3 through BG-5, Line 37.</t>
  </si>
  <si>
    <t>Page BG-3 through BG-5, Lines 47-49.</t>
  </si>
  <si>
    <t>Page BG-3 through BG-5, Line 39.</t>
  </si>
  <si>
    <t>Page BG-3 through BG-5, Lines 41-45.</t>
  </si>
  <si>
    <t>Page BG-3 through BG-5, Line 55.</t>
  </si>
  <si>
    <t>Page BG-3 through BG-5, Line 57.</t>
  </si>
  <si>
    <r>
      <t xml:space="preserve">Billing Determinants </t>
    </r>
    <r>
      <rPr>
        <vertAlign val="superscript"/>
        <sz val="14"/>
        <rFont val="Times New Roman"/>
        <family val="1"/>
      </rPr>
      <t>1</t>
    </r>
  </si>
  <si>
    <t>Energy (kWh)</t>
  </si>
  <si>
    <t>Demand (kW)</t>
  </si>
  <si>
    <t xml:space="preserve">Small Commercial </t>
  </si>
  <si>
    <t xml:space="preserve">Medium and Large Commercial/Industrial </t>
  </si>
  <si>
    <t xml:space="preserve">     Non-Coincident (100%)</t>
  </si>
  <si>
    <t xml:space="preserve">     Non-Coincident (90%)</t>
  </si>
  <si>
    <t xml:space="preserve">     Maximum On-Peak Period Demand-Standard Customers</t>
  </si>
  <si>
    <t xml:space="preserve">     Maximum Demand at the Time of System Peak-Standard Customers</t>
  </si>
  <si>
    <t xml:space="preserve">     Maximum Demand at the Time of System Peak</t>
  </si>
  <si>
    <t>Agricultural</t>
  </si>
  <si>
    <t xml:space="preserve">     Schedules PA and TOU-PA</t>
  </si>
  <si>
    <t xml:space="preserve">     Schedule PA-T-1 - Non-Coincident (100%)</t>
  </si>
  <si>
    <t xml:space="preserve">TOTAL </t>
  </si>
  <si>
    <t xml:space="preserve">NOTES: </t>
  </si>
  <si>
    <t>Changed Transmission Rates</t>
  </si>
  <si>
    <r>
      <t xml:space="preserve">Residential </t>
    </r>
    <r>
      <rPr>
        <vertAlign val="superscript"/>
        <sz val="14"/>
        <rFont val="Times New Roman"/>
        <family val="1"/>
      </rPr>
      <t>2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</si>
  <si>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</si>
  <si>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2, 3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</si>
  <si>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2, 5</t>
    </r>
  </si>
  <si>
    <r>
      <t xml:space="preserve">Agricultural (Schedules PA and TOU-PA) </t>
    </r>
    <r>
      <rPr>
        <vertAlign val="superscript"/>
        <sz val="14"/>
        <rFont val="Times New Roman"/>
        <family val="1"/>
      </rPr>
      <t>2, 3</t>
    </r>
  </si>
  <si>
    <r>
      <t xml:space="preserve">Street Lighting </t>
    </r>
    <r>
      <rPr>
        <vertAlign val="superscript"/>
        <sz val="14"/>
        <rFont val="Times New Roman"/>
        <family val="1"/>
      </rPr>
      <t>2</t>
    </r>
  </si>
  <si>
    <r>
      <t xml:space="preserve">Standby </t>
    </r>
    <r>
      <rPr>
        <vertAlign val="superscript"/>
        <sz val="14"/>
        <rFont val="Times New Roman"/>
        <family val="1"/>
      </rPr>
      <t>2, 3</t>
    </r>
  </si>
  <si>
    <t>2</t>
  </si>
  <si>
    <t>The changed rates information comes from Statement BL, Page BL-1, Column A, Lines 1 through 41.</t>
  </si>
  <si>
    <t>3</t>
  </si>
  <si>
    <t>The demand rates for Medium &amp; Large Commercial/Industrial, Schedule PA-T-1, and Standby customers are shown on Pages BG-6, BG-7, BG-8, BG-9, BG-13, and BG-14.</t>
  </si>
  <si>
    <r>
      <t xml:space="preserve">Revenues @ Changed Rates </t>
    </r>
    <r>
      <rPr>
        <vertAlign val="superscript"/>
        <sz val="14"/>
        <rFont val="Times New Roman"/>
        <family val="1"/>
      </rPr>
      <t>4</t>
    </r>
  </si>
  <si>
    <r>
      <t xml:space="preserve">     Maximum On-Peak Period Demand-Standard Customers </t>
    </r>
    <r>
      <rPr>
        <vertAlign val="superscript"/>
        <sz val="14"/>
        <rFont val="Times New Roman"/>
        <family val="1"/>
      </rPr>
      <t>5</t>
    </r>
  </si>
  <si>
    <r>
      <t xml:space="preserve">     Maximum Demand at the Time of System Peak-Standard Customers </t>
    </r>
    <r>
      <rPr>
        <vertAlign val="superscript"/>
        <sz val="14"/>
        <rFont val="Times New Roman"/>
        <family val="1"/>
      </rPr>
      <t>5</t>
    </r>
  </si>
  <si>
    <t xml:space="preserve">   TOTAL</t>
  </si>
  <si>
    <t>Grand Total</t>
  </si>
  <si>
    <t>The revenues above are derived by multiplying the forecast billing determinants by the rates, except for Medium &amp; Large Commercial/Industrial, San Diego Unified Port District, Schedule PA-T-1, and Standby customers.</t>
  </si>
  <si>
    <t>The derivation of revenues for Medium &amp; Large Commercial/Industrial, San Diego Unified Port District, Schedule PA-T-1, and Standby customers are shown on Pages BG-6, BG-7, BG-8, BG-9, BG-13, and BG-14.</t>
  </si>
  <si>
    <t>Revenues for Medium and Large Commercial/Industrial customers include revenues of Standard Customers that have Maximum On-Peak Demand rates and Maximum Demand at the Time of System Peak rates based on SDG&amp;E's</t>
  </si>
  <si>
    <t>(H)</t>
  </si>
  <si>
    <t>Transmission Revenue Data To Reflect Changed Rates</t>
  </si>
  <si>
    <t>(I)</t>
  </si>
  <si>
    <t>(J)</t>
  </si>
  <si>
    <t>(K)</t>
  </si>
  <si>
    <t>(L)</t>
  </si>
  <si>
    <t>(M)</t>
  </si>
  <si>
    <t xml:space="preserve">Medium-Large Commercial </t>
  </si>
  <si>
    <t>Standby Customers</t>
  </si>
  <si>
    <t>Revenues @ Changed Rates</t>
  </si>
  <si>
    <t>Medium &amp; Large Commercial / Industrial Customers (Standard Customers)</t>
  </si>
  <si>
    <t>Description</t>
  </si>
  <si>
    <r>
      <t xml:space="preserve">Reference </t>
    </r>
    <r>
      <rPr>
        <vertAlign val="superscript"/>
        <sz val="14"/>
        <rFont val="Times New Roman"/>
        <family val="1"/>
      </rPr>
      <t>1</t>
    </r>
  </si>
  <si>
    <t>Energy Revenues:</t>
  </si>
  <si>
    <t xml:space="preserve">      Commodity Sales - kWh</t>
  </si>
  <si>
    <t>(Page BG-21.3, Line 145) x 1000</t>
  </si>
  <si>
    <t xml:space="preserve">      Commodity Rate - $/kWh</t>
  </si>
  <si>
    <t xml:space="preserve">         Total Commodity Revenues</t>
  </si>
  <si>
    <t>Line 2 x Line 3</t>
  </si>
  <si>
    <t>Non-Coincident Demand (100%) (kW):</t>
  </si>
  <si>
    <t xml:space="preserve">      Secondary</t>
  </si>
  <si>
    <t>(Page BG-21.1, Line 43) x 1000</t>
  </si>
  <si>
    <t xml:space="preserve">      Primary</t>
  </si>
  <si>
    <t>(Page BG-21.1, Line 44) x 1000</t>
  </si>
  <si>
    <t xml:space="preserve">      Transmission</t>
  </si>
  <si>
    <t>(Page BG-21.1, Line 45) x 1000</t>
  </si>
  <si>
    <t xml:space="preserve">          Total</t>
  </si>
  <si>
    <t>Sum Lines 7; 8; 9</t>
  </si>
  <si>
    <t xml:space="preserve">          Check Figure</t>
  </si>
  <si>
    <t xml:space="preserve">Page BG-18, Line 6 </t>
  </si>
  <si>
    <t xml:space="preserve">          Difference</t>
  </si>
  <si>
    <t>Line 10 Less Line 11</t>
  </si>
  <si>
    <t>Non-Coincident Demand (100%)</t>
  </si>
  <si>
    <t>Rates ($/kW):</t>
  </si>
  <si>
    <t>Statement BL, Page BL-1, Line 6, Col. D</t>
  </si>
  <si>
    <t xml:space="preserve">      Primary </t>
  </si>
  <si>
    <t>Statement BL, Page BL-1, Line 6, Col. C</t>
  </si>
  <si>
    <t>Statement BL, Page BL-1, Line 6, Col. B</t>
  </si>
  <si>
    <t>Non-Coincident Demand (100%) -</t>
  </si>
  <si>
    <t>Revenues at Changed Rates:</t>
  </si>
  <si>
    <t>Line 7 x Line 16</t>
  </si>
  <si>
    <t>Line 8 x Line 17</t>
  </si>
  <si>
    <t>Line 9 x Line 18</t>
  </si>
  <si>
    <t xml:space="preserve">          Subtotal</t>
  </si>
  <si>
    <t>Sum Lines 21; 22; 23</t>
  </si>
  <si>
    <t>Line 26 x Line 27</t>
  </si>
  <si>
    <t>Sum Lines 31; 32; 33</t>
  </si>
  <si>
    <t xml:space="preserve">Page BG-19, Line 6 </t>
  </si>
  <si>
    <t>Line 34 Less Line 35</t>
  </si>
  <si>
    <t>Line 31 x Line 40</t>
  </si>
  <si>
    <t>Line 32 x Line 41</t>
  </si>
  <si>
    <t>Line 33 x Line 42</t>
  </si>
  <si>
    <t>Total Revenues at Changed Rates:</t>
  </si>
  <si>
    <t>Sum Lines 45; 46; 47</t>
  </si>
  <si>
    <t xml:space="preserve">Reference data found in Statements BG and BL. </t>
  </si>
  <si>
    <r>
      <t xml:space="preserve">Reference </t>
    </r>
    <r>
      <rPr>
        <vertAlign val="superscript"/>
        <sz val="14"/>
        <rFont val="Times New Roman"/>
        <family val="1"/>
      </rPr>
      <t>2</t>
    </r>
  </si>
  <si>
    <t>Non-coincident</t>
  </si>
  <si>
    <r>
      <t xml:space="preserve">Demand (90%)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</si>
  <si>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t xml:space="preserve">(Pages BG-21.2 &amp; 21.3, Line 70 + Line 116) x 1000 </t>
  </si>
  <si>
    <t>(Pages BG-21.2 &amp; 21.3, Line 71 + Line 117) x 1000</t>
  </si>
  <si>
    <t>(Pages BG-21.2 &amp; 21.3, Line 72 + Line 118) x 1000</t>
  </si>
  <si>
    <t>Sum Lines 3; 4; 5</t>
  </si>
  <si>
    <t>Page BG-18, Line 7</t>
  </si>
  <si>
    <t>Line 6 Less Line 7</t>
  </si>
  <si>
    <t>Non-Coincident Demand (90%)</t>
  </si>
  <si>
    <t>Statement BL, Page BL-1, Line 8, Col. D</t>
  </si>
  <si>
    <t>Statement BL, Page BL-1, Line 8, Col. C</t>
  </si>
  <si>
    <t>Statement BL, Page BL-1, Line 8, Col. B</t>
  </si>
  <si>
    <t>Non-Coincident Demand (90%) -</t>
  </si>
  <si>
    <t xml:space="preserve">Line 3 x Line 12 </t>
  </si>
  <si>
    <t xml:space="preserve">Line 4 x Line 13 </t>
  </si>
  <si>
    <t xml:space="preserve">Line 5 x Line 14 </t>
  </si>
  <si>
    <t>Sum Lines 17; 18; 19</t>
  </si>
  <si>
    <t>Non-Coincident</t>
  </si>
  <si>
    <t>Sum Lines 23; 24; 25</t>
  </si>
  <si>
    <t>Page BG-19, Line 7</t>
  </si>
  <si>
    <t>Line 26 Less Line 27</t>
  </si>
  <si>
    <t xml:space="preserve">Line 23 x Line 32 </t>
  </si>
  <si>
    <t xml:space="preserve">Line 24 x Line 33 </t>
  </si>
  <si>
    <t xml:space="preserve">Line 25 x Line 34 </t>
  </si>
  <si>
    <t>Sum Lines 37; 38; 39</t>
  </si>
  <si>
    <t>NCD (90%) rates are applicable to the following CPUC tariffs: Schedules AL-TOU, AL-TOU2, DG-R, and A6-TOU.</t>
  </si>
  <si>
    <r>
      <t xml:space="preserve">Medium &amp; Large Commercial / Industrial Customers (Standard Customers) </t>
    </r>
    <r>
      <rPr>
        <vertAlign val="superscript"/>
        <sz val="14"/>
        <rFont val="Times New Roman"/>
        <family val="1"/>
      </rPr>
      <t>1</t>
    </r>
  </si>
  <si>
    <r>
      <t xml:space="preserve">Reference </t>
    </r>
    <r>
      <rPr>
        <vertAlign val="superscript"/>
        <sz val="14"/>
        <rFont val="Times New Roman"/>
        <family val="1"/>
      </rPr>
      <t>3</t>
    </r>
  </si>
  <si>
    <t>Maximum On-Peak</t>
  </si>
  <si>
    <r>
      <t>Period Demand (kW)</t>
    </r>
    <r>
      <rPr>
        <u/>
        <vertAlign val="superscript"/>
        <sz val="14"/>
        <rFont val="Times New Roman"/>
        <family val="1"/>
      </rPr>
      <t xml:space="preserve"> 2</t>
    </r>
    <r>
      <rPr>
        <u/>
        <sz val="14"/>
        <rFont val="Times New Roman"/>
        <family val="1"/>
      </rPr>
      <t>:</t>
    </r>
  </si>
  <si>
    <t>(Page BG-21.2, Line 80) x 1000</t>
  </si>
  <si>
    <t>(Page BG-21.2, Line 81) x 1000</t>
  </si>
  <si>
    <t>(Page BG-21.2, Line 82) x 1000</t>
  </si>
  <si>
    <t>Page BG-18, Line 8</t>
  </si>
  <si>
    <t>Period Demand Rates ($/kW):</t>
  </si>
  <si>
    <t>Statement BL, Page 1, Lines 11 &amp; 12, Col. D</t>
  </si>
  <si>
    <t>Statement BL, Page 1, Lines 11 &amp; 12, Col. C</t>
  </si>
  <si>
    <t>Statement BL, Page 1, Lines 11 &amp; 12, Col. B</t>
  </si>
  <si>
    <t>Maximum On-Peak Period Demand -</t>
  </si>
  <si>
    <t>Line 3 x Line 12</t>
  </si>
  <si>
    <t>Line 4 x Line 13</t>
  </si>
  <si>
    <t>Line 5 x Line 14</t>
  </si>
  <si>
    <r>
      <t xml:space="preserve">Period Demand (kW) </t>
    </r>
    <r>
      <rPr>
        <u/>
        <vertAlign val="superscript"/>
        <sz val="14"/>
        <rFont val="Times New Roman"/>
        <family val="1"/>
      </rPr>
      <t>2</t>
    </r>
    <r>
      <rPr>
        <u/>
        <sz val="14"/>
        <rFont val="Times New Roman"/>
        <family val="1"/>
      </rPr>
      <t>:</t>
    </r>
  </si>
  <si>
    <t>Page BG-19, Line 8</t>
  </si>
  <si>
    <t>Line 23 x Line 32</t>
  </si>
  <si>
    <t>Line 24 x Line 33</t>
  </si>
  <si>
    <t>Line 25 x Line 34</t>
  </si>
  <si>
    <t>Standard Customers have Maximum On-Peak Period Demand rates based on SDG&amp;E's on-peak period of 4-9 p.m. everyday year-round.</t>
  </si>
  <si>
    <t>Maximum On-Peak Demand rates are applicable to the following CPUC tariffs: Schedules AL-TOU, AL-TOU2, and DG-R.</t>
  </si>
  <si>
    <t>Maximum Demand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</si>
  <si>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2</t>
    </r>
    <r>
      <rPr>
        <u/>
        <sz val="14"/>
        <rFont val="Times New Roman"/>
        <family val="1"/>
      </rPr>
      <t>:</t>
    </r>
  </si>
  <si>
    <t>(Page BG-21.3, Line 126) x 1000</t>
  </si>
  <si>
    <t>(Page BG-21.3, Line 127) x 1000</t>
  </si>
  <si>
    <t>(Page BG-21.3, Line 128) x 1000</t>
  </si>
  <si>
    <t>Page BG-18, Line 9</t>
  </si>
  <si>
    <t>Maximum Demand at the</t>
  </si>
  <si>
    <t>Time of System Peak Rates ($/kW):</t>
  </si>
  <si>
    <t>Statement BL, Page BL-1, Lines 19 &amp; 20, Col. D</t>
  </si>
  <si>
    <t>Statement BL, Page BL-1, Lines 19 &amp; 20, Col. C</t>
  </si>
  <si>
    <t>Statement BL, Page BL-1, Lines 19 &amp; 20, Col. B</t>
  </si>
  <si>
    <t>Maximum Demand at the Time of System</t>
  </si>
  <si>
    <t>Peak - Revenues at Changed Rates:</t>
  </si>
  <si>
    <t xml:space="preserve">             Total</t>
  </si>
  <si>
    <t>Sum Line 26; Page BG-6, Line 4</t>
  </si>
  <si>
    <t>Page BG-19, Line 9</t>
  </si>
  <si>
    <t>Sum Lines 51; 52; 53</t>
  </si>
  <si>
    <t>Sum Line 54; Page BG-6, Line 28</t>
  </si>
  <si>
    <t>Standard Customers have Maximum Demand at the Time of System Peak rates based on SDG&amp;E's on-peak period of 4-9 p.m. everyday year-round.</t>
  </si>
  <si>
    <t>Maximum Demand at the Time of System Peak rates are applicable to the following CPUC tariff: Schedule A6-TOU.</t>
  </si>
  <si>
    <r>
      <t xml:space="preserve">Medium &amp; Large Commercial / Industrial Customers (Grandfathered Customers) </t>
    </r>
    <r>
      <rPr>
        <vertAlign val="superscript"/>
        <sz val="14"/>
        <rFont val="Times New Roman"/>
        <family val="1"/>
      </rPr>
      <t>1</t>
    </r>
  </si>
  <si>
    <t>(Page BG-21.2, Line 90) x 1000</t>
  </si>
  <si>
    <t>(Page BG-21.2, Line 91) x 1000</t>
  </si>
  <si>
    <t>(Page BG-21.2, Line 92) x 1000</t>
  </si>
  <si>
    <t>Page BG-18, Line 10</t>
  </si>
  <si>
    <t>Statement BL, Page 1, Lines 15 &amp; 16, Col. D</t>
  </si>
  <si>
    <t>Statement BL, Page 1, Lines 15 &amp; 16, Col. C</t>
  </si>
  <si>
    <t>Statement BL, Page 1, Lines 15 &amp; 16, Col. B</t>
  </si>
  <si>
    <t>Page BG-19, Line 10</t>
  </si>
  <si>
    <t>Grandfathered Customers have Maximum On-Peak Demand rates based on SDG&amp;E's previous on-peak period of 11 a.m. - 6 p.m. summer and 5-8 p.m. winter on weekdays.</t>
  </si>
  <si>
    <t>(Page BG-21.3, Line 136) x 1000</t>
  </si>
  <si>
    <t>(Page BG-21.3, Line 137) x 1000</t>
  </si>
  <si>
    <t>(Page BG-21.3, Line 138) x 1000</t>
  </si>
  <si>
    <t>Page BG-18, Line 11</t>
  </si>
  <si>
    <t>Statement BL, Page BL-1, Lines 23 &amp; 24, Col. D</t>
  </si>
  <si>
    <t>Statement BL, Page BL-1, Lines 23 &amp; 24, Col. C</t>
  </si>
  <si>
    <t>Statement BL, Page BL-1, Lines 23 &amp; 24, Col. B</t>
  </si>
  <si>
    <r>
      <t>at the Time of System Peak (kW)</t>
    </r>
    <r>
      <rPr>
        <u/>
        <vertAlign val="superscript"/>
        <sz val="14"/>
        <rFont val="Times New Roman"/>
        <family val="1"/>
      </rPr>
      <t xml:space="preserve"> 2</t>
    </r>
    <r>
      <rPr>
        <u/>
        <sz val="14"/>
        <rFont val="Times New Roman"/>
        <family val="1"/>
      </rPr>
      <t>:</t>
    </r>
  </si>
  <si>
    <t>Page BG-19, Line 11</t>
  </si>
  <si>
    <t>Grandfathered Customers have Maximum Demand at the Time of System Peak rates based on SDG&amp;E's previous on-peak period of 11 a.m. - 6 p.m. summer and 5-8 p.m. winter on weekdays.</t>
  </si>
  <si>
    <t>San Diego Unified Port District Customer</t>
  </si>
  <si>
    <r>
      <t>Reference</t>
    </r>
    <r>
      <rPr>
        <vertAlign val="superscript"/>
        <sz val="14"/>
        <rFont val="Times New Roman"/>
        <family val="1"/>
      </rPr>
      <t>2</t>
    </r>
  </si>
  <si>
    <t>(Page BG-21.3, Line 160) x 1000</t>
  </si>
  <si>
    <t>Non-Coincident Demand (90%) (kW) ¹:</t>
  </si>
  <si>
    <t>(Page BG-21.3, Line 162) x 1000</t>
  </si>
  <si>
    <t>Statement BL, Page BL-1, Line 29, Col. C</t>
  </si>
  <si>
    <t>Line 7 x Line 11</t>
  </si>
  <si>
    <t>(Page BG-21.3, Line 164) x 1000</t>
  </si>
  <si>
    <t>Statement BL, Page BL-1, Lines 31 &amp; 32, Col. C</t>
  </si>
  <si>
    <t>Line 18 x Line 22</t>
  </si>
  <si>
    <t>Total Revenues</t>
  </si>
  <si>
    <t>Sum Lines 4; 14; 26</t>
  </si>
  <si>
    <t>Line 30 x Line 31</t>
  </si>
  <si>
    <t>Line 35 x Line 39</t>
  </si>
  <si>
    <t>Line 46 x Line 50</t>
  </si>
  <si>
    <t>Sum Lines 32; 42; 54</t>
  </si>
  <si>
    <t>Schedule PA-T-1 Agricultural Customers (Standard Customers)</t>
  </si>
  <si>
    <t>(Page BG-21.4, Line 169) x 1000</t>
  </si>
  <si>
    <t>Non-Coincident Demand (100%) (kW) ¹:</t>
  </si>
  <si>
    <t>(Page BG-21.4, Line 187) x 1000</t>
  </si>
  <si>
    <t>(Page BG-21.4, Line 188) x 1000</t>
  </si>
  <si>
    <t>(Page BG-21.4, Line 189) x 1000</t>
  </si>
  <si>
    <t>Page BG-18, Line 19</t>
  </si>
  <si>
    <t>Statement BL, Page BL-1, Line 37, Col. D</t>
  </si>
  <si>
    <t>Statement BL, Page BL-1, Line 37, Col. C</t>
  </si>
  <si>
    <t>Statement BL, Page BL-1, Line 37, Col. B</t>
  </si>
  <si>
    <t>Page BG-19, Line 19</t>
  </si>
  <si>
    <t>Non-Coincident Demand (NCD) (100%) rates applicable to the following California Public Utilities Commission (CPUC) tariff: Schedule PA-T-1.</t>
  </si>
  <si>
    <t>Demand - Billing</t>
  </si>
  <si>
    <t>Determinants (kW):</t>
  </si>
  <si>
    <t>(Page BG-21.4, Line 197) x 1000</t>
  </si>
  <si>
    <t>(Page BG-21.4, Line 198) x 1000</t>
  </si>
  <si>
    <t>(Page BG-21.4, Line 199) x 1000</t>
  </si>
  <si>
    <t>Page BG-18, Line 25</t>
  </si>
  <si>
    <t>Demand Rates ($/kW):</t>
  </si>
  <si>
    <t>Statement BL, Page BL-1, Line 41, Col. D</t>
  </si>
  <si>
    <t>Statement BL, Page BL-1, Line 41, Col. C</t>
  </si>
  <si>
    <t>Statement BL, Page BL-1, Line 41, Col. B</t>
  </si>
  <si>
    <t>Line 3 x Line 11</t>
  </si>
  <si>
    <t>Line 4 x Line 12</t>
  </si>
  <si>
    <t>Line 5 x Line 13</t>
  </si>
  <si>
    <t>Sum Lines 16; 17; 18</t>
  </si>
  <si>
    <t>at Changed Rates:</t>
  </si>
  <si>
    <t>Line 19</t>
  </si>
  <si>
    <t>Sum Lines 25; 26; 27</t>
  </si>
  <si>
    <t>Page BG-19, Line 25</t>
  </si>
  <si>
    <t>Line 28 Less Line 29</t>
  </si>
  <si>
    <t>Line 25 x Line 33</t>
  </si>
  <si>
    <t>Line 26 x Line 34</t>
  </si>
  <si>
    <t>Line 27 x Line 35</t>
  </si>
  <si>
    <t>Sum Lines 38; 39; 40</t>
  </si>
  <si>
    <t>Line 41</t>
  </si>
  <si>
    <t>Statement - BG</t>
  </si>
  <si>
    <t>SAN DIEGO GAS &amp; ELECTRIC COMPANY</t>
  </si>
  <si>
    <t>Rate Design Information - Wholesale Transmission Rates</t>
  </si>
  <si>
    <t xml:space="preserve">High-Voltage Utility Specific Rates, Low -Voltage Wheeling Access Charge &amp; Low Voltage Access Charge Rates </t>
  </si>
  <si>
    <t>(1)</t>
  </si>
  <si>
    <t>(2)</t>
  </si>
  <si>
    <t>(3) = (1 ) + (2)</t>
  </si>
  <si>
    <t>High Voltage</t>
  </si>
  <si>
    <t>Low Voltage</t>
  </si>
  <si>
    <t>Combined</t>
  </si>
  <si>
    <t>TRR</t>
  </si>
  <si>
    <t>Components</t>
  </si>
  <si>
    <t>Notes &amp; Reference</t>
  </si>
  <si>
    <t>Wholesale Base Transmission Revenue Requirement</t>
  </si>
  <si>
    <t>Statement BL-CAISO Wholesale; Page 1; Line 1; Col. 1 thru 3</t>
  </si>
  <si>
    <r>
      <t xml:space="preserve">Wholesale TRBAA Forecast </t>
    </r>
    <r>
      <rPr>
        <b/>
        <vertAlign val="superscript"/>
        <sz val="14"/>
        <rFont val="Times New Roman"/>
        <family val="1"/>
      </rPr>
      <t>1</t>
    </r>
  </si>
  <si>
    <t>Statement BL-CAISO Wholesale; Page 1; Line 3; Col. 1 thru 3</t>
  </si>
  <si>
    <t>Transmission Standby Revenues</t>
  </si>
  <si>
    <t>Statement BL-CAISO Wholesale; Page 1; Line 5; Col. 1 thru 3</t>
  </si>
  <si>
    <t>Wholesale Net Transmission Revenue Requirement</t>
  </si>
  <si>
    <t>Sum Lines 1; 3; 5</t>
  </si>
  <si>
    <t xml:space="preserve">Gross Load - MWH </t>
  </si>
  <si>
    <t>Statement BL-CAISO Wholesale; Page 1; Line 9; Col. 1 thru 3</t>
  </si>
  <si>
    <t xml:space="preserve">Utility Specific Access Charges ($/MWH)  </t>
  </si>
  <si>
    <t>Line 7 / Line 9</t>
  </si>
  <si>
    <t>Revenue Data To Reflect Changed Rates</t>
  </si>
  <si>
    <t>(N)</t>
  </si>
  <si>
    <t>Customer Class</t>
  </si>
  <si>
    <t>Reference</t>
  </si>
  <si>
    <t>Billing Determinants (kWh)</t>
  </si>
  <si>
    <r>
      <t>HV Access Charge Rate ($/kwh)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</si>
  <si>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See Note 1</t>
  </si>
  <si>
    <t>LV Access Charge Rate ($/kwh)</t>
  </si>
  <si>
    <t>HV Access Charge Revenues</t>
  </si>
  <si>
    <t>Line 1 x Line 4</t>
  </si>
  <si>
    <t>LV Access Charge Revenues</t>
  </si>
  <si>
    <t>Line 1 x Line 6</t>
  </si>
  <si>
    <t xml:space="preserve">   TOTAL Revenues</t>
  </si>
  <si>
    <t>Line 9 + Line 11</t>
  </si>
  <si>
    <t>NOTES</t>
  </si>
  <si>
    <t>Calculation of Total Rate Impact</t>
  </si>
  <si>
    <t>Total Estimated Present</t>
  </si>
  <si>
    <t>Total Proposed</t>
  </si>
  <si>
    <t>Rate</t>
  </si>
  <si>
    <t>Change</t>
  </si>
  <si>
    <t>(cents / kWh)</t>
  </si>
  <si>
    <t>(%)</t>
  </si>
  <si>
    <t>Total System Electric Costs</t>
  </si>
  <si>
    <t>Base Transmission Costs</t>
  </si>
  <si>
    <r>
      <t xml:space="preserve">Total </t>
    </r>
    <r>
      <rPr>
        <vertAlign val="superscript"/>
        <sz val="14"/>
        <rFont val="Times New Roman"/>
        <family val="1"/>
      </rPr>
      <t>1</t>
    </r>
  </si>
  <si>
    <t>California Climate Credit.</t>
  </si>
  <si>
    <t>System Sales (kWh)</t>
  </si>
  <si>
    <r>
      <t xml:space="preserve">Transmission Revenues under Changed Rates </t>
    </r>
    <r>
      <rPr>
        <vertAlign val="superscript"/>
        <sz val="14"/>
        <rFont val="Times New Roman"/>
        <family val="1"/>
      </rPr>
      <t>1</t>
    </r>
  </si>
  <si>
    <t>Statement BG, Page BG-2, Line 30, Col. G</t>
  </si>
  <si>
    <r>
      <t xml:space="preserve">Transmission Revenues under Present Rates </t>
    </r>
    <r>
      <rPr>
        <vertAlign val="superscript"/>
        <sz val="14"/>
        <rFont val="Times New Roman"/>
        <family val="1"/>
      </rPr>
      <t>2</t>
    </r>
  </si>
  <si>
    <t>Statement BH, Page BH-1, Line 30, Col. G</t>
  </si>
  <si>
    <t>`</t>
  </si>
  <si>
    <r>
      <t xml:space="preserve">Incremental Transmission Revenue Change </t>
    </r>
    <r>
      <rPr>
        <vertAlign val="superscript"/>
        <sz val="14"/>
        <rFont val="Times New Roman"/>
        <family val="1"/>
      </rPr>
      <t>3</t>
    </r>
  </si>
  <si>
    <t>Incremental Transmission Rate Change (cents / kWh)</t>
  </si>
  <si>
    <t>Line 7 / Line 1 x 100</t>
  </si>
  <si>
    <r>
      <t>Estimated Present Base Transmission Rate (cents / kWh)</t>
    </r>
    <r>
      <rPr>
        <vertAlign val="superscript"/>
        <sz val="14"/>
        <rFont val="Times New Roman"/>
        <family val="1"/>
      </rPr>
      <t>4</t>
    </r>
  </si>
  <si>
    <t>Proposed Base Transmission Rate (cents / kWh)</t>
  </si>
  <si>
    <t>Transmission Revenues under Changed Rates are revenues based on SDG&amp;E's illustrative proposed rates.</t>
  </si>
  <si>
    <t>Incremental Transmission Revenue Change adjusted to reflect difference in CPUC-approved sales and FERC billing determinants.</t>
  </si>
  <si>
    <t>Billing Determinants</t>
  </si>
  <si>
    <r>
      <t xml:space="preserve">Billing Determinants </t>
    </r>
    <r>
      <rPr>
        <vertAlign val="superscript"/>
        <sz val="14"/>
        <rFont val="Times New Roman"/>
        <family val="1"/>
      </rPr>
      <t>5</t>
    </r>
  </si>
  <si>
    <r>
      <t xml:space="preserve">Residential </t>
    </r>
    <r>
      <rPr>
        <vertAlign val="superscript"/>
        <sz val="14"/>
        <rFont val="Times New Roman"/>
        <family val="1"/>
      </rPr>
      <t>6</t>
    </r>
  </si>
  <si>
    <t xml:space="preserve">     Non-Coincident (100%) </t>
  </si>
  <si>
    <r>
      <t xml:space="preserve">     Non-Coincident (90%) </t>
    </r>
    <r>
      <rPr>
        <vertAlign val="superscript"/>
        <sz val="14"/>
        <rFont val="Times New Roman"/>
        <family val="1"/>
      </rPr>
      <t>2</t>
    </r>
  </si>
  <si>
    <r>
      <t xml:space="preserve">     Maximum On-Peak Period Demand-Standard Customers </t>
    </r>
    <r>
      <rPr>
        <vertAlign val="superscript"/>
        <sz val="14"/>
        <rFont val="Times New Roman"/>
        <family val="1"/>
      </rPr>
      <t>3</t>
    </r>
  </si>
  <si>
    <r>
      <t xml:space="preserve">     Maximum Demand at the Time of System Peak-Standard Customers </t>
    </r>
    <r>
      <rPr>
        <vertAlign val="superscript"/>
        <sz val="14"/>
        <rFont val="Times New Roman"/>
        <family val="1"/>
      </rPr>
      <t>4</t>
    </r>
  </si>
  <si>
    <r>
      <t xml:space="preserve">     Maximum On-Peak Period Demand-Grandfathered Customers </t>
    </r>
    <r>
      <rPr>
        <vertAlign val="superscript"/>
        <sz val="14"/>
        <rFont val="Times New Roman"/>
        <family val="1"/>
      </rPr>
      <t>3</t>
    </r>
  </si>
  <si>
    <r>
      <t xml:space="preserve">     Maximum Demand at the Time of System Peak-Grandfathered Customers </t>
    </r>
    <r>
      <rPr>
        <vertAlign val="superscript"/>
        <sz val="14"/>
        <rFont val="Times New Roman"/>
        <family val="1"/>
      </rPr>
      <t>4</t>
    </r>
  </si>
  <si>
    <r>
      <t xml:space="preserve">     Maximum Demand at the Time of System Peak</t>
    </r>
    <r>
      <rPr>
        <vertAlign val="superscript"/>
        <sz val="14"/>
        <rFont val="Times New Roman"/>
        <family val="1"/>
      </rPr>
      <t>4</t>
    </r>
  </si>
  <si>
    <r>
      <t xml:space="preserve">     Non-Coincident Demand - Schedule PA-T-1 (100%) </t>
    </r>
    <r>
      <rPr>
        <vertAlign val="superscript"/>
        <sz val="14"/>
        <rFont val="Times New Roman"/>
        <family val="1"/>
      </rPr>
      <t>1</t>
    </r>
  </si>
  <si>
    <t>Sale for Resale</t>
  </si>
  <si>
    <t>NCD (90%) rates are applicable to the following CPUC tariffs: Schedules AL-TOU, AL-TOU2, DG-R, A6-TOU, and San Diego Unified Port District.</t>
  </si>
  <si>
    <t>Maximum On-Peak Demand rates are applicable to the following CPUC tariffs: Schedules AL-TOU, AL-TOU2, and DG-R.  Standard Customers have demand rates based on SDG&amp;E's on-peak period of 4-9 p.m. everyday year-round whereas Grandfathered Customers have demand rates</t>
  </si>
  <si>
    <t>based on SDG&amp;E's previous on-peak period of 11 a.m. - 6 p.m. summer and  5-8 p.m. winter on weekdays.</t>
  </si>
  <si>
    <t>Residential billing determinants exclude EV-TOU-5 super off-peak kWh because EV-TOU-5 super off-peak kWh usage is exempt from paying transmission rates.</t>
  </si>
  <si>
    <t>12 Months to Date</t>
  </si>
  <si>
    <r>
      <t xml:space="preserve">     Non-Coincident (100%) </t>
    </r>
    <r>
      <rPr>
        <vertAlign val="superscript"/>
        <sz val="14"/>
        <rFont val="Times New Roman"/>
        <family val="1"/>
      </rPr>
      <t>1</t>
    </r>
  </si>
  <si>
    <r>
      <t xml:space="preserve">     Non-Coincident Demand (100%) </t>
    </r>
    <r>
      <rPr>
        <vertAlign val="superscript"/>
        <sz val="14"/>
        <rFont val="Times New Roman"/>
        <family val="1"/>
      </rPr>
      <t>1</t>
    </r>
  </si>
  <si>
    <t>Maximum On-Peak Demand rates are applicable to the following CPUC tariffs: Schedules AL-TOU, AL-TOU2, and DG-R.  Determinants shown are for</t>
  </si>
  <si>
    <t>Maximum Demand at the Time of System Peak rates are applicable to the following CPUC tariff: Schedules A6-TOU.  Determinants shown are for Standard</t>
  </si>
  <si>
    <t>Statement BG: San Diego Gas &amp; Electric Company</t>
  </si>
  <si>
    <t>System Delivery</t>
  </si>
  <si>
    <t>Determinants</t>
  </si>
  <si>
    <t>Deliveries (MWh)</t>
  </si>
  <si>
    <t>M.&amp; L. C./I. (AD)</t>
  </si>
  <si>
    <t>M.&amp; L. C./I. (AY, AL, DG-R)</t>
  </si>
  <si>
    <t>M.&amp; L. C./I. (A6)</t>
  </si>
  <si>
    <t>Agriculture (PA and TOU-PA)</t>
  </si>
  <si>
    <t>Agriculture (PA-T-1)</t>
  </si>
  <si>
    <t>Lighting</t>
  </si>
  <si>
    <t>Total System</t>
  </si>
  <si>
    <t>Med. &amp; Large Comm./Ind.</t>
  </si>
  <si>
    <t>Rate Schedule</t>
  </si>
  <si>
    <t>Schedule AD:</t>
  </si>
  <si>
    <t>Total Deliveries (MWh)</t>
  </si>
  <si>
    <t>Total Deliveries (%)</t>
  </si>
  <si>
    <t>% @ Secondary Service</t>
  </si>
  <si>
    <t>% @ Primary Service</t>
  </si>
  <si>
    <t>% @ Transmission Service</t>
  </si>
  <si>
    <t>MWh @ Secondary Service</t>
  </si>
  <si>
    <t>MWh @ Primary Service</t>
  </si>
  <si>
    <t>MWh @ Transmission Service</t>
  </si>
  <si>
    <t>Maximum Demand (%)</t>
  </si>
  <si>
    <t>Maximum Demand (MW)</t>
  </si>
  <si>
    <t>MW @ Secondary Service</t>
  </si>
  <si>
    <t>MW @ Primary Service</t>
  </si>
  <si>
    <t>MW @ Transmission Service</t>
  </si>
  <si>
    <t>Schedules</t>
  </si>
  <si>
    <t>Schedules OL-TOU/AL-TOU/AL-TOU2/DG-R:</t>
  </si>
  <si>
    <t>Grandfathered Customers have Maximum On-Peak Periods Demand rates based on SDG&amp;E's previous on-peak period of 11 a.m. - 6 p.m. summer and 5-8 p.m. winter on weekdays.</t>
  </si>
  <si>
    <t>Non-Coincident Demand (%)</t>
  </si>
  <si>
    <t>Non-Coincident Demand (MW)</t>
  </si>
  <si>
    <r>
      <t xml:space="preserve">On-Peak Demand-Standard Customers (%) </t>
    </r>
    <r>
      <rPr>
        <b/>
        <u/>
        <vertAlign val="superscript"/>
        <sz val="14"/>
        <rFont val="Times New Roman"/>
        <family val="1"/>
      </rPr>
      <t>2</t>
    </r>
  </si>
  <si>
    <r>
      <t>On-Peak Demand-Standard Customers (MW)</t>
    </r>
    <r>
      <rPr>
        <b/>
        <u/>
        <vertAlign val="superscript"/>
        <sz val="14"/>
        <rFont val="Times New Roman"/>
        <family val="1"/>
      </rPr>
      <t xml:space="preserve"> 2</t>
    </r>
  </si>
  <si>
    <r>
      <t xml:space="preserve">On-Peak Demand-Grandfathered Customers (%) </t>
    </r>
    <r>
      <rPr>
        <b/>
        <u/>
        <vertAlign val="superscript"/>
        <sz val="14"/>
        <rFont val="Times New Roman"/>
        <family val="1"/>
      </rPr>
      <t>3</t>
    </r>
  </si>
  <si>
    <r>
      <t>On-Peak Demand-Grandfathered Customers (MW)</t>
    </r>
    <r>
      <rPr>
        <b/>
        <u/>
        <vertAlign val="superscript"/>
        <sz val="14"/>
        <rFont val="Times New Roman"/>
        <family val="1"/>
      </rPr>
      <t xml:space="preserve"> 3</t>
    </r>
  </si>
  <si>
    <t>Schedule A6-TOU:</t>
  </si>
  <si>
    <r>
      <t>Coincident Peak Demand-Standard Customers (%)</t>
    </r>
    <r>
      <rPr>
        <b/>
        <u/>
        <vertAlign val="superscript"/>
        <sz val="14"/>
        <rFont val="Times New Roman"/>
        <family val="1"/>
      </rPr>
      <t xml:space="preserve"> 2</t>
    </r>
  </si>
  <si>
    <r>
      <t>Coincident Peak Demand-Standard Customers (MW)</t>
    </r>
    <r>
      <rPr>
        <b/>
        <u/>
        <vertAlign val="superscript"/>
        <sz val="14"/>
        <rFont val="Times New Roman"/>
        <family val="1"/>
      </rPr>
      <t xml:space="preserve"> 2</t>
    </r>
  </si>
  <si>
    <r>
      <t xml:space="preserve">Coincident Peak Demand-Grandfathered Customers (%) </t>
    </r>
    <r>
      <rPr>
        <b/>
        <u/>
        <vertAlign val="superscript"/>
        <sz val="14"/>
        <rFont val="Times New Roman"/>
        <family val="1"/>
      </rPr>
      <t>3</t>
    </r>
  </si>
  <si>
    <r>
      <t>Coincident Peak Demand-Grandfathered Customers (MW)</t>
    </r>
    <r>
      <rPr>
        <b/>
        <u/>
        <vertAlign val="superscript"/>
        <sz val="14"/>
        <rFont val="Times New Roman"/>
        <family val="1"/>
      </rPr>
      <t xml:space="preserve"> 3</t>
    </r>
  </si>
  <si>
    <t xml:space="preserve"> </t>
  </si>
  <si>
    <t>Class Total:</t>
  </si>
  <si>
    <t>Schedule PA-T-1:</t>
  </si>
  <si>
    <t>Schedule S</t>
  </si>
  <si>
    <t>Standby Determinants:</t>
  </si>
  <si>
    <t>Standby Demand (MW)</t>
  </si>
  <si>
    <t>Schedule EV-TOU-5:</t>
  </si>
  <si>
    <t>Deliveries (MWh) by Time-Of-Use (TOU) Period</t>
  </si>
  <si>
    <t>MWh @ On-Peak</t>
  </si>
  <si>
    <t>MWh @ Off-Peak</t>
  </si>
  <si>
    <t>MWh @ Super Off-Peak</t>
  </si>
  <si>
    <t>On-Peak Demand and Coincident Peak Demand (%) and (MW) for Standard Customers are for customers that have Maximum On-Peak Demand and Maximum Demand at the Time of System Peak rates based on SDG&amp;E's on-peak period of 4-9 p.m. everyday year-round.</t>
  </si>
  <si>
    <t>On-Peak Demand and Coincident Peak Demand (%) and (MW) for Grandfathered Customers are for customers that have Maximum On-Peak Demand and Maximum Demand at the Time of System Peak rates based on SDG&amp;E's previous on-peak period of 11 a.m. - 6 p.m. summer and 5-8 p.m. winter weekdays.</t>
  </si>
  <si>
    <t>Stmt BD; Page - 3.1; Line "Sale for Resale" * 1000</t>
  </si>
  <si>
    <r>
      <t>Reference</t>
    </r>
    <r>
      <rPr>
        <vertAlign val="superscript"/>
        <sz val="14"/>
        <rFont val="Times New Roman"/>
        <family val="1"/>
      </rPr>
      <t>3</t>
    </r>
  </si>
  <si>
    <t>Line 17 + Page BG-6 Line 21 + Page BG-7 Line 17 + Page BG-8 Line 17</t>
  </si>
  <si>
    <t>Line 18 + Page BG-6 Line 22 + Page BG-7 Line 18 + Page BG-8 Line 18</t>
  </si>
  <si>
    <t>Line 19 + Page BG-6 Line 23 + Page BG-7 Line 19 + Page BG-8 Line 19</t>
  </si>
  <si>
    <t>Line 45 + Page BG-6 Line 45 + Page BG-7 Line 37 + Page BG-8 Line 37</t>
  </si>
  <si>
    <t>Line 46 + Page BG-6 Line 46 + Page BG-7 Line 38 + Page BG-8 Line 38</t>
  </si>
  <si>
    <t>Line 47 + Page BG-6 Line 47 + Page BG-7 Line 39 + Page BG-8 Line 39</t>
  </si>
  <si>
    <t>Page BG-3 through BG-5, Lines 52 and 53.</t>
  </si>
  <si>
    <t>Sum Lines 1, 4, 7, 10, 20, 23, 26</t>
  </si>
  <si>
    <t>(Line 3 Less Line 5) * (Line 1 / Page BG-20, Line 25 Less Line 21)</t>
  </si>
  <si>
    <t>Billing Determinants are found in Statement BG, Pages BG-18 and BG-19.</t>
  </si>
  <si>
    <t>Billing Determinants are found in Statement BG, Page BG-21.1 through BG-21.4.</t>
  </si>
  <si>
    <t>Page BG-15; Line 11; Col. (2) / 1000</t>
  </si>
  <si>
    <t>on-peak period of 4-9 p.m. everyday year-round. Grandfathered Maximum On-Peak Demand rates and Maximum Demand at the Time of System Peak rates, which are based on SDG&amp;E's</t>
  </si>
  <si>
    <t>previous on-peak period of 11 a.m. - 6 p.m. summer and 5-8 p.m. winter on weekdays, are not included due to assumed revenue neutrality.</t>
  </si>
  <si>
    <t>Standard Customers based on SDG&amp;E's on-peak period of 4-9 p.m. everyday year-round.</t>
  </si>
  <si>
    <t>Customers based on SDG&amp;E's on-peak period of 4-9 p.m. everyday year-round.</t>
  </si>
  <si>
    <t xml:space="preserve">Maximum Demand at the Time of System Peak rates are applicable to the following CPUC tariff: Schedule A6-TOU and San Diego Unified Port District.  Standard Customers have demand rates based on SDG&amp;E's on-peak period of 4-9 p.m. everyday year-round whereas </t>
  </si>
  <si>
    <t>Grandfathered Customers have demand rates based on SDG&amp;E's previous on-peak period of 11 a.m. - 6 p.m. summer and  5-8 p.m. winter on weekdays.</t>
  </si>
  <si>
    <t>Rate Effective Period - Twelve Months Ending December 31, 2025</t>
  </si>
  <si>
    <r>
      <t>FERC Forecast Period:  January 2025 - December 2025</t>
    </r>
    <r>
      <rPr>
        <b/>
        <vertAlign val="superscript"/>
        <sz val="14"/>
        <rFont val="Times New Roman"/>
        <family val="1"/>
      </rPr>
      <t xml:space="preserve"> 1</t>
    </r>
  </si>
  <si>
    <t>CAISO TAC Rates Input Form - January 1, 2025 through December 31, 2025</t>
  </si>
  <si>
    <t>Rate Effective Period - January 1, 2025 thru December 31, 2025</t>
  </si>
  <si>
    <t>Rate Effective Period - Twelve Months Ending December 31, 2025.</t>
  </si>
  <si>
    <t>Total Estimated Present Rate is the estimated system average rate that are effective October 1, 2024, per SDG&amp;E</t>
  </si>
  <si>
    <t>California Public Utilities Commission (CPUC) Advice Letter 4507-E.  The system average rate shown includes the</t>
  </si>
  <si>
    <t>CPUC-approved 2024 sales implemented on January 1, 2024.</t>
  </si>
  <si>
    <t>Present Base Transmission Rate based on TO5 Cycle 6 Filing.</t>
  </si>
  <si>
    <t>Reference data based on January 2025 through December 2025 forecasts.</t>
  </si>
  <si>
    <t>Billing determinants are forecast determinants for the rate effective January 2025 through December 2025, as presented in Statement BG, Page BG-18.</t>
  </si>
  <si>
    <t>Billing determinants are forecast determinants for the rate effective January 2025 through December 2025, as presented in Statement BG, Pages BG-18 and BG-19.</t>
  </si>
  <si>
    <t>Billing determinants are forecast determinants for the rate effective January 2025 through December 2025, as presented in Statement BG, Page BG-19.</t>
  </si>
  <si>
    <t>90% NCD Rates are applicable to CPUC Schedule A6-TOU.</t>
  </si>
  <si>
    <t>Maximum Demand at the Time of System Peak Demand Charges are applicable to CPUC Shedule A6-TOU.</t>
  </si>
  <si>
    <t>Present rates are defined as rates presented in TO5 Cycle 6, pursuant to Docket No. ER24-524-000.</t>
  </si>
  <si>
    <t>Transmission Revenues under Present Rates are revenues based on SDG&amp;E's rates presented in the TO5 Cycle 6 Per ER24-524-000.</t>
  </si>
  <si>
    <t>Estimated Present Base Transmission Rate based on TO5 Cycle 6, pursuant to Docket No. ER24-524-000.</t>
  </si>
  <si>
    <t>The TRBAA information comes from SDG&amp;E's TRBAA Rate Filing Docket No. ER25-218-000, filed on October 25, 2024 effective from January 1, 2025 through December 31, 2025.</t>
  </si>
  <si>
    <t>The High Voltage Access Charge Rate was held constant in developing this statement because there will be a change in the HV Access Charge Rate once the CAISO implements the TO6 Cycle 1 Wholesale BTRR.</t>
  </si>
  <si>
    <t>The High Voltage (HV) Access Charge Rate is the CAISO TAC Rate of $13.53 per MWH according to the CAISO TAC rate summary in effect January 1, 2024 divided by 1,000 and is based on the TO5-Cycle 6 Filing HV-BTRR.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</si>
</sst>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* #,##0_);_(* \(#,##0\);_(* &quot;-&quot;??_);_(@_)"/>
    <numFmt numFmtId="168" formatCode="_(&quot;$&quot;* #,##0.0000_);_(&quot;$&quot;* \(#,##0.0000\);_(&quot;$&quot;* &quot;-&quot;??_);_(@_)"/>
    <numFmt numFmtId="169" formatCode="_(* #,##0.000_);_(* \(#,##0.000\);_(* &quot;-&quot;??_);_(@_)"/>
    <numFmt numFmtId="170" formatCode="0.000%"/>
    <numFmt numFmtId="171" formatCode="0.0000%"/>
    <numFmt numFmtId="172" formatCode="#,##0.000"/>
    <numFmt numFmtId="173" formatCode="#,##0.0000"/>
    <numFmt numFmtId="174" formatCode="_(&quot;$&quot;* #,##0.000_);_(&quot;$&quot;* \(#,##0.000\);_(&quot;$&quot;* &quot;-&quot;_);_(@_)"/>
    <numFmt numFmtId="175" formatCode="#,##0.000000"/>
    <numFmt numFmtId="176" formatCode="0.000"/>
    <numFmt numFmtId="177" formatCode="#,##0.0_);\(#,##0.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u/>
      <sz val="14"/>
      <color indexed="12"/>
      <name val="Times New Roman"/>
      <family val="1"/>
    </font>
    <font>
      <sz val="14"/>
      <color indexed="12"/>
      <name val="Times New Roman"/>
      <family val="1"/>
    </font>
    <font>
      <sz val="14"/>
      <color indexed="10"/>
      <name val="Times New Roman"/>
      <family val="1"/>
    </font>
    <font>
      <vertAlign val="superscript"/>
      <sz val="14"/>
      <name val="Times New Roman"/>
      <family val="1"/>
    </font>
    <font>
      <u/>
      <vertAlign val="superscript"/>
      <sz val="14"/>
      <name val="Times New Roman"/>
      <family val="1"/>
    </font>
    <font>
      <b/>
      <i/>
      <sz val="14"/>
      <name val="Times New Roman"/>
      <family val="1"/>
    </font>
    <font>
      <sz val="10"/>
      <name val="System"/>
      <family val="2"/>
    </font>
    <font>
      <i/>
      <sz val="14"/>
      <name val="Times New Roman"/>
      <family val="1"/>
    </font>
    <font>
      <sz val="10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vertAlign val="superscript"/>
      <sz val="14"/>
      <name val="Times New Roman"/>
      <family val="1"/>
    </font>
    <font>
      <b/>
      <u/>
      <sz val="14"/>
      <name val="Arial"/>
      <family val="2"/>
    </font>
    <font>
      <u val="singleAccounting"/>
      <sz val="14"/>
      <name val="Times New Roman"/>
      <family val="1"/>
    </font>
    <font>
      <u val="singleAccounting"/>
      <sz val="14"/>
      <name val="Arial"/>
      <family val="2"/>
    </font>
    <font>
      <b/>
      <sz val="14"/>
      <name val="Arial"/>
      <family val="2"/>
    </font>
    <font>
      <b/>
      <u/>
      <vertAlign val="superscript"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Times New Roman"/>
      <family val="1"/>
    </font>
    <font>
      <sz val="14"/>
      <color rgb="FF0000FF"/>
      <name val="Arial"/>
      <family val="2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45">
    <xf numFmtId="0" fontId="0" fillId="0" borderId="0" xfId="0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172" fontId="9" fillId="0" borderId="0" xfId="0" applyNumberFormat="1" applyFont="1"/>
    <xf numFmtId="0" fontId="4" fillId="0" borderId="0" xfId="0" applyFont="1" applyAlignment="1">
      <alignment horizontal="centerContinuous" vertical="justify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Continuous" vertical="justify"/>
    </xf>
    <xf numFmtId="0" fontId="4" fillId="0" borderId="3" xfId="0" applyFont="1" applyBorder="1" applyAlignment="1">
      <alignment horizontal="centerContinuous" vertical="justify"/>
    </xf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Continuous" vertical="justify"/>
    </xf>
    <xf numFmtId="0" fontId="4" fillId="0" borderId="6" xfId="0" applyFont="1" applyBorder="1" applyAlignment="1">
      <alignment horizontal="centerContinuous" vertical="justify"/>
    </xf>
    <xf numFmtId="0" fontId="4" fillId="0" borderId="4" xfId="0" applyFont="1" applyBorder="1"/>
    <xf numFmtId="0" fontId="4" fillId="0" borderId="7" xfId="0" applyFont="1" applyBorder="1" applyAlignment="1">
      <alignment horizontal="centerContinuous" vertical="justify"/>
    </xf>
    <xf numFmtId="0" fontId="4" fillId="0" borderId="8" xfId="0" applyFont="1" applyBorder="1" applyAlignment="1">
      <alignment horizontal="centerContinuous" vertical="justify"/>
    </xf>
    <xf numFmtId="0" fontId="4" fillId="0" borderId="9" xfId="0" applyFont="1" applyBorder="1" applyAlignment="1">
      <alignment horizontal="center"/>
    </xf>
    <xf numFmtId="167" fontId="4" fillId="0" borderId="4" xfId="1" applyNumberFormat="1" applyFont="1" applyBorder="1"/>
    <xf numFmtId="0" fontId="4" fillId="0" borderId="4" xfId="0" applyFont="1" applyBorder="1" applyAlignment="1">
      <alignment horizontal="left"/>
    </xf>
    <xf numFmtId="167" fontId="4" fillId="0" borderId="4" xfId="1" applyNumberFormat="1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167" fontId="4" fillId="0" borderId="9" xfId="1" applyNumberFormat="1" applyFont="1" applyBorder="1"/>
    <xf numFmtId="167" fontId="4" fillId="0" borderId="10" xfId="1" applyNumberFormat="1" applyFont="1" applyFill="1" applyBorder="1" applyAlignment="1">
      <alignment horizontal="left"/>
    </xf>
    <xf numFmtId="0" fontId="4" fillId="0" borderId="9" xfId="0" applyFont="1" applyBorder="1"/>
    <xf numFmtId="0" fontId="7" fillId="0" borderId="0" xfId="0" applyFont="1"/>
    <xf numFmtId="0" fontId="11" fillId="0" borderId="0" xfId="0" applyFont="1" applyAlignment="1">
      <alignment horizontal="right"/>
    </xf>
    <xf numFmtId="167" fontId="6" fillId="0" borderId="4" xfId="1" applyNumberFormat="1" applyFont="1" applyFill="1" applyBorder="1" applyAlignment="1">
      <alignment horizontal="left"/>
    </xf>
    <xf numFmtId="0" fontId="4" fillId="0" borderId="1" xfId="0" applyFont="1" applyBorder="1"/>
    <xf numFmtId="17" fontId="4" fillId="0" borderId="9" xfId="0" applyNumberFormat="1" applyFont="1" applyBorder="1" applyAlignment="1">
      <alignment horizontal="centerContinuous" vertical="justify"/>
    </xf>
    <xf numFmtId="17" fontId="4" fillId="0" borderId="8" xfId="0" applyNumberFormat="1" applyFont="1" applyBorder="1" applyAlignment="1">
      <alignment horizontal="centerContinuous" vertical="justify"/>
    </xf>
    <xf numFmtId="17" fontId="4" fillId="0" borderId="4" xfId="0" applyNumberFormat="1" applyFont="1" applyBorder="1" applyAlignment="1">
      <alignment horizontal="centerContinuous" vertical="justify"/>
    </xf>
    <xf numFmtId="0" fontId="7" fillId="0" borderId="4" xfId="0" applyFont="1" applyBorder="1" applyAlignment="1">
      <alignment horizontal="left"/>
    </xf>
    <xf numFmtId="167" fontId="4" fillId="0" borderId="11" xfId="1" applyNumberFormat="1" applyFont="1" applyBorder="1"/>
    <xf numFmtId="167" fontId="4" fillId="0" borderId="4" xfId="1" applyNumberFormat="1" applyFont="1" applyBorder="1" applyAlignment="1">
      <alignment horizontal="center"/>
    </xf>
    <xf numFmtId="167" fontId="4" fillId="0" borderId="12" xfId="0" applyNumberFormat="1" applyFont="1" applyBorder="1"/>
    <xf numFmtId="167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/>
    <xf numFmtId="0" fontId="7" fillId="0" borderId="4" xfId="0" applyFont="1" applyBorder="1"/>
    <xf numFmtId="44" fontId="4" fillId="0" borderId="4" xfId="3" applyFont="1" applyBorder="1"/>
    <xf numFmtId="165" fontId="4" fillId="0" borderId="4" xfId="3" applyNumberFormat="1" applyFont="1" applyBorder="1"/>
    <xf numFmtId="165" fontId="4" fillId="0" borderId="4" xfId="0" applyNumberFormat="1" applyFont="1" applyBorder="1" applyAlignment="1">
      <alignment horizontal="center"/>
    </xf>
    <xf numFmtId="165" fontId="4" fillId="0" borderId="11" xfId="3" applyNumberFormat="1" applyFont="1" applyBorder="1"/>
    <xf numFmtId="165" fontId="4" fillId="0" borderId="4" xfId="3" applyNumberFormat="1" applyFont="1" applyBorder="1" applyAlignment="1">
      <alignment horizontal="center"/>
    </xf>
    <xf numFmtId="165" fontId="4" fillId="0" borderId="4" xfId="0" applyNumberFormat="1" applyFont="1" applyBorder="1"/>
    <xf numFmtId="165" fontId="4" fillId="0" borderId="10" xfId="0" applyNumberFormat="1" applyFont="1" applyBorder="1"/>
    <xf numFmtId="165" fontId="4" fillId="0" borderId="0" xfId="0" applyNumberFormat="1" applyFont="1"/>
    <xf numFmtId="167" fontId="4" fillId="0" borderId="4" xfId="1" applyNumberFormat="1" applyFont="1" applyFill="1" applyBorder="1"/>
    <xf numFmtId="167" fontId="4" fillId="0" borderId="11" xfId="1" applyNumberFormat="1" applyFont="1" applyFill="1" applyBorder="1"/>
    <xf numFmtId="167" fontId="4" fillId="0" borderId="11" xfId="0" applyNumberFormat="1" applyFont="1" applyBorder="1"/>
    <xf numFmtId="167" fontId="4" fillId="0" borderId="4" xfId="1" applyNumberFormat="1" applyFont="1" applyFill="1" applyBorder="1" applyAlignment="1">
      <alignment horizontal="center"/>
    </xf>
    <xf numFmtId="44" fontId="4" fillId="0" borderId="4" xfId="3" applyFont="1" applyFill="1" applyBorder="1"/>
    <xf numFmtId="167" fontId="4" fillId="0" borderId="6" xfId="0" applyNumberFormat="1" applyFont="1" applyBorder="1" applyAlignment="1">
      <alignment horizontal="center"/>
    </xf>
    <xf numFmtId="165" fontId="4" fillId="0" borderId="4" xfId="3" applyNumberFormat="1" applyFont="1" applyFill="1" applyBorder="1"/>
    <xf numFmtId="165" fontId="4" fillId="0" borderId="11" xfId="3" applyNumberFormat="1" applyFont="1" applyFill="1" applyBorder="1"/>
    <xf numFmtId="165" fontId="4" fillId="0" borderId="4" xfId="3" applyNumberFormat="1" applyFont="1" applyFill="1" applyBorder="1" applyAlignment="1">
      <alignment horizontal="center"/>
    </xf>
    <xf numFmtId="165" fontId="4" fillId="0" borderId="9" xfId="0" applyNumberFormat="1" applyFont="1" applyBorder="1"/>
    <xf numFmtId="167" fontId="4" fillId="0" borderId="9" xfId="1" applyNumberFormat="1" applyFont="1" applyFill="1" applyBorder="1"/>
    <xf numFmtId="167" fontId="4" fillId="0" borderId="10" xfId="1" applyNumberFormat="1" applyFont="1" applyFill="1" applyBorder="1"/>
    <xf numFmtId="0" fontId="13" fillId="0" borderId="0" xfId="0" applyFont="1"/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4" xfId="3" applyNumberFormat="1" applyFont="1" applyFill="1" applyBorder="1" applyAlignment="1">
      <alignment horizontal="left"/>
    </xf>
    <xf numFmtId="165" fontId="6" fillId="0" borderId="4" xfId="3" applyNumberFormat="1" applyFont="1" applyFill="1" applyBorder="1" applyAlignment="1">
      <alignment horizontal="left"/>
    </xf>
    <xf numFmtId="165" fontId="4" fillId="0" borderId="14" xfId="3" applyNumberFormat="1" applyFont="1" applyFill="1" applyBorder="1" applyAlignment="1">
      <alignment horizontal="left"/>
    </xf>
    <xf numFmtId="165" fontId="4" fillId="0" borderId="14" xfId="3" applyNumberFormat="1" applyFont="1" applyBorder="1"/>
    <xf numFmtId="165" fontId="4" fillId="0" borderId="10" xfId="3" applyNumberFormat="1" applyFont="1" applyFill="1" applyBorder="1" applyAlignment="1">
      <alignment horizontal="left"/>
    </xf>
    <xf numFmtId="165" fontId="4" fillId="0" borderId="10" xfId="3" applyNumberFormat="1" applyFont="1" applyBorder="1"/>
    <xf numFmtId="0" fontId="4" fillId="0" borderId="14" xfId="0" applyFont="1" applyBorder="1" applyAlignment="1">
      <alignment horizontal="center"/>
    </xf>
    <xf numFmtId="165" fontId="4" fillId="0" borderId="9" xfId="3" applyNumberFormat="1" applyFont="1" applyFill="1" applyBorder="1" applyAlignment="1">
      <alignment horizontal="left"/>
    </xf>
    <xf numFmtId="0" fontId="4" fillId="0" borderId="7" xfId="0" applyFont="1" applyBorder="1"/>
    <xf numFmtId="165" fontId="4" fillId="0" borderId="2" xfId="3" applyNumberFormat="1" applyFont="1" applyBorder="1"/>
    <xf numFmtId="165" fontId="4" fillId="0" borderId="15" xfId="3" applyNumberFormat="1" applyFont="1" applyBorder="1"/>
    <xf numFmtId="165" fontId="4" fillId="0" borderId="8" xfId="3" applyNumberFormat="1" applyFont="1" applyBorder="1"/>
    <xf numFmtId="0" fontId="4" fillId="0" borderId="0" xfId="0" applyFont="1" applyAlignment="1">
      <alignment horizontal="left"/>
    </xf>
    <xf numFmtId="165" fontId="7" fillId="0" borderId="0" xfId="0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9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0" fontId="4" fillId="0" borderId="4" xfId="9" applyNumberFormat="1" applyFont="1" applyBorder="1"/>
    <xf numFmtId="165" fontId="4" fillId="0" borderId="9" xfId="3" applyNumberFormat="1" applyFont="1" applyBorder="1"/>
    <xf numFmtId="172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/>
    <xf numFmtId="172" fontId="7" fillId="0" borderId="0" xfId="0" applyNumberFormat="1" applyFont="1"/>
    <xf numFmtId="0" fontId="10" fillId="0" borderId="0" xfId="0" applyFont="1"/>
    <xf numFmtId="17" fontId="6" fillId="0" borderId="0" xfId="0" applyNumberFormat="1" applyFont="1" applyAlignment="1">
      <alignment horizontal="center"/>
    </xf>
    <xf numFmtId="0" fontId="4" fillId="0" borderId="0" xfId="0" applyFont="1" applyAlignment="1">
      <alignment vertical="justify"/>
    </xf>
    <xf numFmtId="17" fontId="4" fillId="0" borderId="6" xfId="0" applyNumberFormat="1" applyFont="1" applyBorder="1" applyAlignment="1">
      <alignment horizontal="centerContinuous" vertical="justify"/>
    </xf>
    <xf numFmtId="17" fontId="4" fillId="0" borderId="9" xfId="0" applyNumberFormat="1" applyFont="1" applyBorder="1" applyAlignment="1">
      <alignment horizontal="center" vertical="justify"/>
    </xf>
    <xf numFmtId="3" fontId="4" fillId="0" borderId="0" xfId="0" applyNumberFormat="1" applyFont="1" applyAlignment="1">
      <alignment vertical="justify"/>
    </xf>
    <xf numFmtId="17" fontId="4" fillId="0" borderId="7" xfId="0" applyNumberFormat="1" applyFont="1" applyBorder="1" applyAlignment="1">
      <alignment horizontal="centerContinuous" vertical="justify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3" xfId="0" applyFont="1" applyBorder="1"/>
    <xf numFmtId="165" fontId="4" fillId="0" borderId="4" xfId="0" applyNumberFormat="1" applyFont="1" applyBorder="1" applyAlignment="1">
      <alignment horizontal="center" wrapText="1"/>
    </xf>
    <xf numFmtId="167" fontId="4" fillId="0" borderId="0" xfId="1" applyNumberFormat="1" applyFont="1" applyBorder="1"/>
    <xf numFmtId="0" fontId="15" fillId="0" borderId="0" xfId="0" applyFont="1" applyAlignment="1">
      <alignment horizontal="center"/>
    </xf>
    <xf numFmtId="164" fontId="4" fillId="0" borderId="4" xfId="3" applyNumberFormat="1" applyFont="1" applyFill="1" applyBorder="1"/>
    <xf numFmtId="167" fontId="4" fillId="0" borderId="0" xfId="1" applyNumberFormat="1" applyFont="1" applyFill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4" xfId="0" quotePrefix="1" applyFont="1" applyBorder="1" applyAlignment="1">
      <alignment horizontal="center"/>
    </xf>
    <xf numFmtId="165" fontId="4" fillId="0" borderId="0" xfId="3" applyNumberFormat="1" applyFont="1" applyFill="1" applyBorder="1"/>
    <xf numFmtId="169" fontId="4" fillId="0" borderId="4" xfId="1" applyNumberFormat="1" applyFont="1" applyBorder="1"/>
    <xf numFmtId="169" fontId="4" fillId="0" borderId="4" xfId="1" applyNumberFormat="1" applyFont="1" applyFill="1" applyBorder="1"/>
    <xf numFmtId="0" fontId="4" fillId="0" borderId="17" xfId="0" applyFont="1" applyBorder="1"/>
    <xf numFmtId="0" fontId="5" fillId="0" borderId="0" xfId="0" applyFont="1" applyAlignment="1">
      <alignment horizontal="centerContinuous" vertical="justify"/>
    </xf>
    <xf numFmtId="0" fontId="4" fillId="0" borderId="1" xfId="0" applyFont="1" applyBorder="1" applyAlignment="1">
      <alignment horizontal="centerContinuous" vertical="justify"/>
    </xf>
    <xf numFmtId="169" fontId="4" fillId="0" borderId="9" xfId="1" applyNumberFormat="1" applyFont="1" applyBorder="1"/>
    <xf numFmtId="10" fontId="4" fillId="0" borderId="9" xfId="9" applyNumberFormat="1" applyFont="1" applyBorder="1"/>
    <xf numFmtId="169" fontId="4" fillId="0" borderId="10" xfId="1" applyNumberFormat="1" applyFont="1" applyBorder="1"/>
    <xf numFmtId="170" fontId="4" fillId="0" borderId="10" xfId="9" applyNumberFormat="1" applyFont="1" applyBorder="1"/>
    <xf numFmtId="169" fontId="4" fillId="0" borderId="0" xfId="0" applyNumberFormat="1" applyFont="1"/>
    <xf numFmtId="0" fontId="4" fillId="0" borderId="13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8" xfId="0" applyFont="1" applyBorder="1"/>
    <xf numFmtId="38" fontId="9" fillId="0" borderId="0" xfId="0" applyNumberFormat="1" applyFont="1"/>
    <xf numFmtId="169" fontId="4" fillId="0" borderId="0" xfId="1" applyNumberFormat="1" applyFont="1" applyBorder="1"/>
    <xf numFmtId="169" fontId="4" fillId="0" borderId="0" xfId="1" applyNumberFormat="1" applyFont="1" applyFill="1" applyBorder="1"/>
    <xf numFmtId="169" fontId="9" fillId="0" borderId="0" xfId="1" applyNumberFormat="1" applyFont="1" applyFill="1" applyBorder="1"/>
    <xf numFmtId="0" fontId="4" fillId="3" borderId="0" xfId="0" applyFont="1" applyFill="1" applyAlignment="1">
      <alignment horizontal="center"/>
    </xf>
    <xf numFmtId="172" fontId="5" fillId="3" borderId="0" xfId="0" applyNumberFormat="1" applyFont="1" applyFill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17" fontId="6" fillId="0" borderId="6" xfId="0" applyNumberFormat="1" applyFont="1" applyBorder="1" applyAlignment="1">
      <alignment horizontal="center"/>
    </xf>
    <xf numFmtId="0" fontId="9" fillId="0" borderId="6" xfId="0" applyFont="1" applyBorder="1"/>
    <xf numFmtId="3" fontId="7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172" fontId="9" fillId="0" borderId="6" xfId="0" applyNumberFormat="1" applyFont="1" applyBorder="1"/>
    <xf numFmtId="171" fontId="9" fillId="0" borderId="6" xfId="0" applyNumberFormat="1" applyFont="1" applyBorder="1"/>
    <xf numFmtId="172" fontId="4" fillId="0" borderId="6" xfId="0" applyNumberFormat="1" applyFont="1" applyBorder="1" applyAlignment="1">
      <alignment horizontal="right"/>
    </xf>
    <xf numFmtId="172" fontId="7" fillId="0" borderId="6" xfId="0" applyNumberFormat="1" applyFont="1" applyBorder="1" applyAlignment="1">
      <alignment horizontal="right"/>
    </xf>
    <xf numFmtId="172" fontId="4" fillId="0" borderId="6" xfId="0" applyNumberFormat="1" applyFont="1" applyBorder="1"/>
    <xf numFmtId="172" fontId="9" fillId="2" borderId="17" xfId="0" applyNumberFormat="1" applyFont="1" applyFill="1" applyBorder="1"/>
    <xf numFmtId="172" fontId="9" fillId="2" borderId="8" xfId="0" applyNumberFormat="1" applyFont="1" applyFill="1" applyBorder="1"/>
    <xf numFmtId="172" fontId="4" fillId="0" borderId="8" xfId="0" applyNumberFormat="1" applyFont="1" applyBorder="1"/>
    <xf numFmtId="172" fontId="4" fillId="2" borderId="17" xfId="0" applyNumberFormat="1" applyFont="1" applyFill="1" applyBorder="1"/>
    <xf numFmtId="3" fontId="7" fillId="0" borderId="6" xfId="0" applyNumberFormat="1" applyFont="1" applyBorder="1"/>
    <xf numFmtId="172" fontId="7" fillId="0" borderId="6" xfId="0" applyNumberFormat="1" applyFont="1" applyBorder="1"/>
    <xf numFmtId="172" fontId="4" fillId="0" borderId="13" xfId="0" applyNumberFormat="1" applyFont="1" applyBorder="1"/>
    <xf numFmtId="17" fontId="4" fillId="0" borderId="0" xfId="0" applyNumberFormat="1" applyFont="1" applyAlignment="1">
      <alignment horizontal="centerContinuous" vertical="justify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" fontId="4" fillId="0" borderId="18" xfId="0" applyNumberFormat="1" applyFont="1" applyBorder="1" applyAlignment="1">
      <alignment horizontal="centerContinuous" vertical="justify"/>
    </xf>
    <xf numFmtId="17" fontId="4" fillId="0" borderId="13" xfId="0" applyNumberFormat="1" applyFont="1" applyBorder="1" applyAlignment="1">
      <alignment vertical="justify"/>
    </xf>
    <xf numFmtId="17" fontId="4" fillId="0" borderId="1" xfId="0" applyNumberFormat="1" applyFont="1" applyBorder="1" applyAlignment="1">
      <alignment horizontal="centerContinuous" vertical="justify"/>
    </xf>
    <xf numFmtId="17" fontId="4" fillId="0" borderId="1" xfId="0" applyNumberFormat="1" applyFont="1" applyBorder="1" applyAlignment="1">
      <alignment horizontal="center" vertical="justify"/>
    </xf>
    <xf numFmtId="17" fontId="4" fillId="0" borderId="4" xfId="0" applyNumberFormat="1" applyFont="1" applyBorder="1" applyAlignment="1">
      <alignment horizontal="center" vertical="justify"/>
    </xf>
    <xf numFmtId="0" fontId="4" fillId="0" borderId="14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 vertical="justify"/>
    </xf>
    <xf numFmtId="0" fontId="4" fillId="0" borderId="19" xfId="0" applyFont="1" applyBorder="1" applyAlignment="1">
      <alignment horizontal="center" vertical="justify"/>
    </xf>
    <xf numFmtId="0" fontId="4" fillId="0" borderId="13" xfId="0" applyFont="1" applyBorder="1" applyAlignment="1">
      <alignment horizontal="center" vertical="justify"/>
    </xf>
    <xf numFmtId="169" fontId="4" fillId="0" borderId="9" xfId="0" applyNumberFormat="1" applyFont="1" applyBorder="1"/>
    <xf numFmtId="174" fontId="4" fillId="0" borderId="0" xfId="0" applyNumberFormat="1" applyFont="1" applyAlignment="1">
      <alignment horizontal="center"/>
    </xf>
    <xf numFmtId="37" fontId="4" fillId="0" borderId="0" xfId="0" applyNumberFormat="1" applyFont="1"/>
    <xf numFmtId="10" fontId="18" fillId="0" borderId="0" xfId="0" applyNumberFormat="1" applyFont="1"/>
    <xf numFmtId="10" fontId="18" fillId="0" borderId="6" xfId="0" applyNumberFormat="1" applyFont="1" applyBorder="1"/>
    <xf numFmtId="10" fontId="19" fillId="0" borderId="6" xfId="0" applyNumberFormat="1" applyFont="1" applyBorder="1"/>
    <xf numFmtId="171" fontId="18" fillId="0" borderId="6" xfId="0" applyNumberFormat="1" applyFont="1" applyBorder="1"/>
    <xf numFmtId="171" fontId="18" fillId="0" borderId="6" xfId="9" applyNumberFormat="1" applyFont="1" applyBorder="1"/>
    <xf numFmtId="172" fontId="18" fillId="0" borderId="6" xfId="0" applyNumberFormat="1" applyFont="1" applyBorder="1" applyAlignment="1">
      <alignment horizontal="right"/>
    </xf>
    <xf numFmtId="172" fontId="19" fillId="0" borderId="6" xfId="0" applyNumberFormat="1" applyFont="1" applyBorder="1" applyAlignment="1">
      <alignment horizontal="right"/>
    </xf>
    <xf numFmtId="0" fontId="11" fillId="0" borderId="0" xfId="0" applyFont="1"/>
    <xf numFmtId="0" fontId="4" fillId="0" borderId="8" xfId="0" applyFont="1" applyBorder="1"/>
    <xf numFmtId="17" fontId="21" fillId="0" borderId="6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right"/>
    </xf>
    <xf numFmtId="3" fontId="18" fillId="0" borderId="6" xfId="0" applyNumberFormat="1" applyFont="1" applyBorder="1" applyAlignment="1">
      <alignment horizontal="right"/>
    </xf>
    <xf numFmtId="172" fontId="17" fillId="0" borderId="6" xfId="0" applyNumberFormat="1" applyFont="1" applyBorder="1"/>
    <xf numFmtId="3" fontId="19" fillId="0" borderId="6" xfId="0" applyNumberFormat="1" applyFont="1" applyBorder="1" applyAlignment="1">
      <alignment horizontal="right"/>
    </xf>
    <xf numFmtId="3" fontId="18" fillId="0" borderId="0" xfId="0" applyNumberFormat="1" applyFont="1"/>
    <xf numFmtId="3" fontId="18" fillId="0" borderId="6" xfId="0" applyNumberFormat="1" applyFont="1" applyBorder="1"/>
    <xf numFmtId="172" fontId="18" fillId="0" borderId="0" xfId="0" applyNumberFormat="1" applyFont="1"/>
    <xf numFmtId="172" fontId="19" fillId="0" borderId="0" xfId="0" applyNumberFormat="1" applyFont="1"/>
    <xf numFmtId="172" fontId="18" fillId="0" borderId="6" xfId="0" applyNumberFormat="1" applyFont="1" applyBorder="1"/>
    <xf numFmtId="0" fontId="4" fillId="0" borderId="0" xfId="6" applyFont="1"/>
    <xf numFmtId="0" fontId="4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7" fillId="0" borderId="0" xfId="6" applyFont="1"/>
    <xf numFmtId="165" fontId="4" fillId="0" borderId="0" xfId="6" applyNumberFormat="1" applyFont="1"/>
    <xf numFmtId="0" fontId="4" fillId="0" borderId="9" xfId="6" applyFont="1" applyBorder="1" applyAlignment="1">
      <alignment horizontal="center"/>
    </xf>
    <xf numFmtId="165" fontId="4" fillId="0" borderId="9" xfId="6" applyNumberFormat="1" applyFont="1" applyBorder="1"/>
    <xf numFmtId="0" fontId="4" fillId="0" borderId="9" xfId="6" applyFont="1" applyBorder="1"/>
    <xf numFmtId="0" fontId="4" fillId="0" borderId="4" xfId="6" applyFont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5" fontId="4" fillId="0" borderId="11" xfId="4" applyNumberFormat="1" applyFont="1" applyFill="1" applyBorder="1"/>
    <xf numFmtId="0" fontId="4" fillId="0" borderId="4" xfId="6" applyFont="1" applyBorder="1"/>
    <xf numFmtId="165" fontId="4" fillId="0" borderId="4" xfId="4" applyNumberFormat="1" applyFont="1" applyFill="1" applyBorder="1"/>
    <xf numFmtId="167" fontId="4" fillId="0" borderId="4" xfId="6" applyNumberFormat="1" applyFont="1" applyBorder="1"/>
    <xf numFmtId="0" fontId="7" fillId="0" borderId="4" xfId="6" applyFont="1" applyBorder="1"/>
    <xf numFmtId="44" fontId="4" fillId="0" borderId="4" xfId="4" applyFont="1" applyFill="1" applyBorder="1"/>
    <xf numFmtId="167" fontId="4" fillId="0" borderId="12" xfId="6" applyNumberFormat="1" applyFont="1" applyBorder="1"/>
    <xf numFmtId="167" fontId="4" fillId="0" borderId="11" xfId="6" applyNumberFormat="1" applyFont="1" applyBorder="1"/>
    <xf numFmtId="167" fontId="4" fillId="0" borderId="11" xfId="2" applyNumberFormat="1" applyFont="1" applyFill="1" applyBorder="1"/>
    <xf numFmtId="167" fontId="4" fillId="0" borderId="4" xfId="2" applyNumberFormat="1" applyFont="1" applyFill="1" applyBorder="1"/>
    <xf numFmtId="0" fontId="7" fillId="0" borderId="4" xfId="6" applyFont="1" applyBorder="1" applyAlignment="1">
      <alignment horizontal="left"/>
    </xf>
    <xf numFmtId="17" fontId="4" fillId="0" borderId="4" xfId="6" applyNumberFormat="1" applyFont="1" applyBorder="1" applyAlignment="1">
      <alignment horizontal="centerContinuous" vertical="justify"/>
    </xf>
    <xf numFmtId="0" fontId="4" fillId="0" borderId="8" xfId="6" applyFont="1" applyBorder="1" applyAlignment="1">
      <alignment horizontal="center"/>
    </xf>
    <xf numFmtId="17" fontId="4" fillId="0" borderId="8" xfId="6" applyNumberFormat="1" applyFont="1" applyBorder="1" applyAlignment="1">
      <alignment horizontal="centerContinuous" vertical="justify"/>
    </xf>
    <xf numFmtId="0" fontId="4" fillId="0" borderId="1" xfId="6" applyFont="1" applyBorder="1" applyAlignment="1">
      <alignment horizontal="center"/>
    </xf>
    <xf numFmtId="0" fontId="4" fillId="0" borderId="1" xfId="6" applyFont="1" applyBorder="1"/>
    <xf numFmtId="165" fontId="4" fillId="0" borderId="11" xfId="4" applyNumberFormat="1" applyFont="1" applyBorder="1"/>
    <xf numFmtId="165" fontId="4" fillId="0" borderId="4" xfId="4" applyNumberFormat="1" applyFont="1" applyBorder="1"/>
    <xf numFmtId="44" fontId="4" fillId="0" borderId="4" xfId="4" applyFont="1" applyBorder="1"/>
    <xf numFmtId="44" fontId="4" fillId="0" borderId="4" xfId="4" applyFont="1" applyFill="1" applyBorder="1" applyAlignment="1">
      <alignment horizontal="right"/>
    </xf>
    <xf numFmtId="167" fontId="4" fillId="0" borderId="11" xfId="2" applyNumberFormat="1" applyFont="1" applyBorder="1"/>
    <xf numFmtId="167" fontId="4" fillId="0" borderId="4" xfId="2" applyNumberFormat="1" applyFont="1" applyBorder="1"/>
    <xf numFmtId="0" fontId="4" fillId="0" borderId="13" xfId="6" applyFont="1" applyBorder="1"/>
    <xf numFmtId="0" fontId="4" fillId="0" borderId="0" xfId="6" applyFont="1" applyAlignment="1">
      <alignment horizontal="centerContinuous" vertical="justify"/>
    </xf>
    <xf numFmtId="0" fontId="4" fillId="0" borderId="0" xfId="6" applyFont="1" applyAlignment="1">
      <alignment vertical="justify"/>
    </xf>
    <xf numFmtId="0" fontId="4" fillId="0" borderId="4" xfId="0" applyFont="1" applyBorder="1" applyAlignment="1">
      <alignment horizontal="right"/>
    </xf>
    <xf numFmtId="42" fontId="4" fillId="0" borderId="9" xfId="0" applyNumberFormat="1" applyFont="1" applyBorder="1" applyAlignment="1">
      <alignment horizontal="center"/>
    </xf>
    <xf numFmtId="167" fontId="4" fillId="0" borderId="0" xfId="0" applyNumberFormat="1" applyFont="1"/>
    <xf numFmtId="43" fontId="4" fillId="0" borderId="0" xfId="0" applyNumberFormat="1" applyFont="1"/>
    <xf numFmtId="167" fontId="22" fillId="0" borderId="4" xfId="1" applyNumberFormat="1" applyFont="1" applyBorder="1"/>
    <xf numFmtId="167" fontId="22" fillId="0" borderId="4" xfId="1" applyNumberFormat="1" applyFont="1" applyFill="1" applyBorder="1"/>
    <xf numFmtId="165" fontId="22" fillId="0" borderId="4" xfId="3" applyNumberFormat="1" applyFont="1" applyBorder="1"/>
    <xf numFmtId="10" fontId="22" fillId="0" borderId="4" xfId="9" applyNumberFormat="1" applyFont="1" applyBorder="1"/>
    <xf numFmtId="173" fontId="4" fillId="0" borderId="0" xfId="0" applyNumberFormat="1" applyFont="1"/>
    <xf numFmtId="43" fontId="7" fillId="0" borderId="0" xfId="0" applyNumberFormat="1" applyFont="1"/>
    <xf numFmtId="165" fontId="4" fillId="0" borderId="1" xfId="3" applyNumberFormat="1" applyFont="1" applyFill="1" applyBorder="1"/>
    <xf numFmtId="0" fontId="4" fillId="0" borderId="14" xfId="0" applyFont="1" applyBorder="1"/>
    <xf numFmtId="17" fontId="21" fillId="0" borderId="0" xfId="0" applyNumberFormat="1" applyFont="1" applyAlignment="1">
      <alignment horizontal="right"/>
    </xf>
    <xf numFmtId="172" fontId="9" fillId="2" borderId="13" xfId="0" applyNumberFormat="1" applyFont="1" applyFill="1" applyBorder="1"/>
    <xf numFmtId="167" fontId="18" fillId="0" borderId="0" xfId="1" applyNumberFormat="1" applyFont="1" applyBorder="1"/>
    <xf numFmtId="9" fontId="21" fillId="0" borderId="6" xfId="10" applyFont="1" applyBorder="1" applyAlignment="1">
      <alignment horizontal="center"/>
    </xf>
    <xf numFmtId="167" fontId="18" fillId="0" borderId="6" xfId="1" applyNumberFormat="1" applyFont="1" applyBorder="1"/>
    <xf numFmtId="166" fontId="23" fillId="0" borderId="6" xfId="1" applyNumberFormat="1" applyFont="1" applyBorder="1"/>
    <xf numFmtId="167" fontId="24" fillId="0" borderId="6" xfId="1" applyNumberFormat="1" applyFont="1" applyBorder="1"/>
    <xf numFmtId="172" fontId="5" fillId="0" borderId="0" xfId="0" applyNumberFormat="1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quotePrefix="1" applyFont="1" applyBorder="1"/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6" xfId="0" quotePrefix="1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10" fontId="4" fillId="0" borderId="4" xfId="9" applyNumberFormat="1" applyFont="1" applyFill="1" applyBorder="1"/>
    <xf numFmtId="171" fontId="18" fillId="0" borderId="6" xfId="9" applyNumberFormat="1" applyFont="1" applyFill="1" applyBorder="1"/>
    <xf numFmtId="1" fontId="4" fillId="0" borderId="0" xfId="0" applyNumberFormat="1" applyFont="1"/>
    <xf numFmtId="167" fontId="4" fillId="0" borderId="0" xfId="2" applyNumberFormat="1" applyFont="1" applyFill="1"/>
    <xf numFmtId="171" fontId="19" fillId="0" borderId="6" xfId="0" applyNumberFormat="1" applyFont="1" applyBorder="1"/>
    <xf numFmtId="0" fontId="26" fillId="0" borderId="0" xfId="6" applyFont="1" applyAlignment="1">
      <alignment horizontal="left"/>
    </xf>
    <xf numFmtId="0" fontId="26" fillId="0" borderId="0" xfId="5" applyFont="1" applyAlignment="1">
      <alignment horizontal="centerContinuous" vertical="justify"/>
    </xf>
    <xf numFmtId="0" fontId="28" fillId="0" borderId="0" xfId="5" applyFont="1" applyAlignment="1">
      <alignment horizontal="centerContinuous" vertical="justify"/>
    </xf>
    <xf numFmtId="0" fontId="31" fillId="0" borderId="0" xfId="5" applyFont="1" applyAlignment="1">
      <alignment horizontal="centerContinuous" vertical="justify"/>
    </xf>
    <xf numFmtId="0" fontId="16" fillId="0" borderId="0" xfId="5"/>
    <xf numFmtId="0" fontId="27" fillId="0" borderId="0" xfId="5" applyFont="1" applyAlignment="1">
      <alignment horizontal="centerContinuous" vertical="justify"/>
    </xf>
    <xf numFmtId="0" fontId="27" fillId="0" borderId="0" xfId="5" applyFont="1"/>
    <xf numFmtId="0" fontId="26" fillId="0" borderId="1" xfId="5" applyFont="1" applyBorder="1" applyAlignment="1">
      <alignment horizontal="center"/>
    </xf>
    <xf numFmtId="0" fontId="26" fillId="0" borderId="14" xfId="5" applyFont="1" applyBorder="1" applyAlignment="1">
      <alignment horizontal="centerContinuous" vertical="justify"/>
    </xf>
    <xf numFmtId="0" fontId="26" fillId="0" borderId="3" xfId="5" applyFont="1" applyBorder="1" applyAlignment="1">
      <alignment horizontal="centerContinuous" vertical="justify"/>
    </xf>
    <xf numFmtId="0" fontId="26" fillId="0" borderId="14" xfId="5" quotePrefix="1" applyFont="1" applyBorder="1" applyAlignment="1">
      <alignment horizontal="centerContinuous" vertical="justify"/>
    </xf>
    <xf numFmtId="0" fontId="26" fillId="0" borderId="4" xfId="5" applyFont="1" applyBorder="1" applyAlignment="1">
      <alignment horizontal="center"/>
    </xf>
    <xf numFmtId="0" fontId="26" fillId="0" borderId="1" xfId="5" applyFont="1" applyBorder="1"/>
    <xf numFmtId="0" fontId="26" fillId="0" borderId="6" xfId="5" applyFont="1" applyBorder="1"/>
    <xf numFmtId="17" fontId="26" fillId="0" borderId="6" xfId="5" applyNumberFormat="1" applyFont="1" applyBorder="1" applyAlignment="1">
      <alignment horizontal="centerContinuous" vertical="justify"/>
    </xf>
    <xf numFmtId="0" fontId="26" fillId="0" borderId="9" xfId="5" applyFont="1" applyBorder="1" applyAlignment="1">
      <alignment horizontal="center"/>
    </xf>
    <xf numFmtId="0" fontId="26" fillId="0" borderId="4" xfId="5" applyFont="1" applyBorder="1"/>
    <xf numFmtId="0" fontId="26" fillId="0" borderId="9" xfId="5" applyFont="1" applyBorder="1"/>
    <xf numFmtId="0" fontId="26" fillId="0" borderId="8" xfId="5" applyFont="1" applyBorder="1"/>
    <xf numFmtId="0" fontId="33" fillId="0" borderId="1" xfId="5" applyFont="1" applyBorder="1" applyAlignment="1">
      <alignment horizontal="right"/>
    </xf>
    <xf numFmtId="167" fontId="27" fillId="0" borderId="4" xfId="2" applyNumberFormat="1" applyFont="1" applyBorder="1" applyAlignment="1">
      <alignment horizontal="center"/>
    </xf>
    <xf numFmtId="0" fontId="26" fillId="0" borderId="4" xfId="5" applyFont="1" applyBorder="1" applyAlignment="1">
      <alignment horizontal="left"/>
    </xf>
    <xf numFmtId="165" fontId="26" fillId="0" borderId="4" xfId="4" applyNumberFormat="1" applyFont="1" applyFill="1" applyBorder="1" applyAlignment="1">
      <alignment horizontal="center"/>
    </xf>
    <xf numFmtId="0" fontId="33" fillId="0" borderId="4" xfId="5" applyFont="1" applyBorder="1" applyAlignment="1">
      <alignment horizontal="right"/>
    </xf>
    <xf numFmtId="167" fontId="26" fillId="0" borderId="4" xfId="2" applyNumberFormat="1" applyFont="1" applyBorder="1" applyAlignment="1">
      <alignment horizontal="center"/>
    </xf>
    <xf numFmtId="0" fontId="26" fillId="0" borderId="5" xfId="5" applyFont="1" applyBorder="1" applyAlignment="1">
      <alignment horizontal="left"/>
    </xf>
    <xf numFmtId="167" fontId="26" fillId="0" borderId="6" xfId="2" applyNumberFormat="1" applyFont="1" applyBorder="1" applyAlignment="1">
      <alignment horizontal="center"/>
    </xf>
    <xf numFmtId="165" fontId="26" fillId="0" borderId="4" xfId="4" applyNumberFormat="1" applyFont="1" applyBorder="1" applyAlignment="1">
      <alignment horizontal="center"/>
    </xf>
    <xf numFmtId="0" fontId="26" fillId="0" borderId="7" xfId="5" applyFont="1" applyBorder="1"/>
    <xf numFmtId="165" fontId="26" fillId="0" borderId="7" xfId="4" applyNumberFormat="1" applyFont="1" applyBorder="1"/>
    <xf numFmtId="165" fontId="26" fillId="0" borderId="17" xfId="4" applyNumberFormat="1" applyFont="1" applyBorder="1"/>
    <xf numFmtId="165" fontId="26" fillId="0" borderId="8" xfId="4" applyNumberFormat="1" applyFont="1" applyBorder="1"/>
    <xf numFmtId="0" fontId="26" fillId="0" borderId="0" xfId="5" applyFont="1" applyAlignment="1">
      <alignment horizontal="center"/>
    </xf>
    <xf numFmtId="0" fontId="26" fillId="0" borderId="0" xfId="5" applyFont="1"/>
    <xf numFmtId="0" fontId="29" fillId="0" borderId="0" xfId="5" applyFont="1" applyAlignment="1">
      <alignment horizontal="center"/>
    </xf>
    <xf numFmtId="0" fontId="30" fillId="0" borderId="0" xfId="5" applyFont="1" applyAlignment="1">
      <alignment horizontal="center"/>
    </xf>
    <xf numFmtId="165" fontId="4" fillId="0" borderId="0" xfId="0" quotePrefix="1" applyNumberFormat="1" applyFont="1"/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/>
    <xf numFmtId="0" fontId="4" fillId="0" borderId="0" xfId="6" applyFont="1" applyAlignment="1">
      <alignment horizontal="left"/>
    </xf>
    <xf numFmtId="0" fontId="5" fillId="0" borderId="0" xfId="6" applyFont="1" applyAlignment="1">
      <alignment horizontal="centerContinuous" vertical="justify"/>
    </xf>
    <xf numFmtId="0" fontId="4" fillId="0" borderId="1" xfId="6" applyFont="1" applyBorder="1" applyAlignment="1">
      <alignment horizontal="left"/>
    </xf>
    <xf numFmtId="0" fontId="4" fillId="0" borderId="14" xfId="6" quotePrefix="1" applyFont="1" applyBorder="1" applyAlignment="1">
      <alignment horizontal="center"/>
    </xf>
    <xf numFmtId="0" fontId="4" fillId="0" borderId="3" xfId="6" quotePrefix="1" applyFont="1" applyBorder="1" applyAlignment="1">
      <alignment horizontal="center"/>
    </xf>
    <xf numFmtId="0" fontId="4" fillId="0" borderId="4" xfId="6" applyFont="1" applyBorder="1" applyAlignment="1">
      <alignment horizontal="left"/>
    </xf>
    <xf numFmtId="0" fontId="4" fillId="0" borderId="6" xfId="6" applyFont="1" applyBorder="1" applyAlignment="1">
      <alignment horizontal="center"/>
    </xf>
    <xf numFmtId="0" fontId="4" fillId="4" borderId="4" xfId="6" applyFont="1" applyFill="1" applyBorder="1" applyAlignment="1">
      <alignment horizontal="centerContinuous" vertical="justify"/>
    </xf>
    <xf numFmtId="0" fontId="4" fillId="4" borderId="4" xfId="6" applyFont="1" applyFill="1" applyBorder="1" applyAlignment="1">
      <alignment horizontal="center"/>
    </xf>
    <xf numFmtId="0" fontId="4" fillId="4" borderId="6" xfId="6" applyFont="1" applyFill="1" applyBorder="1" applyAlignment="1">
      <alignment horizontal="center"/>
    </xf>
    <xf numFmtId="0" fontId="4" fillId="4" borderId="9" xfId="6" applyFont="1" applyFill="1" applyBorder="1" applyAlignment="1">
      <alignment horizontal="center"/>
    </xf>
    <xf numFmtId="0" fontId="34" fillId="0" borderId="1" xfId="6" applyFont="1" applyBorder="1" applyAlignment="1">
      <alignment horizontal="right"/>
    </xf>
    <xf numFmtId="44" fontId="5" fillId="0" borderId="4" xfId="6" applyNumberFormat="1" applyFont="1" applyBorder="1" applyAlignment="1">
      <alignment horizontal="center"/>
    </xf>
    <xf numFmtId="44" fontId="4" fillId="0" borderId="4" xfId="4" applyFont="1" applyBorder="1" applyAlignment="1">
      <alignment horizontal="center"/>
    </xf>
    <xf numFmtId="44" fontId="5" fillId="0" borderId="4" xfId="4" applyFont="1" applyBorder="1"/>
    <xf numFmtId="0" fontId="6" fillId="0" borderId="0" xfId="6" applyFont="1"/>
    <xf numFmtId="0" fontId="20" fillId="0" borderId="0" xfId="6" applyFont="1" applyAlignment="1">
      <alignment horizontal="center"/>
    </xf>
    <xf numFmtId="0" fontId="26" fillId="0" borderId="0" xfId="14" applyFont="1" applyAlignment="1">
      <alignment horizontal="center"/>
    </xf>
    <xf numFmtId="0" fontId="26" fillId="0" borderId="0" xfId="14" applyFont="1"/>
    <xf numFmtId="0" fontId="29" fillId="0" borderId="0" xfId="14" applyFont="1" applyAlignment="1">
      <alignment horizontal="center"/>
    </xf>
    <xf numFmtId="0" fontId="30" fillId="0" borderId="0" xfId="14" applyFont="1" applyAlignment="1">
      <alignment horizontal="center"/>
    </xf>
    <xf numFmtId="176" fontId="32" fillId="0" borderId="0" xfId="0" applyNumberFormat="1" applyFont="1"/>
    <xf numFmtId="176" fontId="18" fillId="0" borderId="0" xfId="0" applyNumberFormat="1" applyFont="1"/>
    <xf numFmtId="0" fontId="18" fillId="0" borderId="0" xfId="0" applyFont="1"/>
    <xf numFmtId="167" fontId="18" fillId="5" borderId="6" xfId="1" applyNumberFormat="1" applyFont="1" applyFill="1" applyBorder="1"/>
    <xf numFmtId="0" fontId="4" fillId="0" borderId="0" xfId="15" applyFont="1" applyAlignment="1">
      <alignment horizontal="centerContinuous" vertical="justify"/>
    </xf>
    <xf numFmtId="0" fontId="26" fillId="0" borderId="0" xfId="14" applyFont="1" applyAlignment="1">
      <alignment horizontal="centerContinuous" vertical="justify"/>
    </xf>
    <xf numFmtId="17" fontId="26" fillId="0" borderId="4" xfId="14" applyNumberFormat="1" applyFont="1" applyBorder="1" applyAlignment="1">
      <alignment horizontal="centerContinuous" vertical="justify"/>
    </xf>
    <xf numFmtId="9" fontId="4" fillId="0" borderId="0" xfId="9" applyFont="1" applyBorder="1"/>
    <xf numFmtId="10" fontId="4" fillId="0" borderId="0" xfId="9" applyNumberFormat="1" applyFont="1" applyBorder="1"/>
    <xf numFmtId="0" fontId="4" fillId="2" borderId="1" xfId="0" applyFont="1" applyFill="1" applyBorder="1"/>
    <xf numFmtId="172" fontId="4" fillId="2" borderId="18" xfId="0" applyNumberFormat="1" applyFont="1" applyFill="1" applyBorder="1"/>
    <xf numFmtId="172" fontId="4" fillId="2" borderId="13" xfId="0" applyNumberFormat="1" applyFont="1" applyFill="1" applyBorder="1"/>
    <xf numFmtId="0" fontId="4" fillId="2" borderId="9" xfId="0" applyFont="1" applyFill="1" applyBorder="1"/>
    <xf numFmtId="172" fontId="4" fillId="2" borderId="8" xfId="0" applyNumberFormat="1" applyFont="1" applyFill="1" applyBorder="1"/>
    <xf numFmtId="0" fontId="4" fillId="0" borderId="4" xfId="15" applyFont="1" applyBorder="1" applyAlignment="1">
      <alignment horizontal="center"/>
    </xf>
    <xf numFmtId="167" fontId="4" fillId="0" borderId="4" xfId="12" applyNumberFormat="1" applyFont="1" applyFill="1" applyBorder="1" applyAlignment="1">
      <alignment horizontal="center"/>
    </xf>
    <xf numFmtId="167" fontId="4" fillId="0" borderId="4" xfId="15" applyNumberFormat="1" applyFont="1" applyBorder="1" applyAlignment="1">
      <alignment horizontal="center"/>
    </xf>
    <xf numFmtId="0" fontId="4" fillId="0" borderId="9" xfId="15" applyFont="1" applyBorder="1" applyAlignment="1">
      <alignment horizontal="center"/>
    </xf>
    <xf numFmtId="0" fontId="4" fillId="0" borderId="0" xfId="15" applyFont="1"/>
    <xf numFmtId="0" fontId="4" fillId="0" borderId="1" xfId="15" applyFont="1" applyBorder="1"/>
    <xf numFmtId="0" fontId="4" fillId="0" borderId="8" xfId="15" applyFont="1" applyBorder="1" applyAlignment="1">
      <alignment horizontal="center"/>
    </xf>
    <xf numFmtId="0" fontId="4" fillId="0" borderId="6" xfId="15" applyFont="1" applyBorder="1" applyAlignment="1">
      <alignment horizontal="center"/>
    </xf>
    <xf numFmtId="167" fontId="4" fillId="0" borderId="6" xfId="15" applyNumberFormat="1" applyFont="1" applyBorder="1" applyAlignment="1">
      <alignment horizontal="center"/>
    </xf>
    <xf numFmtId="0" fontId="4" fillId="0" borderId="0" xfId="15" applyFont="1" applyAlignment="1">
      <alignment vertical="justify"/>
    </xf>
    <xf numFmtId="165" fontId="4" fillId="0" borderId="0" xfId="15" applyNumberFormat="1" applyFont="1"/>
    <xf numFmtId="0" fontId="4" fillId="0" borderId="0" xfId="15" applyFont="1" applyAlignment="1">
      <alignment horizontal="center"/>
    </xf>
    <xf numFmtId="3" fontId="4" fillId="0" borderId="0" xfId="0" applyNumberFormat="1" applyFont="1" applyAlignment="1">
      <alignment horizontal="center" vertical="justify"/>
    </xf>
    <xf numFmtId="165" fontId="4" fillId="0" borderId="4" xfId="13" applyNumberFormat="1" applyFont="1" applyFill="1" applyBorder="1" applyAlignment="1">
      <alignment horizontal="center"/>
    </xf>
    <xf numFmtId="0" fontId="4" fillId="0" borderId="1" xfId="15" applyFont="1" applyBorder="1" applyAlignment="1">
      <alignment horizontal="center"/>
    </xf>
    <xf numFmtId="0" fontId="4" fillId="0" borderId="13" xfId="15" applyFont="1" applyBorder="1"/>
    <xf numFmtId="17" fontId="4" fillId="0" borderId="9" xfId="14" applyNumberFormat="1" applyFont="1" applyBorder="1" applyAlignment="1">
      <alignment horizontal="centerContinuous" vertical="justify"/>
    </xf>
    <xf numFmtId="17" fontId="4" fillId="0" borderId="7" xfId="14" applyNumberFormat="1" applyFont="1" applyBorder="1" applyAlignment="1">
      <alignment horizontal="centerContinuous" vertical="justify"/>
    </xf>
    <xf numFmtId="0" fontId="4" fillId="0" borderId="9" xfId="15" applyFont="1" applyBorder="1"/>
    <xf numFmtId="0" fontId="4" fillId="0" borderId="4" xfId="15" applyFont="1" applyBorder="1"/>
    <xf numFmtId="17" fontId="4" fillId="0" borderId="4" xfId="15" applyNumberFormat="1" applyFont="1" applyBorder="1" applyAlignment="1">
      <alignment horizontal="centerContinuous" vertical="justify"/>
    </xf>
    <xf numFmtId="0" fontId="7" fillId="0" borderId="4" xfId="15" applyFont="1" applyBorder="1"/>
    <xf numFmtId="167" fontId="4" fillId="0" borderId="4" xfId="12" applyNumberFormat="1" applyFont="1" applyBorder="1"/>
    <xf numFmtId="0" fontId="4" fillId="0" borderId="4" xfId="14" applyFont="1" applyBorder="1" applyAlignment="1">
      <alignment horizontal="center"/>
    </xf>
    <xf numFmtId="165" fontId="4" fillId="0" borderId="11" xfId="13" applyNumberFormat="1" applyFont="1" applyBorder="1"/>
    <xf numFmtId="0" fontId="7" fillId="0" borderId="4" xfId="15" applyFont="1" applyBorder="1" applyAlignment="1">
      <alignment horizontal="left"/>
    </xf>
    <xf numFmtId="167" fontId="4" fillId="0" borderId="4" xfId="15" applyNumberFormat="1" applyFont="1" applyBorder="1"/>
    <xf numFmtId="44" fontId="4" fillId="0" borderId="4" xfId="13" applyFont="1" applyFill="1" applyBorder="1"/>
    <xf numFmtId="44" fontId="4" fillId="0" borderId="4" xfId="13" applyFont="1" applyBorder="1"/>
    <xf numFmtId="167" fontId="4" fillId="0" borderId="4" xfId="14" applyNumberFormat="1" applyFont="1" applyBorder="1" applyAlignment="1">
      <alignment horizontal="center"/>
    </xf>
    <xf numFmtId="0" fontId="7" fillId="0" borderId="4" xfId="14" applyFont="1" applyBorder="1" applyAlignment="1">
      <alignment horizontal="left"/>
    </xf>
    <xf numFmtId="0" fontId="4" fillId="0" borderId="4" xfId="14" applyFont="1" applyBorder="1"/>
    <xf numFmtId="0" fontId="7" fillId="0" borderId="4" xfId="14" applyFont="1" applyBorder="1"/>
    <xf numFmtId="17" fontId="4" fillId="0" borderId="8" xfId="14" applyNumberFormat="1" applyFont="1" applyBorder="1" applyAlignment="1">
      <alignment horizontal="centerContinuous" vertical="justify"/>
    </xf>
    <xf numFmtId="0" fontId="4" fillId="0" borderId="5" xfId="15" applyFont="1" applyBorder="1" applyAlignment="1">
      <alignment horizontal="center"/>
    </xf>
    <xf numFmtId="165" fontId="4" fillId="0" borderId="11" xfId="13" applyNumberFormat="1" applyFont="1" applyFill="1" applyBorder="1"/>
    <xf numFmtId="167" fontId="4" fillId="0" borderId="6" xfId="12" applyNumberFormat="1" applyFont="1" applyFill="1" applyBorder="1" applyAlignment="1">
      <alignment horizontal="center"/>
    </xf>
    <xf numFmtId="165" fontId="4" fillId="0" borderId="9" xfId="15" applyNumberFormat="1" applyFont="1" applyBorder="1"/>
    <xf numFmtId="0" fontId="7" fillId="0" borderId="0" xfId="15" applyFont="1"/>
    <xf numFmtId="0" fontId="11" fillId="0" borderId="0" xfId="15" applyFont="1" applyAlignment="1">
      <alignment horizontal="center"/>
    </xf>
    <xf numFmtId="0" fontId="4" fillId="0" borderId="0" xfId="14" applyFont="1"/>
    <xf numFmtId="0" fontId="5" fillId="0" borderId="6" xfId="0" applyFont="1" applyBorder="1"/>
    <xf numFmtId="167" fontId="18" fillId="0" borderId="0" xfId="0" applyNumberFormat="1" applyFont="1"/>
    <xf numFmtId="167" fontId="36" fillId="0" borderId="0" xfId="0" applyNumberFormat="1" applyFont="1"/>
    <xf numFmtId="165" fontId="4" fillId="0" borderId="5" xfId="13" applyNumberFormat="1" applyFont="1" applyFill="1" applyBorder="1"/>
    <xf numFmtId="0" fontId="4" fillId="0" borderId="7" xfId="15" applyFont="1" applyBorder="1"/>
    <xf numFmtId="165" fontId="4" fillId="0" borderId="4" xfId="13" applyNumberFormat="1" applyFont="1" applyFill="1" applyBorder="1"/>
    <xf numFmtId="0" fontId="5" fillId="0" borderId="6" xfId="0" applyFont="1" applyBorder="1" applyAlignment="1">
      <alignment horizontal="center"/>
    </xf>
    <xf numFmtId="172" fontId="9" fillId="2" borderId="18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4" fillId="0" borderId="19" xfId="0" applyFont="1" applyBorder="1"/>
    <xf numFmtId="0" fontId="7" fillId="0" borderId="13" xfId="0" applyFont="1" applyBorder="1"/>
    <xf numFmtId="0" fontId="11" fillId="0" borderId="7" xfId="0" applyFont="1" applyBorder="1" applyAlignment="1">
      <alignment horizontal="center"/>
    </xf>
    <xf numFmtId="171" fontId="18" fillId="0" borderId="0" xfId="9" applyNumberFormat="1" applyFont="1" applyBorder="1"/>
    <xf numFmtId="171" fontId="18" fillId="0" borderId="0" xfId="0" applyNumberFormat="1" applyFont="1"/>
    <xf numFmtId="169" fontId="18" fillId="0" borderId="0" xfId="1" applyNumberFormat="1" applyFont="1" applyBorder="1"/>
    <xf numFmtId="169" fontId="18" fillId="0" borderId="0" xfId="1" applyNumberFormat="1" applyFont="1"/>
    <xf numFmtId="171" fontId="4" fillId="0" borderId="0" xfId="0" applyNumberFormat="1" applyFont="1"/>
    <xf numFmtId="175" fontId="4" fillId="0" borderId="0" xfId="0" applyNumberFormat="1" applyFont="1"/>
    <xf numFmtId="10" fontId="18" fillId="0" borderId="0" xfId="9" applyNumberFormat="1" applyFont="1" applyBorder="1"/>
    <xf numFmtId="0" fontId="36" fillId="0" borderId="0" xfId="0" applyFont="1"/>
    <xf numFmtId="167" fontId="4" fillId="0" borderId="0" xfId="1" applyNumberFormat="1" applyFont="1"/>
    <xf numFmtId="38" fontId="4" fillId="0" borderId="0" xfId="0" applyNumberFormat="1" applyFont="1"/>
    <xf numFmtId="169" fontId="4" fillId="0" borderId="10" xfId="1" applyNumberFormat="1" applyFont="1" applyFill="1" applyBorder="1"/>
    <xf numFmtId="0" fontId="37" fillId="0" borderId="0" xfId="5" applyFont="1"/>
    <xf numFmtId="165" fontId="26" fillId="0" borderId="4" xfId="4" applyNumberFormat="1" applyFont="1" applyFill="1" applyBorder="1" applyAlignment="1">
      <alignment horizontal="left"/>
    </xf>
    <xf numFmtId="167" fontId="26" fillId="0" borderId="4" xfId="2" applyNumberFormat="1" applyFont="1" applyFill="1" applyBorder="1"/>
    <xf numFmtId="167" fontId="26" fillId="0" borderId="22" xfId="2" applyNumberFormat="1" applyFont="1" applyFill="1" applyBorder="1"/>
    <xf numFmtId="44" fontId="26" fillId="0" borderId="23" xfId="4" applyFont="1" applyFill="1" applyBorder="1"/>
    <xf numFmtId="44" fontId="26" fillId="0" borderId="4" xfId="4" applyFont="1" applyFill="1" applyBorder="1"/>
    <xf numFmtId="167" fontId="26" fillId="0" borderId="24" xfId="2" applyNumberFormat="1" applyFont="1" applyFill="1" applyBorder="1"/>
    <xf numFmtId="167" fontId="26" fillId="0" borderId="27" xfId="2" applyNumberFormat="1" applyFont="1" applyFill="1" applyBorder="1"/>
    <xf numFmtId="164" fontId="26" fillId="0" borderId="25" xfId="4" applyNumberFormat="1" applyFont="1" applyFill="1" applyBorder="1"/>
    <xf numFmtId="164" fontId="26" fillId="0" borderId="26" xfId="4" applyNumberFormat="1" applyFont="1" applyFill="1" applyBorder="1"/>
    <xf numFmtId="165" fontId="26" fillId="0" borderId="4" xfId="4" applyNumberFormat="1" applyFont="1" applyFill="1" applyBorder="1"/>
    <xf numFmtId="167" fontId="26" fillId="0" borderId="9" xfId="2" applyNumberFormat="1" applyFont="1" applyFill="1" applyBorder="1"/>
    <xf numFmtId="165" fontId="26" fillId="0" borderId="10" xfId="4" applyNumberFormat="1" applyFont="1" applyFill="1" applyBorder="1" applyAlignment="1">
      <alignment horizontal="left"/>
    </xf>
    <xf numFmtId="165" fontId="4" fillId="0" borderId="4" xfId="15" applyNumberFormat="1" applyFont="1" applyBorder="1"/>
    <xf numFmtId="165" fontId="4" fillId="0" borderId="9" xfId="13" applyNumberFormat="1" applyFont="1" applyFill="1" applyBorder="1"/>
    <xf numFmtId="44" fontId="4" fillId="0" borderId="4" xfId="15" applyNumberFormat="1" applyFont="1" applyBorder="1"/>
    <xf numFmtId="0" fontId="36" fillId="0" borderId="0" xfId="6" applyFont="1"/>
    <xf numFmtId="167" fontId="4" fillId="0" borderId="9" xfId="12" applyNumberFormat="1" applyFont="1" applyFill="1" applyBorder="1"/>
    <xf numFmtId="0" fontId="36" fillId="0" borderId="0" xfId="0" applyFont="1" applyAlignment="1">
      <alignment wrapText="1"/>
    </xf>
    <xf numFmtId="44" fontId="36" fillId="0" borderId="0" xfId="0" applyNumberFormat="1" applyFont="1"/>
    <xf numFmtId="168" fontId="4" fillId="0" borderId="10" xfId="13" applyNumberFormat="1" applyFont="1" applyFill="1" applyBorder="1"/>
    <xf numFmtId="42" fontId="4" fillId="0" borderId="10" xfId="0" applyNumberFormat="1" applyFont="1" applyBorder="1"/>
    <xf numFmtId="10" fontId="4" fillId="0" borderId="10" xfId="9" applyNumberFormat="1" applyFont="1" applyFill="1" applyBorder="1"/>
    <xf numFmtId="167" fontId="27" fillId="0" borderId="4" xfId="2" applyNumberFormat="1" applyFont="1" applyFill="1" applyBorder="1" applyAlignment="1">
      <alignment horizontal="center"/>
    </xf>
    <xf numFmtId="167" fontId="4" fillId="0" borderId="0" xfId="1" applyNumberFormat="1" applyFont="1" applyAlignment="1">
      <alignment horizontal="center"/>
    </xf>
    <xf numFmtId="177" fontId="18" fillId="0" borderId="0" xfId="1" applyNumberFormat="1" applyFont="1" applyBorder="1"/>
    <xf numFmtId="167" fontId="35" fillId="0" borderId="9" xfId="1" applyNumberFormat="1" applyFont="1" applyFill="1" applyBorder="1"/>
    <xf numFmtId="0" fontId="4" fillId="0" borderId="0" xfId="15" applyFont="1" applyAlignment="1">
      <alignment horizontal="left"/>
    </xf>
    <xf numFmtId="164" fontId="26" fillId="0" borderId="20" xfId="3" applyNumberFormat="1" applyFont="1" applyFill="1" applyBorder="1" applyAlignment="1">
      <alignment horizontal="left"/>
    </xf>
    <xf numFmtId="164" fontId="26" fillId="0" borderId="21" xfId="4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17" fontId="4" fillId="0" borderId="19" xfId="0" applyNumberFormat="1" applyFont="1" applyBorder="1" applyAlignment="1">
      <alignment horizontal="center" vertical="justify"/>
    </xf>
    <xf numFmtId="17" fontId="4" fillId="0" borderId="13" xfId="0" applyNumberFormat="1" applyFont="1" applyBorder="1" applyAlignment="1">
      <alignment horizontal="center" vertical="justify"/>
    </xf>
    <xf numFmtId="0" fontId="4" fillId="0" borderId="0" xfId="14" applyFont="1" applyAlignment="1">
      <alignment horizontal="center" vertical="justify"/>
    </xf>
    <xf numFmtId="3" fontId="4" fillId="0" borderId="0" xfId="14" applyNumberFormat="1" applyFont="1" applyAlignment="1">
      <alignment horizontal="center" vertical="justify"/>
    </xf>
    <xf numFmtId="0" fontId="6" fillId="2" borderId="1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8">
    <cellStyle name="Comma" xfId="1" builtinId="3"/>
    <cellStyle name="Comma 2" xfId="2" xr:uid="{00000000-0005-0000-0000-000001000000}"/>
    <cellStyle name="Comma 2 2" xfId="12" xr:uid="{00000000-0005-0000-0000-000001000000}"/>
    <cellStyle name="Currency" xfId="3" builtinId="4"/>
    <cellStyle name="Currency 2" xfId="4" xr:uid="{00000000-0005-0000-0000-000003000000}"/>
    <cellStyle name="Currency 2 2" xfId="13" xr:uid="{00000000-0005-0000-0000-000003000000}"/>
    <cellStyle name="Normal" xfId="0" builtinId="0"/>
    <cellStyle name="Normal 12" xfId="5" xr:uid="{00000000-0005-0000-0000-000005000000}"/>
    <cellStyle name="Normal 12 2" xfId="14" xr:uid="{00000000-0005-0000-0000-000005000000}"/>
    <cellStyle name="Normal 2" xfId="6" xr:uid="{00000000-0005-0000-0000-000006000000}"/>
    <cellStyle name="Normal 2 2" xfId="15" xr:uid="{00000000-0005-0000-0000-000006000000}"/>
    <cellStyle name="Normal 2 3 3" xfId="7" xr:uid="{00000000-0005-0000-0000-000007000000}"/>
    <cellStyle name="Normal 21" xfId="17" xr:uid="{D0B85BDD-AF47-48A8-BE43-19DB148BB222}"/>
    <cellStyle name="Normal 3" xfId="11" xr:uid="{00000000-0005-0000-0000-000038000000}"/>
    <cellStyle name="Normal 5" xfId="8" xr:uid="{00000000-0005-0000-0000-000008000000}"/>
    <cellStyle name="Percent" xfId="9" builtinId="5"/>
    <cellStyle name="Percent 2" xfId="10" xr:uid="{00000000-0005-0000-0000-00000A000000}"/>
    <cellStyle name="Percent 2 2" xfId="16" xr:uid="{00000000-0005-0000-0000-00000A000000}"/>
  </cellStyles>
  <dxfs count="0"/>
  <tableStyles count="1" defaultTableStyle="TableStyleMedium9" defaultPivotStyle="PivotStyleLight16">
    <tableStyle name="Invisible" pivot="0" table="0" count="0" xr9:uid="{C03F0088-E253-400A-95B1-95C36E414C71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tatement%20BH%20-%20TO6%20Cycle%201_TRBAA_Settlement.xlsx" TargetMode="External"/><Relationship Id="rId1" Type="http://schemas.openxmlformats.org/officeDocument/2006/relationships/externalLinkPath" Target="Statement%20BH%20-%20TO6%20Cycle%201_TRBAA_Settl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tatement%20BL%20-%20TO6%20Cycle%201_TRBAA_Settlement.xlsx" TargetMode="External"/><Relationship Id="rId1" Type="http://schemas.openxmlformats.org/officeDocument/2006/relationships/externalLinkPath" Target="Statement%20BL%20-%20TO6%20Cycle%201_TRBAA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upport/TO6%20C1%20Statement%20BD%20-%20Settlement.xlsx" TargetMode="External"/><Relationship Id="rId1" Type="http://schemas.openxmlformats.org/officeDocument/2006/relationships/externalLinkPath" Target="Support/TO6%20C1%20Statement%20BD%20-%20Settl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rp.se.sempra.com\corpdata\Electric_Rates_Group\Rate%20Changes\2024%20Rate%20Changes\10-1-2024%20CEMA%20and%20SDREN\Consolidated%20Model%2010-1-24.xlsm" TargetMode="External"/><Relationship Id="rId1" Type="http://schemas.openxmlformats.org/officeDocument/2006/relationships/externalLinkPath" Target="file:///\\corp.se.sempra.com\corpdata\Electric_Rates_Group\Rate%20Changes\2024%20Rate%20Changes\10-1-2024%20CEMA%20and%20SDREN\Consolidated%20Model%2010-1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Revs @ Present Rates"/>
      <sheetName val="A-Revenues@Present Rates"/>
      <sheetName val="B-Revenues@Present Rates"/>
      <sheetName val="C-Revenues@Present Rates"/>
      <sheetName val="A-Med &amp; Lrg C-I"/>
      <sheetName val="B-Med &amp; Lrg C-I"/>
      <sheetName val="C-Med &amp; Lrg C-I"/>
      <sheetName val="D-Med &amp; Lrg C-I"/>
      <sheetName val="San Diego Unified Port District"/>
      <sheetName val="PA-T-1"/>
      <sheetName val="Wholesale TAC Rates"/>
      <sheetName val="Escondido"/>
      <sheetName val="Standby"/>
    </sheetNames>
    <sheetDataSet>
      <sheetData sheetId="0">
        <row r="33">
          <cell r="I33">
            <v>448620507.49212515</v>
          </cell>
        </row>
        <row r="35">
          <cell r="I35">
            <v>119860356.94079906</v>
          </cell>
        </row>
        <row r="37">
          <cell r="I37">
            <v>397584228.83204013</v>
          </cell>
        </row>
        <row r="39">
          <cell r="I39">
            <v>133998.82</v>
          </cell>
        </row>
        <row r="43">
          <cell r="I43">
            <v>3549975.8332671863</v>
          </cell>
        </row>
        <row r="45">
          <cell r="I45">
            <v>14278764</v>
          </cell>
        </row>
        <row r="47">
          <cell r="I47">
            <v>995071870.49729753</v>
          </cell>
        </row>
      </sheetData>
      <sheetData sheetId="1"/>
      <sheetData sheetId="2"/>
      <sheetData sheetId="3">
        <row r="81">
          <cell r="K81">
            <v>3755863.7268498158</v>
          </cell>
        </row>
        <row r="82">
          <cell r="L82">
            <v>7288174.8522161283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mission Rates Summary"/>
      <sheetName val="Allocation of Base TRR - 12 CPS"/>
      <sheetName val="Transmission Energy Rates"/>
      <sheetName val="Med &amp; Lrg C-I NCD"/>
      <sheetName val="Med &amp; Lrg C-I NCD Revenues"/>
      <sheetName val="M&amp;L C-I On-Peak Demand"/>
      <sheetName val="M&amp;L C-I System Peak Demand"/>
      <sheetName val="AG NCD"/>
      <sheetName val="Standby Demand"/>
      <sheetName val="Summary of Revenues"/>
      <sheetName val="San Diego Unified Port District"/>
      <sheetName val="Workpapers"/>
      <sheetName val="Workpapers 2"/>
    </sheetNames>
    <sheetDataSet>
      <sheetData sheetId="0">
        <row r="14">
          <cell r="C14">
            <v>8.9440000000000006E-2</v>
          </cell>
        </row>
        <row r="16">
          <cell r="C16">
            <v>5.108E-2</v>
          </cell>
        </row>
        <row r="19">
          <cell r="D19">
            <v>20.22</v>
          </cell>
          <cell r="E19">
            <v>20.309999999999999</v>
          </cell>
          <cell r="F19">
            <v>21.02</v>
          </cell>
        </row>
        <row r="21">
          <cell r="D21">
            <v>18.2</v>
          </cell>
          <cell r="E21">
            <v>18.28</v>
          </cell>
          <cell r="F21">
            <v>18.920000000000002</v>
          </cell>
        </row>
        <row r="24">
          <cell r="D24">
            <v>3.72</v>
          </cell>
          <cell r="E24">
            <v>3.73</v>
          </cell>
          <cell r="F24">
            <v>3.87</v>
          </cell>
        </row>
        <row r="25">
          <cell r="D25">
            <v>0.75</v>
          </cell>
          <cell r="E25">
            <v>0.76</v>
          </cell>
          <cell r="F25">
            <v>0.78</v>
          </cell>
        </row>
        <row r="28">
          <cell r="D28">
            <v>3.52</v>
          </cell>
          <cell r="E28">
            <v>3.52</v>
          </cell>
          <cell r="F28">
            <v>3.65</v>
          </cell>
        </row>
        <row r="29">
          <cell r="D29">
            <v>0.8</v>
          </cell>
          <cell r="E29">
            <v>0.81</v>
          </cell>
          <cell r="F29">
            <v>0.84</v>
          </cell>
        </row>
        <row r="32">
          <cell r="D32">
            <v>4.87</v>
          </cell>
          <cell r="E32">
            <v>4.9000000000000004</v>
          </cell>
          <cell r="F32">
            <v>0</v>
          </cell>
        </row>
        <row r="33">
          <cell r="D33">
            <v>0.95</v>
          </cell>
          <cell r="E33">
            <v>0.95</v>
          </cell>
          <cell r="F33">
            <v>0</v>
          </cell>
        </row>
        <row r="36">
          <cell r="D36">
            <v>4.82</v>
          </cell>
          <cell r="E36">
            <v>4.84</v>
          </cell>
          <cell r="F36">
            <v>0</v>
          </cell>
        </row>
        <row r="37">
          <cell r="D37">
            <v>0.95</v>
          </cell>
          <cell r="E37">
            <v>0.96</v>
          </cell>
          <cell r="F37">
            <v>0</v>
          </cell>
        </row>
        <row r="42">
          <cell r="E42">
            <v>0.75</v>
          </cell>
        </row>
        <row r="44">
          <cell r="E44">
            <v>1.53</v>
          </cell>
        </row>
        <row r="45">
          <cell r="E45">
            <v>1.53</v>
          </cell>
        </row>
        <row r="47">
          <cell r="C47">
            <v>3.4770000000000002E-2</v>
          </cell>
        </row>
        <row r="50">
          <cell r="D50">
            <v>9.33</v>
          </cell>
          <cell r="E50">
            <v>9.3699999999999992</v>
          </cell>
          <cell r="F50">
            <v>9.7100000000000009</v>
          </cell>
        </row>
        <row r="52">
          <cell r="C52">
            <v>4.6960000000000002E-2</v>
          </cell>
        </row>
        <row r="54">
          <cell r="D54">
            <v>6.57</v>
          </cell>
          <cell r="E54">
            <v>6.6</v>
          </cell>
          <cell r="F54">
            <v>6.82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Stmt BD"/>
      <sheetName val="Filing Copy - BDWP1"/>
      <sheetName val="Filing Copy-2025 Forecast"/>
      <sheetName val="Filing Copy-Energy Storage Fcst"/>
      <sheetName val="Filing Copy-Pump Load True Up"/>
      <sheetName val="A. Statement BD"/>
      <sheetName val="B. Statement BD Workpaper"/>
      <sheetName val="C. 2025 Forecast Sales"/>
      <sheetName val="D. TO6 C1 Stmt BB"/>
      <sheetName val="E. Energy Storage Load Forecast"/>
      <sheetName val="E1. E-mail wp support"/>
      <sheetName val="F. Loss Factors"/>
      <sheetName val="G. Gross Load_True_Up_Adj"/>
      <sheetName val="G.1 2023 Gross Load Forecast"/>
      <sheetName val="G.2 2023 Gross Load Recorded"/>
    </sheetNames>
    <sheetDataSet>
      <sheetData sheetId="0"/>
      <sheetData sheetId="1"/>
      <sheetData sheetId="2">
        <row r="15">
          <cell r="C15">
            <v>7.5635555555555554</v>
          </cell>
          <cell r="D15">
            <v>7.5635555555555554</v>
          </cell>
          <cell r="E15">
            <v>7.5635555555555554</v>
          </cell>
          <cell r="F15">
            <v>7.5635555555555554</v>
          </cell>
          <cell r="G15">
            <v>7.5635555555555554</v>
          </cell>
          <cell r="H15">
            <v>7.5635555555555554</v>
          </cell>
          <cell r="I15">
            <v>7.5635555555555554</v>
          </cell>
          <cell r="J15">
            <v>7.5635555555555554</v>
          </cell>
          <cell r="K15">
            <v>7.5635555555555554</v>
          </cell>
          <cell r="L15">
            <v>7.5635555555555554</v>
          </cell>
          <cell r="M15">
            <v>7.5635555555555554</v>
          </cell>
          <cell r="N15">
            <v>7.5635555555555554</v>
          </cell>
        </row>
      </sheetData>
      <sheetData sheetId="3"/>
      <sheetData sheetId="4"/>
      <sheetData sheetId="5"/>
      <sheetData sheetId="6"/>
      <sheetData sheetId="7">
        <row r="8">
          <cell r="B8">
            <v>633614.84826131561</v>
          </cell>
          <cell r="C8">
            <v>515438.23471526901</v>
          </cell>
          <cell r="D8">
            <v>457649.11693538714</v>
          </cell>
          <cell r="E8">
            <v>365973.42020850413</v>
          </cell>
          <cell r="F8">
            <v>342313.08875184611</v>
          </cell>
          <cell r="G8">
            <v>369395.48357729573</v>
          </cell>
          <cell r="H8">
            <v>457969.47731707973</v>
          </cell>
          <cell r="I8">
            <v>631672.00870622776</v>
          </cell>
          <cell r="J8">
            <v>730948.07568545244</v>
          </cell>
          <cell r="K8">
            <v>531521.92281533149</v>
          </cell>
          <cell r="L8">
            <v>450339.9277139242</v>
          </cell>
          <cell r="M8">
            <v>572324.67175000429</v>
          </cell>
        </row>
        <row r="9">
          <cell r="B9">
            <v>194287.3039717504</v>
          </cell>
          <cell r="C9">
            <v>188366.21066135011</v>
          </cell>
          <cell r="D9">
            <v>187592.51940328325</v>
          </cell>
          <cell r="E9">
            <v>186126.52748780861</v>
          </cell>
          <cell r="F9">
            <v>185654.63461696633</v>
          </cell>
          <cell r="G9">
            <v>194357.83295760828</v>
          </cell>
          <cell r="H9">
            <v>217705.90533345446</v>
          </cell>
          <cell r="I9">
            <v>229919.024856437</v>
          </cell>
          <cell r="J9">
            <v>241455.99341200775</v>
          </cell>
          <cell r="K9">
            <v>214159.40997047324</v>
          </cell>
          <cell r="L9">
            <v>197828.25687204243</v>
          </cell>
          <cell r="M9">
            <v>190835.62155890607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665128.40457376174</v>
          </cell>
          <cell r="C11">
            <v>638768.16550925153</v>
          </cell>
          <cell r="D11">
            <v>634906.37665919401</v>
          </cell>
          <cell r="E11">
            <v>634614.63028510415</v>
          </cell>
          <cell r="F11">
            <v>642422.3679788115</v>
          </cell>
          <cell r="G11">
            <v>674302.30225451861</v>
          </cell>
          <cell r="H11">
            <v>739126.30591458536</v>
          </cell>
          <cell r="I11">
            <v>777952.89032439666</v>
          </cell>
          <cell r="J11">
            <v>818733.95977402898</v>
          </cell>
          <cell r="K11">
            <v>743327.39731253241</v>
          </cell>
          <cell r="L11">
            <v>671314.98969655018</v>
          </cell>
          <cell r="M11">
            <v>657765.56516033004</v>
          </cell>
        </row>
        <row r="12">
          <cell r="B12">
            <v>86063.849876274791</v>
          </cell>
          <cell r="C12">
            <v>74763.168183969552</v>
          </cell>
          <cell r="D12">
            <v>79850.254449063767</v>
          </cell>
          <cell r="E12">
            <v>83893.668552719435</v>
          </cell>
          <cell r="F12">
            <v>82494.516567459548</v>
          </cell>
          <cell r="G12">
            <v>86037.699489391714</v>
          </cell>
          <cell r="H12">
            <v>99719.875448313775</v>
          </cell>
          <cell r="I12">
            <v>97528.717043731289</v>
          </cell>
          <cell r="J12">
            <v>96434.86221579017</v>
          </cell>
          <cell r="K12">
            <v>87398.897344817757</v>
          </cell>
          <cell r="L12">
            <v>86076.559012121768</v>
          </cell>
          <cell r="M12">
            <v>102103.08582474214</v>
          </cell>
        </row>
        <row r="13">
          <cell r="B13">
            <v>595.72</v>
          </cell>
          <cell r="C13">
            <v>724.43</v>
          </cell>
          <cell r="D13">
            <v>727.4</v>
          </cell>
          <cell r="E13">
            <v>931.38</v>
          </cell>
          <cell r="F13">
            <v>258.38</v>
          </cell>
          <cell r="G13">
            <v>110.63</v>
          </cell>
          <cell r="H13">
            <v>125.9</v>
          </cell>
          <cell r="I13">
            <v>0.05</v>
          </cell>
          <cell r="J13">
            <v>40.380000000000003</v>
          </cell>
          <cell r="K13">
            <v>1332.72</v>
          </cell>
          <cell r="L13">
            <v>1353.38</v>
          </cell>
          <cell r="M13">
            <v>517.86</v>
          </cell>
        </row>
        <row r="14">
          <cell r="B14">
            <v>5887.7048144613691</v>
          </cell>
          <cell r="C14">
            <v>6921.2043635153996</v>
          </cell>
          <cell r="D14">
            <v>6343.6370075090954</v>
          </cell>
          <cell r="E14">
            <v>7110.2622255102606</v>
          </cell>
          <cell r="F14">
            <v>10185.414184797397</v>
          </cell>
          <cell r="G14">
            <v>11247.957966117741</v>
          </cell>
          <cell r="H14">
            <v>12755.825760813892</v>
          </cell>
          <cell r="I14">
            <v>13888.226199353687</v>
          </cell>
          <cell r="J14">
            <v>13262.986915300764</v>
          </cell>
          <cell r="K14">
            <v>12407.756148358616</v>
          </cell>
          <cell r="L14">
            <v>10202.67844471914</v>
          </cell>
          <cell r="M14">
            <v>9020.1150758860022</v>
          </cell>
        </row>
        <row r="15">
          <cell r="B15">
            <v>16898.596174145365</v>
          </cell>
          <cell r="C15">
            <v>18281.425836751401</v>
          </cell>
          <cell r="D15">
            <v>16418.928256802759</v>
          </cell>
          <cell r="E15">
            <v>17288.752517243203</v>
          </cell>
          <cell r="F15">
            <v>20061.665198170915</v>
          </cell>
          <cell r="G15">
            <v>20603.202325132836</v>
          </cell>
          <cell r="H15">
            <v>23004.135715861754</v>
          </cell>
          <cell r="I15">
            <v>22863.150521633885</v>
          </cell>
          <cell r="J15">
            <v>21957.609857486786</v>
          </cell>
          <cell r="K15">
            <v>21563.167661901116</v>
          </cell>
          <cell r="L15">
            <v>18985.959067639022</v>
          </cell>
          <cell r="M15">
            <v>18145.45705354834</v>
          </cell>
        </row>
        <row r="16">
          <cell r="B16">
            <v>6804.6811748855589</v>
          </cell>
          <cell r="C16">
            <v>6756.0073419802684</v>
          </cell>
          <cell r="D16">
            <v>6619.3878228434014</v>
          </cell>
          <cell r="E16">
            <v>6515.4914020588558</v>
          </cell>
          <cell r="F16">
            <v>6463.0291984564483</v>
          </cell>
          <cell r="G16">
            <v>6515.9257018801036</v>
          </cell>
          <cell r="H16">
            <v>6492.050284871927</v>
          </cell>
          <cell r="I16">
            <v>6710.6086798682181</v>
          </cell>
          <cell r="J16">
            <v>6515.1940268120952</v>
          </cell>
          <cell r="K16">
            <v>6563.3223021757885</v>
          </cell>
          <cell r="L16">
            <v>6961.9599399219014</v>
          </cell>
          <cell r="M16">
            <v>7325.9188255832669</v>
          </cell>
        </row>
        <row r="17">
          <cell r="B17">
            <v>7.5635555555555554</v>
          </cell>
          <cell r="C17">
            <v>7.5635555555555554</v>
          </cell>
          <cell r="D17">
            <v>7.5635555555555554</v>
          </cell>
          <cell r="E17">
            <v>7.5635555555555554</v>
          </cell>
          <cell r="F17">
            <v>7.5635555555555554</v>
          </cell>
          <cell r="G17">
            <v>7.5635555555555554</v>
          </cell>
          <cell r="H17">
            <v>7.5635555555555554</v>
          </cell>
          <cell r="I17">
            <v>7.5635555555555554</v>
          </cell>
          <cell r="J17">
            <v>7.5635555555555554</v>
          </cell>
          <cell r="K17">
            <v>7.5635555555555554</v>
          </cell>
          <cell r="L17">
            <v>7.5635555555555554</v>
          </cell>
          <cell r="M17">
            <v>7.5635555555555554</v>
          </cell>
        </row>
        <row r="18">
          <cell r="B18">
            <v>1609288.6724021505</v>
          </cell>
          <cell r="C18">
            <v>1450026.4101676429</v>
          </cell>
          <cell r="D18">
            <v>1390115.1840896388</v>
          </cell>
          <cell r="E18">
            <v>1302461.6962345045</v>
          </cell>
          <cell r="F18">
            <v>1289860.6600520639</v>
          </cell>
          <cell r="G18">
            <v>1362578.5978275007</v>
          </cell>
          <cell r="H18">
            <v>1556907.0393305365</v>
          </cell>
          <cell r="I18">
            <v>1780542.2398872043</v>
          </cell>
          <cell r="J18">
            <v>1929356.6254424346</v>
          </cell>
          <cell r="K18">
            <v>1618282.1571111458</v>
          </cell>
          <cell r="L18">
            <v>1443071.2743024742</v>
          </cell>
          <cell r="M18">
            <v>1558045.8588045561</v>
          </cell>
        </row>
        <row r="24">
          <cell r="B24">
            <v>47061.93</v>
          </cell>
          <cell r="C24">
            <v>40430.444799999997</v>
          </cell>
          <cell r="D24">
            <v>37102.648100000006</v>
          </cell>
          <cell r="E24">
            <v>32070.854599999999</v>
          </cell>
          <cell r="F24">
            <v>29749.3845</v>
          </cell>
          <cell r="G24">
            <v>33271.081599999998</v>
          </cell>
          <cell r="H24">
            <v>35708.878800000006</v>
          </cell>
          <cell r="I24">
            <v>49471.659700000004</v>
          </cell>
          <cell r="J24">
            <v>60292.236499999999</v>
          </cell>
          <cell r="K24">
            <v>48776.249100000001</v>
          </cell>
          <cell r="L24">
            <v>44820.339399999997</v>
          </cell>
          <cell r="M24">
            <v>55640.162299999996</v>
          </cell>
        </row>
        <row r="27">
          <cell r="B27">
            <v>10048.812900000001</v>
          </cell>
          <cell r="C27">
            <v>8628.4964999999993</v>
          </cell>
          <cell r="D27">
            <v>7914.7977000000001</v>
          </cell>
          <cell r="E27">
            <v>6833.4733999999999</v>
          </cell>
          <cell r="F27">
            <v>6340.9143000000004</v>
          </cell>
          <cell r="G27">
            <v>7065.3548000000001</v>
          </cell>
          <cell r="H27">
            <v>7578.9335000000001</v>
          </cell>
          <cell r="I27">
            <v>10502.0064</v>
          </cell>
          <cell r="J27">
            <v>12802.225399999999</v>
          </cell>
          <cell r="K27">
            <v>10357.2299</v>
          </cell>
          <cell r="L27">
            <v>9565.1041000000005</v>
          </cell>
          <cell r="M27">
            <v>11877.9781</v>
          </cell>
        </row>
        <row r="28">
          <cell r="B28">
            <v>9406.8744000000006</v>
          </cell>
          <cell r="C28">
            <v>8097.3588</v>
          </cell>
          <cell r="D28">
            <v>7447.5182000000004</v>
          </cell>
          <cell r="E28">
            <v>6469.8077999999996</v>
          </cell>
          <cell r="F28">
            <v>6005.1641</v>
          </cell>
          <cell r="G28">
            <v>7434.2599</v>
          </cell>
          <cell r="H28">
            <v>8009.7767000000003</v>
          </cell>
          <cell r="I28">
            <v>11046.292299999999</v>
          </cell>
          <cell r="J28">
            <v>13433.0672</v>
          </cell>
          <cell r="K28">
            <v>10873.651900000001</v>
          </cell>
          <cell r="L28">
            <v>8991.5583000000006</v>
          </cell>
          <cell r="M28">
            <v>11131.8791</v>
          </cell>
        </row>
        <row r="29">
          <cell r="B29">
            <v>27606.242699999999</v>
          </cell>
          <cell r="C29">
            <v>23704.589499999998</v>
          </cell>
          <cell r="D29">
            <v>21740.332200000001</v>
          </cell>
          <cell r="E29">
            <v>18767.573400000001</v>
          </cell>
          <cell r="F29">
            <v>17403.306100000002</v>
          </cell>
          <cell r="G29">
            <v>18771.466899999999</v>
          </cell>
          <cell r="H29">
            <v>20120.168600000001</v>
          </cell>
          <cell r="I29">
            <v>27923.361000000001</v>
          </cell>
          <cell r="J29">
            <v>34056.943899999998</v>
          </cell>
          <cell r="K29">
            <v>27545.367300000002</v>
          </cell>
          <cell r="L29">
            <v>26263.677</v>
          </cell>
          <cell r="M29">
            <v>32630.305100000001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64">
          <cell r="B64">
            <v>0.75415030547584305</v>
          </cell>
          <cell r="C64">
            <v>0.75415030547584305</v>
          </cell>
          <cell r="D64">
            <v>0.75415030547584305</v>
          </cell>
          <cell r="E64">
            <v>0.75415030547584305</v>
          </cell>
          <cell r="F64">
            <v>0.75415030547584305</v>
          </cell>
          <cell r="G64">
            <v>0.74589791330642297</v>
          </cell>
          <cell r="H64">
            <v>0.74589791330642297</v>
          </cell>
          <cell r="I64">
            <v>0.74589791330642297</v>
          </cell>
          <cell r="J64">
            <v>0.74589791330642297</v>
          </cell>
          <cell r="K64">
            <v>0.74589791330642297</v>
          </cell>
          <cell r="L64">
            <v>0.75415030547584305</v>
          </cell>
          <cell r="M64">
            <v>0.75415030547584305</v>
          </cell>
        </row>
        <row r="65">
          <cell r="B65">
            <v>0.22567787532915401</v>
          </cell>
          <cell r="C65">
            <v>0.22567787532915401</v>
          </cell>
          <cell r="D65">
            <v>0.22567787532915401</v>
          </cell>
          <cell r="E65">
            <v>0.22567787532915401</v>
          </cell>
          <cell r="F65">
            <v>0.22567787532915401</v>
          </cell>
          <cell r="G65">
            <v>0.23068774979173001</v>
          </cell>
          <cell r="H65">
            <v>0.23068774979173001</v>
          </cell>
          <cell r="I65">
            <v>0.23068774979173001</v>
          </cell>
          <cell r="J65">
            <v>0.23068774979173001</v>
          </cell>
          <cell r="K65">
            <v>0.23068774979173001</v>
          </cell>
          <cell r="L65">
            <v>0.22567787532915401</v>
          </cell>
          <cell r="M65">
            <v>0.22567787532915401</v>
          </cell>
        </row>
        <row r="66">
          <cell r="B66">
            <v>2.0171819195002601E-2</v>
          </cell>
          <cell r="C66">
            <v>2.0171819195002601E-2</v>
          </cell>
          <cell r="D66">
            <v>2.0171819195002601E-2</v>
          </cell>
          <cell r="E66">
            <v>2.0171819195002601E-2</v>
          </cell>
          <cell r="F66">
            <v>2.0171819195002601E-2</v>
          </cell>
          <cell r="G66">
            <v>2.3414336901846002E-2</v>
          </cell>
          <cell r="H66">
            <v>2.3414336901846002E-2</v>
          </cell>
          <cell r="I66">
            <v>2.3414336901846002E-2</v>
          </cell>
          <cell r="J66">
            <v>2.3414336901846002E-2</v>
          </cell>
          <cell r="K66">
            <v>2.3414336901846002E-2</v>
          </cell>
          <cell r="L66">
            <v>2.0171819195002601E-2</v>
          </cell>
          <cell r="M66">
            <v>2.0171819195002601E-2</v>
          </cell>
        </row>
        <row r="67">
          <cell r="B67">
            <v>0.99999999999999967</v>
          </cell>
          <cell r="C67">
            <v>0.99999999999999967</v>
          </cell>
          <cell r="D67">
            <v>0.99999999999999967</v>
          </cell>
          <cell r="E67">
            <v>0.99999999999999967</v>
          </cell>
          <cell r="F67">
            <v>0.99999999999999967</v>
          </cell>
          <cell r="G67">
            <v>0.999999999999999</v>
          </cell>
          <cell r="H67">
            <v>0.999999999999999</v>
          </cell>
          <cell r="I67">
            <v>0.999999999999999</v>
          </cell>
          <cell r="J67">
            <v>0.999999999999999</v>
          </cell>
          <cell r="K67">
            <v>0.999999999999999</v>
          </cell>
          <cell r="L67">
            <v>0.99999999999999967</v>
          </cell>
          <cell r="M67">
            <v>0.99999999999999967</v>
          </cell>
        </row>
        <row r="74">
          <cell r="B74">
            <v>2.6298102470112199E-3</v>
          </cell>
          <cell r="C74">
            <v>2.6298102470112199E-3</v>
          </cell>
          <cell r="D74">
            <v>2.6298102470112199E-3</v>
          </cell>
          <cell r="E74">
            <v>2.6298102470112199E-3</v>
          </cell>
          <cell r="F74">
            <v>2.6298102470112199E-3</v>
          </cell>
          <cell r="G74">
            <v>2.6316031131861498E-3</v>
          </cell>
          <cell r="H74">
            <v>2.6316031131861498E-3</v>
          </cell>
          <cell r="I74">
            <v>2.6316031131861498E-3</v>
          </cell>
          <cell r="J74">
            <v>2.6316031131861498E-3</v>
          </cell>
          <cell r="K74">
            <v>2.6316031131861498E-3</v>
          </cell>
          <cell r="L74">
            <v>2.6298102470112199E-3</v>
          </cell>
          <cell r="M74">
            <v>2.6298102470112199E-3</v>
          </cell>
        </row>
        <row r="75">
          <cell r="B75">
            <v>2.0769697098581802E-3</v>
          </cell>
          <cell r="C75">
            <v>2.0769697098581802E-3</v>
          </cell>
          <cell r="D75">
            <v>2.0769697098581802E-3</v>
          </cell>
          <cell r="E75">
            <v>2.0769697098581802E-3</v>
          </cell>
          <cell r="F75">
            <v>2.0769697098581802E-3</v>
          </cell>
          <cell r="G75">
            <v>2.0708496727374799E-3</v>
          </cell>
          <cell r="H75">
            <v>2.0708496727374799E-3</v>
          </cell>
          <cell r="I75">
            <v>2.0708496727374799E-3</v>
          </cell>
          <cell r="J75">
            <v>2.0708496727374799E-3</v>
          </cell>
          <cell r="K75">
            <v>2.0708496727374799E-3</v>
          </cell>
          <cell r="L75">
            <v>2.0769697098581802E-3</v>
          </cell>
          <cell r="M75">
            <v>2.0769697098581802E-3</v>
          </cell>
        </row>
        <row r="76">
          <cell r="B76">
            <v>1.2646285631947799E-3</v>
          </cell>
          <cell r="C76">
            <v>1.2646285631947799E-3</v>
          </cell>
          <cell r="D76">
            <v>1.2646285631947799E-3</v>
          </cell>
          <cell r="E76">
            <v>1.2646285631947799E-3</v>
          </cell>
          <cell r="F76">
            <v>1.2646285631947799E-3</v>
          </cell>
          <cell r="G76">
            <v>1.2611481991004899E-3</v>
          </cell>
          <cell r="H76">
            <v>1.2611481991004899E-3</v>
          </cell>
          <cell r="I76">
            <v>1.2611481991004899E-3</v>
          </cell>
          <cell r="J76">
            <v>1.2611481991004899E-3</v>
          </cell>
          <cell r="K76">
            <v>1.2611481991004899E-3</v>
          </cell>
          <cell r="L76">
            <v>1.2646285631947799E-3</v>
          </cell>
          <cell r="M76">
            <v>1.2646285631947799E-3</v>
          </cell>
        </row>
        <row r="84">
          <cell r="B84">
            <v>2.5121846258207301E-3</v>
          </cell>
          <cell r="C84">
            <v>2.5121846258207301E-3</v>
          </cell>
          <cell r="D84">
            <v>2.5121846258207301E-3</v>
          </cell>
          <cell r="E84">
            <v>2.5121846258207301E-3</v>
          </cell>
          <cell r="F84">
            <v>2.5121846258207301E-3</v>
          </cell>
          <cell r="G84">
            <v>2.4824306488214899E-3</v>
          </cell>
          <cell r="H84">
            <v>2.4824306488214899E-3</v>
          </cell>
          <cell r="I84">
            <v>2.4824306488214899E-3</v>
          </cell>
          <cell r="J84">
            <v>2.4824306488214899E-3</v>
          </cell>
          <cell r="K84">
            <v>2.4824306488214899E-3</v>
          </cell>
          <cell r="L84">
            <v>2.5121846258207301E-3</v>
          </cell>
          <cell r="M84">
            <v>2.5121846258207301E-3</v>
          </cell>
        </row>
        <row r="85">
          <cell r="B85">
            <v>2.07619007261288E-3</v>
          </cell>
          <cell r="C85">
            <v>2.07619007261288E-3</v>
          </cell>
          <cell r="D85">
            <v>2.07619007261288E-3</v>
          </cell>
          <cell r="E85">
            <v>2.07619007261288E-3</v>
          </cell>
          <cell r="F85">
            <v>2.07619007261288E-3</v>
          </cell>
          <cell r="G85">
            <v>2.00255414800548E-3</v>
          </cell>
          <cell r="H85">
            <v>2.00255414800548E-3</v>
          </cell>
          <cell r="I85">
            <v>2.00255414800548E-3</v>
          </cell>
          <cell r="J85">
            <v>2.00255414800548E-3</v>
          </cell>
          <cell r="K85">
            <v>2.00255414800548E-3</v>
          </cell>
          <cell r="L85">
            <v>2.07619007261288E-3</v>
          </cell>
          <cell r="M85">
            <v>2.07619007261288E-3</v>
          </cell>
        </row>
        <row r="86">
          <cell r="B86">
            <v>2.85406647290126E-3</v>
          </cell>
          <cell r="C86">
            <v>2.85406647290126E-3</v>
          </cell>
          <cell r="D86">
            <v>2.85406647290126E-3</v>
          </cell>
          <cell r="E86">
            <v>2.85406647290126E-3</v>
          </cell>
          <cell r="F86">
            <v>2.85406647290126E-3</v>
          </cell>
          <cell r="G86">
            <v>2.8102425987092099E-3</v>
          </cell>
          <cell r="H86">
            <v>2.8102425987092099E-3</v>
          </cell>
          <cell r="I86">
            <v>2.8102425987092099E-3</v>
          </cell>
          <cell r="J86">
            <v>2.8102425987092099E-3</v>
          </cell>
          <cell r="K86">
            <v>2.8102425987092099E-3</v>
          </cell>
          <cell r="L86">
            <v>2.85406647290126E-3</v>
          </cell>
          <cell r="M86">
            <v>2.85406647290126E-3</v>
          </cell>
        </row>
        <row r="95">
          <cell r="B95">
            <v>2.34388768580474E-3</v>
          </cell>
          <cell r="C95">
            <v>2.34388768580474E-3</v>
          </cell>
          <cell r="D95">
            <v>2.34388768580474E-3</v>
          </cell>
          <cell r="E95">
            <v>2.34388768580474E-3</v>
          </cell>
          <cell r="F95">
            <v>2.34388768580474E-3</v>
          </cell>
          <cell r="G95">
            <v>2.6459920720553602E-3</v>
          </cell>
          <cell r="H95">
            <v>2.6459920720553602E-3</v>
          </cell>
          <cell r="I95">
            <v>2.6459920720553602E-3</v>
          </cell>
          <cell r="J95">
            <v>2.6459920720553602E-3</v>
          </cell>
          <cell r="K95">
            <v>2.6459920720553602E-3</v>
          </cell>
          <cell r="L95">
            <v>2.34388768580474E-3</v>
          </cell>
          <cell r="M95">
            <v>2.34388768580474E-3</v>
          </cell>
        </row>
        <row r="96">
          <cell r="B96">
            <v>1.9963150572872199E-3</v>
          </cell>
          <cell r="C96">
            <v>1.9963150572872199E-3</v>
          </cell>
          <cell r="D96">
            <v>1.9963150572872199E-3</v>
          </cell>
          <cell r="E96">
            <v>1.9963150572872199E-3</v>
          </cell>
          <cell r="F96">
            <v>1.9963150572872199E-3</v>
          </cell>
          <cell r="G96">
            <v>2.0955668231644499E-3</v>
          </cell>
          <cell r="H96">
            <v>2.0955668231644499E-3</v>
          </cell>
          <cell r="I96">
            <v>2.0955668231644499E-3</v>
          </cell>
          <cell r="J96">
            <v>2.0955668231644499E-3</v>
          </cell>
          <cell r="K96">
            <v>2.0955668231644499E-3</v>
          </cell>
          <cell r="L96">
            <v>1.9963150572872199E-3</v>
          </cell>
          <cell r="M96">
            <v>1.9963150572872199E-3</v>
          </cell>
        </row>
        <row r="97">
          <cell r="B97">
            <v>2.6737376719563298E-3</v>
          </cell>
          <cell r="C97">
            <v>2.6737376719563298E-3</v>
          </cell>
          <cell r="D97">
            <v>2.6737376719563298E-3</v>
          </cell>
          <cell r="E97">
            <v>2.6737376719563298E-3</v>
          </cell>
          <cell r="F97">
            <v>2.6737376719563298E-3</v>
          </cell>
          <cell r="G97">
            <v>2.7083771453924399E-3</v>
          </cell>
          <cell r="H97">
            <v>2.7083771453924399E-3</v>
          </cell>
          <cell r="I97">
            <v>2.7083771453924399E-3</v>
          </cell>
          <cell r="J97">
            <v>2.7083771453924399E-3</v>
          </cell>
          <cell r="K97">
            <v>2.7083771453924399E-3</v>
          </cell>
          <cell r="L97">
            <v>2.6737376719563298E-3</v>
          </cell>
          <cell r="M97">
            <v>2.6737376719563298E-3</v>
          </cell>
        </row>
        <row r="112">
          <cell r="B112">
            <v>0.29032134761179901</v>
          </cell>
          <cell r="C112">
            <v>0.29032134761179901</v>
          </cell>
          <cell r="D112">
            <v>0.29032134761179901</v>
          </cell>
          <cell r="E112">
            <v>0.29032134761179901</v>
          </cell>
          <cell r="F112">
            <v>0.29032134761179901</v>
          </cell>
          <cell r="G112">
            <v>0.28541470483171499</v>
          </cell>
          <cell r="H112">
            <v>0.28541470483171499</v>
          </cell>
          <cell r="I112">
            <v>0.28541470483171499</v>
          </cell>
          <cell r="J112">
            <v>0.28541470483171499</v>
          </cell>
          <cell r="K112">
            <v>0.28541470483171499</v>
          </cell>
          <cell r="L112">
            <v>0.29032134761179901</v>
          </cell>
          <cell r="M112">
            <v>0.29032134761179901</v>
          </cell>
        </row>
        <row r="113">
          <cell r="B113">
            <v>0.70967865238820005</v>
          </cell>
          <cell r="C113">
            <v>0.70967865238820005</v>
          </cell>
          <cell r="D113">
            <v>0.70967865238820005</v>
          </cell>
          <cell r="E113">
            <v>0.70967865238820005</v>
          </cell>
          <cell r="F113">
            <v>0.70967865238820005</v>
          </cell>
          <cell r="G113">
            <v>0.71458529516828395</v>
          </cell>
          <cell r="H113">
            <v>0.71458529516828395</v>
          </cell>
          <cell r="I113">
            <v>0.71458529516828395</v>
          </cell>
          <cell r="J113">
            <v>0.71458529516828395</v>
          </cell>
          <cell r="K113">
            <v>0.71458529516828395</v>
          </cell>
          <cell r="L113">
            <v>0.70967865238820005</v>
          </cell>
          <cell r="M113">
            <v>0.70967865238820005</v>
          </cell>
        </row>
        <row r="114">
          <cell r="B114">
            <v>0.99999999999999911</v>
          </cell>
          <cell r="C114">
            <v>0.99999999999999911</v>
          </cell>
          <cell r="D114">
            <v>0.99999999999999911</v>
          </cell>
          <cell r="E114">
            <v>0.99999999999999911</v>
          </cell>
          <cell r="F114">
            <v>0.99999999999999911</v>
          </cell>
          <cell r="G114">
            <v>0.99999999999999889</v>
          </cell>
          <cell r="H114">
            <v>0.99999999999999889</v>
          </cell>
          <cell r="I114">
            <v>0.99999999999999889</v>
          </cell>
          <cell r="J114">
            <v>0.99999999999999889</v>
          </cell>
          <cell r="K114">
            <v>0.99999999999999889</v>
          </cell>
          <cell r="L114">
            <v>0.99999999999999911</v>
          </cell>
          <cell r="M114">
            <v>0.99999999999999911</v>
          </cell>
        </row>
        <row r="122">
          <cell r="B122">
            <v>2.2450940293153102E-3</v>
          </cell>
          <cell r="C122">
            <v>2.2450940293153102E-3</v>
          </cell>
          <cell r="D122">
            <v>2.2450940293153102E-3</v>
          </cell>
          <cell r="E122">
            <v>2.2450940293153102E-3</v>
          </cell>
          <cell r="F122">
            <v>2.2450940293153102E-3</v>
          </cell>
          <cell r="G122">
            <v>2.2359944619016101E-3</v>
          </cell>
          <cell r="H122">
            <v>2.2359944619016101E-3</v>
          </cell>
          <cell r="I122">
            <v>2.2359944619016101E-3</v>
          </cell>
          <cell r="J122">
            <v>2.2359944619016101E-3</v>
          </cell>
          <cell r="K122">
            <v>2.2359944619016101E-3</v>
          </cell>
          <cell r="L122">
            <v>2.2450940293153102E-3</v>
          </cell>
          <cell r="M122">
            <v>2.2450940293153102E-3</v>
          </cell>
        </row>
        <row r="123">
          <cell r="B123">
            <v>1.7420107192995E-3</v>
          </cell>
          <cell r="C123">
            <v>1.7420107192995E-3</v>
          </cell>
          <cell r="D123">
            <v>1.7420107192995E-3</v>
          </cell>
          <cell r="E123">
            <v>1.7420107192995E-3</v>
          </cell>
          <cell r="F123">
            <v>1.7420107192995E-3</v>
          </cell>
          <cell r="G123">
            <v>1.74201071929949E-3</v>
          </cell>
          <cell r="H123">
            <v>1.74201071929949E-3</v>
          </cell>
          <cell r="I123">
            <v>1.74201071929949E-3</v>
          </cell>
          <cell r="J123">
            <v>1.74201071929949E-3</v>
          </cell>
          <cell r="K123">
            <v>1.74201071929949E-3</v>
          </cell>
          <cell r="L123">
            <v>1.7420107192995E-3</v>
          </cell>
          <cell r="M123">
            <v>1.7420107192995E-3</v>
          </cell>
        </row>
        <row r="132">
          <cell r="B132">
            <v>1.51059656915934E-3</v>
          </cell>
          <cell r="C132">
            <v>1.51059656915934E-3</v>
          </cell>
          <cell r="D132">
            <v>1.51059656915934E-3</v>
          </cell>
          <cell r="E132">
            <v>1.51059656915934E-3</v>
          </cell>
          <cell r="F132">
            <v>1.51059656915934E-3</v>
          </cell>
          <cell r="G132">
            <v>1.5481914215753499E-3</v>
          </cell>
          <cell r="H132">
            <v>1.5481914215753499E-3</v>
          </cell>
          <cell r="I132">
            <v>1.5481914215753499E-3</v>
          </cell>
          <cell r="J132">
            <v>1.5481914215753499E-3</v>
          </cell>
          <cell r="K132">
            <v>1.5481914215753499E-3</v>
          </cell>
          <cell r="L132">
            <v>1.51059656915934E-3</v>
          </cell>
          <cell r="M132">
            <v>1.51059656915934E-3</v>
          </cell>
        </row>
        <row r="133">
          <cell r="B133">
            <v>1.4102411622621E-3</v>
          </cell>
          <cell r="C133">
            <v>1.4102411622621E-3</v>
          </cell>
          <cell r="D133">
            <v>1.4102411622621E-3</v>
          </cell>
          <cell r="E133">
            <v>1.4102411622621E-3</v>
          </cell>
          <cell r="F133">
            <v>1.4102411622621E-3</v>
          </cell>
          <cell r="G133">
            <v>1.3730847260213E-3</v>
          </cell>
          <cell r="H133">
            <v>1.3730847260213E-3</v>
          </cell>
          <cell r="I133">
            <v>1.3730847260213E-3</v>
          </cell>
          <cell r="J133">
            <v>1.3730847260213E-3</v>
          </cell>
          <cell r="K133">
            <v>1.3730847260213E-3</v>
          </cell>
          <cell r="L133">
            <v>1.4102411622621E-3</v>
          </cell>
          <cell r="M133">
            <v>1.4102411622621E-3</v>
          </cell>
        </row>
        <row r="143">
          <cell r="B143">
            <v>1.5100343100952699E-3</v>
          </cell>
          <cell r="C143">
            <v>1.5100343100952699E-3</v>
          </cell>
          <cell r="D143">
            <v>1.5100343100952699E-3</v>
          </cell>
          <cell r="E143">
            <v>1.5100343100952699E-3</v>
          </cell>
          <cell r="F143">
            <v>1.5100343100952699E-3</v>
          </cell>
          <cell r="G143">
            <v>1.57885906380829E-3</v>
          </cell>
          <cell r="H143">
            <v>1.57885906380829E-3</v>
          </cell>
          <cell r="I143">
            <v>1.57885906380829E-3</v>
          </cell>
          <cell r="J143">
            <v>1.57885906380829E-3</v>
          </cell>
          <cell r="K143">
            <v>1.57885906380829E-3</v>
          </cell>
          <cell r="L143">
            <v>1.5100343100952699E-3</v>
          </cell>
          <cell r="M143">
            <v>1.5100343100952699E-3</v>
          </cell>
        </row>
        <row r="144">
          <cell r="B144">
            <v>1.3963972491719001E-3</v>
          </cell>
          <cell r="C144">
            <v>1.3963972491719001E-3</v>
          </cell>
          <cell r="D144">
            <v>1.3963972491719001E-3</v>
          </cell>
          <cell r="E144">
            <v>1.3963972491719001E-3</v>
          </cell>
          <cell r="F144">
            <v>1.3963972491719001E-3</v>
          </cell>
          <cell r="G144">
            <v>1.38330828728879E-3</v>
          </cell>
          <cell r="H144">
            <v>1.38330828728879E-3</v>
          </cell>
          <cell r="I144">
            <v>1.38330828728879E-3</v>
          </cell>
          <cell r="J144">
            <v>1.38330828728879E-3</v>
          </cell>
          <cell r="K144">
            <v>1.38330828728879E-3</v>
          </cell>
          <cell r="L144">
            <v>1.3963972491719001E-3</v>
          </cell>
          <cell r="M144">
            <v>1.3963972491719001E-3</v>
          </cell>
        </row>
        <row r="166">
          <cell r="B166">
            <v>0.70427598116061296</v>
          </cell>
          <cell r="C166">
            <v>0.70427598116061296</v>
          </cell>
          <cell r="D166">
            <v>0.70427598116061296</v>
          </cell>
          <cell r="E166">
            <v>0.70427598116061296</v>
          </cell>
          <cell r="F166">
            <v>0.70427598116061296</v>
          </cell>
          <cell r="G166">
            <v>0.72339467985559402</v>
          </cell>
          <cell r="H166">
            <v>0.72339467985559402</v>
          </cell>
          <cell r="I166">
            <v>0.72339467985559402</v>
          </cell>
          <cell r="J166">
            <v>0.72339467985559402</v>
          </cell>
          <cell r="K166">
            <v>0.72339467985559402</v>
          </cell>
          <cell r="L166">
            <v>0.70427598116061296</v>
          </cell>
          <cell r="M166">
            <v>0.70427598116061296</v>
          </cell>
        </row>
        <row r="167">
          <cell r="B167">
            <v>0.29572401883938598</v>
          </cell>
          <cell r="C167">
            <v>0.29572401883938598</v>
          </cell>
          <cell r="D167">
            <v>0.29572401883938598</v>
          </cell>
          <cell r="E167">
            <v>0.29572401883938598</v>
          </cell>
          <cell r="F167">
            <v>0.29572401883938598</v>
          </cell>
          <cell r="G167">
            <v>0.27660532014440498</v>
          </cell>
          <cell r="H167">
            <v>0.27660532014440498</v>
          </cell>
          <cell r="I167">
            <v>0.27660532014440498</v>
          </cell>
          <cell r="J167">
            <v>0.27660532014440498</v>
          </cell>
          <cell r="K167">
            <v>0.27660532014440498</v>
          </cell>
          <cell r="L167">
            <v>0.29572401883938598</v>
          </cell>
          <cell r="M167">
            <v>0.29572401883938598</v>
          </cell>
        </row>
        <row r="176">
          <cell r="B176">
            <v>3.5802184731023499E-3</v>
          </cell>
          <cell r="C176">
            <v>3.5802184731023499E-3</v>
          </cell>
          <cell r="D176">
            <v>3.5802184731023499E-3</v>
          </cell>
          <cell r="E176">
            <v>3.5802184731023499E-3</v>
          </cell>
          <cell r="F176">
            <v>3.5802184731023499E-3</v>
          </cell>
          <cell r="G176">
            <v>3.5654415563443598E-3</v>
          </cell>
          <cell r="H176">
            <v>3.5654415563443598E-3</v>
          </cell>
          <cell r="I176">
            <v>3.5654415563443598E-3</v>
          </cell>
          <cell r="J176">
            <v>3.5654415563443598E-3</v>
          </cell>
          <cell r="K176">
            <v>3.5654415563443598E-3</v>
          </cell>
          <cell r="L176">
            <v>3.5802184731023499E-3</v>
          </cell>
          <cell r="M176">
            <v>3.5802184731023499E-3</v>
          </cell>
        </row>
        <row r="177">
          <cell r="B177">
            <v>3.73644969719905E-3</v>
          </cell>
          <cell r="C177">
            <v>3.73644969719905E-3</v>
          </cell>
          <cell r="D177">
            <v>3.73644969719905E-3</v>
          </cell>
          <cell r="E177">
            <v>3.73644969719905E-3</v>
          </cell>
          <cell r="F177">
            <v>3.73644969719905E-3</v>
          </cell>
          <cell r="G177">
            <v>3.7265297340661301E-3</v>
          </cell>
          <cell r="H177">
            <v>3.7265297340661301E-3</v>
          </cell>
          <cell r="I177">
            <v>3.7265297340661301E-3</v>
          </cell>
          <cell r="J177">
            <v>3.7265297340661301E-3</v>
          </cell>
          <cell r="K177">
            <v>3.7265297340661301E-3</v>
          </cell>
          <cell r="L177">
            <v>3.73644969719905E-3</v>
          </cell>
          <cell r="M177">
            <v>3.73644969719905E-3</v>
          </cell>
        </row>
        <row r="190">
          <cell r="B190">
            <v>6.1479999999999997</v>
          </cell>
          <cell r="C190">
            <v>6.1479999999999997</v>
          </cell>
          <cell r="D190">
            <v>6.1479999999999997</v>
          </cell>
          <cell r="E190">
            <v>6.1479999999999997</v>
          </cell>
          <cell r="F190">
            <v>6.1479999999999997</v>
          </cell>
          <cell r="G190">
            <v>6.1479999999999997</v>
          </cell>
          <cell r="H190">
            <v>6.1479999999999997</v>
          </cell>
          <cell r="I190">
            <v>6.1479999999999997</v>
          </cell>
          <cell r="J190">
            <v>6.1479999999999997</v>
          </cell>
          <cell r="K190">
            <v>6.1479999999999997</v>
          </cell>
          <cell r="L190">
            <v>6.1479999999999997</v>
          </cell>
          <cell r="M190">
            <v>6.1479999999999997</v>
          </cell>
        </row>
        <row r="191">
          <cell r="B191">
            <v>84.682000000000002</v>
          </cell>
          <cell r="C191">
            <v>84.682000000000002</v>
          </cell>
          <cell r="D191">
            <v>84.682000000000002</v>
          </cell>
          <cell r="E191">
            <v>84.682000000000002</v>
          </cell>
          <cell r="F191">
            <v>84.682000000000002</v>
          </cell>
          <cell r="G191">
            <v>84.682000000000002</v>
          </cell>
          <cell r="H191">
            <v>84.682000000000002</v>
          </cell>
          <cell r="I191">
            <v>84.682000000000002</v>
          </cell>
          <cell r="J191">
            <v>84.682000000000002</v>
          </cell>
          <cell r="K191">
            <v>84.682000000000002</v>
          </cell>
          <cell r="L191">
            <v>84.682000000000002</v>
          </cell>
          <cell r="M191">
            <v>84.682000000000002</v>
          </cell>
        </row>
        <row r="192">
          <cell r="B192">
            <v>54.676000000000002</v>
          </cell>
          <cell r="C192">
            <v>54.676000000000002</v>
          </cell>
          <cell r="D192">
            <v>54.676000000000002</v>
          </cell>
          <cell r="E192">
            <v>54.676000000000002</v>
          </cell>
          <cell r="F192">
            <v>54.676000000000002</v>
          </cell>
          <cell r="G192">
            <v>54.676000000000002</v>
          </cell>
          <cell r="H192">
            <v>54.676000000000002</v>
          </cell>
          <cell r="I192">
            <v>54.676000000000002</v>
          </cell>
          <cell r="J192">
            <v>54.676000000000002</v>
          </cell>
          <cell r="K192">
            <v>54.676000000000002</v>
          </cell>
          <cell r="L192">
            <v>54.676000000000002</v>
          </cell>
          <cell r="M192">
            <v>54.676000000000002</v>
          </cell>
        </row>
        <row r="197">
          <cell r="B197">
            <v>595.72</v>
          </cell>
          <cell r="C197">
            <v>724.43</v>
          </cell>
          <cell r="D197">
            <v>727.4</v>
          </cell>
          <cell r="E197">
            <v>931.38</v>
          </cell>
          <cell r="F197">
            <v>258.38</v>
          </cell>
          <cell r="G197">
            <v>110.63</v>
          </cell>
          <cell r="H197">
            <v>125.9</v>
          </cell>
          <cell r="I197">
            <v>0.05</v>
          </cell>
          <cell r="J197">
            <v>40.380000000000003</v>
          </cell>
          <cell r="K197">
            <v>1332.72</v>
          </cell>
          <cell r="L197">
            <v>1353.38</v>
          </cell>
          <cell r="M197">
            <v>517.86</v>
          </cell>
        </row>
        <row r="199">
          <cell r="B199">
            <v>11.856</v>
          </cell>
          <cell r="C199">
            <v>15.98</v>
          </cell>
          <cell r="D199">
            <v>15.65</v>
          </cell>
          <cell r="E199">
            <v>15.84</v>
          </cell>
          <cell r="F199">
            <v>8.7799999999999994</v>
          </cell>
          <cell r="G199">
            <v>8.69</v>
          </cell>
          <cell r="H199">
            <v>9.89</v>
          </cell>
          <cell r="I199">
            <v>7.99</v>
          </cell>
          <cell r="J199">
            <v>7.99</v>
          </cell>
          <cell r="K199">
            <v>16.940000000000001</v>
          </cell>
          <cell r="L199">
            <v>16.61</v>
          </cell>
          <cell r="M199">
            <v>9.7899999999999991</v>
          </cell>
        </row>
        <row r="201">
          <cell r="L201">
            <v>7.58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on"/>
      <sheetName val="Class Avg Rev Adj"/>
      <sheetName val="Class Avg Rates Adj"/>
      <sheetName val="Class Avg Rev"/>
      <sheetName val="Attachment A"/>
      <sheetName val="Inputs"/>
      <sheetName val="SAPC Calcs"/>
      <sheetName val="Determinants"/>
      <sheetName val="Determinants (GF)"/>
      <sheetName val="Total Proposed Rate"/>
      <sheetName val="Total Present Rate"/>
      <sheetName val="Distribution"/>
      <sheetName val="Distribution MDHD_TEAS"/>
      <sheetName val="Distribution VGI"/>
      <sheetName val="DGR Dist Under-Over"/>
      <sheetName val="DGR Storage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"/>
      <sheetName val="WF-NBC"/>
      <sheetName val="DWR-BC"/>
      <sheetName val="EECC"/>
      <sheetName val="CPP-D Under-Over for EECC"/>
      <sheetName val="DGR Comm Under-Over"/>
      <sheetName val="DGR Storage Comm Under-Over"/>
      <sheetName val="DPP Under-Over for EECC"/>
      <sheetName val="Total EECC"/>
      <sheetName val="DPP_CPP-D"/>
      <sheetName val="CPP-D Und Ovr for CPP-D"/>
      <sheetName val="DGR Comm Und Ovr for CPP"/>
      <sheetName val="DGR Storage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EV-HP"/>
      <sheetName val="Total Present Rate (GF)"/>
      <sheetName val="Total Proposed Rate (GF)"/>
      <sheetName val="Distribution (GF)"/>
      <sheetName val="Distribution VGI (GF)"/>
      <sheetName val="DGR Dist Under-Over (GF)"/>
      <sheetName val="DGR Storage Dist Under-Over(GF)"/>
      <sheetName val="Total Distribution (GF)"/>
      <sheetName val="Transmission (GF)"/>
      <sheetName val="EECC (GF)"/>
      <sheetName val="CPP-D Under-Over for EECC (GF)"/>
      <sheetName val="DGR Comm Under-Over (GF)"/>
      <sheetName val="DGR Storage Comm Under-Over(GF)"/>
      <sheetName val="DPP Under-Over for EECC (GF)"/>
      <sheetName val="Total EECC (GF)"/>
      <sheetName val="DPP_CPP-D (GF)"/>
      <sheetName val="CPP-D Und Ovr for CPP-D (GF)"/>
      <sheetName val="DGR Comm Und Ovr for CPP (GF)"/>
      <sheetName val="DGRStorageCommUndOvr forCPP(GF)"/>
      <sheetName val="DPP Under-Over for CPP-D (GF)"/>
      <sheetName val="Total DPP_CPP-D (GF)"/>
    </sheetNames>
    <sheetDataSet>
      <sheetData sheetId="0"/>
      <sheetData sheetId="1"/>
      <sheetData sheetId="2"/>
      <sheetData sheetId="3"/>
      <sheetData sheetId="4">
        <row r="27">
          <cell r="I27">
            <v>33.31</v>
          </cell>
        </row>
      </sheetData>
      <sheetData sheetId="5">
        <row r="132">
          <cell r="B132">
            <v>-2.8900000000000002E-3</v>
          </cell>
        </row>
        <row r="133">
          <cell r="B133">
            <v>-1.6559999999999998E-2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92">
          <cell r="Q3092">
            <v>18290443717.09972</v>
          </cell>
          <cell r="T3092">
            <v>3.9378215557032803E-2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0"/>
  <sheetViews>
    <sheetView tabSelected="1" zoomScale="70" zoomScaleNormal="70" workbookViewId="0">
      <selection activeCell="B31" sqref="B31"/>
    </sheetView>
  </sheetViews>
  <sheetFormatPr defaultColWidth="9.140625" defaultRowHeight="18.75" x14ac:dyDescent="0.3"/>
  <cols>
    <col min="1" max="1" width="5.5703125" style="1" bestFit="1" customWidth="1"/>
    <col min="2" max="2" width="90.5703125" style="1" customWidth="1"/>
    <col min="3" max="4" width="27.5703125" style="1" bestFit="1" customWidth="1"/>
    <col min="5" max="5" width="20.5703125" style="1" customWidth="1"/>
    <col min="6" max="6" width="19.140625" style="1" customWidth="1"/>
    <col min="7" max="7" width="109.5703125" style="1" bestFit="1" customWidth="1"/>
    <col min="8" max="8" width="5.5703125" style="1" bestFit="1" customWidth="1"/>
    <col min="9" max="9" width="9.140625" style="1"/>
    <col min="10" max="10" width="14.5703125" style="1" bestFit="1" customWidth="1"/>
    <col min="11" max="16384" width="9.140625" style="1"/>
  </cols>
  <sheetData>
    <row r="1" spans="1:8" x14ac:dyDescent="0.3">
      <c r="A1" s="426" t="s">
        <v>0</v>
      </c>
      <c r="B1" s="426"/>
      <c r="C1" s="426"/>
      <c r="D1" s="426"/>
      <c r="E1" s="426"/>
      <c r="F1" s="426"/>
      <c r="G1" s="426"/>
      <c r="H1" s="426"/>
    </row>
    <row r="2" spans="1:8" x14ac:dyDescent="0.3">
      <c r="A2" s="426" t="s">
        <v>1</v>
      </c>
      <c r="B2" s="426"/>
      <c r="C2" s="426"/>
      <c r="D2" s="426"/>
      <c r="E2" s="426"/>
      <c r="F2" s="426"/>
      <c r="G2" s="426"/>
      <c r="H2" s="426"/>
    </row>
    <row r="3" spans="1:8" x14ac:dyDescent="0.3">
      <c r="A3" s="426" t="s">
        <v>2</v>
      </c>
      <c r="B3" s="426"/>
      <c r="C3" s="426"/>
      <c r="D3" s="426"/>
      <c r="E3" s="426"/>
      <c r="F3" s="426"/>
      <c r="G3" s="426"/>
      <c r="H3" s="426"/>
    </row>
    <row r="4" spans="1:8" x14ac:dyDescent="0.3">
      <c r="A4" s="426" t="s">
        <v>3</v>
      </c>
      <c r="B4" s="426"/>
      <c r="C4" s="426"/>
      <c r="D4" s="426"/>
      <c r="E4" s="426"/>
      <c r="F4" s="426"/>
      <c r="G4" s="426"/>
      <c r="H4" s="426"/>
    </row>
    <row r="5" spans="1:8" x14ac:dyDescent="0.3">
      <c r="A5" s="425" t="s">
        <v>459</v>
      </c>
      <c r="B5" s="425"/>
      <c r="C5" s="425"/>
      <c r="D5" s="425"/>
      <c r="E5" s="425"/>
      <c r="F5" s="425"/>
      <c r="G5" s="425"/>
      <c r="H5" s="425"/>
    </row>
    <row r="6" spans="1:8" x14ac:dyDescent="0.3">
      <c r="A6" s="7"/>
      <c r="B6" s="78"/>
      <c r="C6" s="78"/>
      <c r="D6" s="78"/>
      <c r="E6" s="78"/>
      <c r="F6" s="78"/>
    </row>
    <row r="7" spans="1:8" x14ac:dyDescent="0.3">
      <c r="A7" s="8"/>
      <c r="B7" s="8"/>
      <c r="C7" s="8" t="s">
        <v>4</v>
      </c>
      <c r="D7" s="8" t="s">
        <v>5</v>
      </c>
      <c r="E7" s="8" t="s">
        <v>6</v>
      </c>
      <c r="F7" s="8" t="s">
        <v>7</v>
      </c>
      <c r="G7" s="8"/>
      <c r="H7" s="8"/>
    </row>
    <row r="8" spans="1:8" x14ac:dyDescent="0.3">
      <c r="A8" s="11"/>
      <c r="B8" s="11"/>
      <c r="C8" s="11"/>
      <c r="D8" s="11"/>
      <c r="E8" s="11"/>
      <c r="F8" s="11"/>
      <c r="G8" s="11"/>
      <c r="H8" s="11"/>
    </row>
    <row r="9" spans="1:8" x14ac:dyDescent="0.3">
      <c r="A9" s="11"/>
      <c r="B9" s="14"/>
      <c r="C9" s="11">
        <v>2025</v>
      </c>
      <c r="D9" s="11">
        <v>2024</v>
      </c>
      <c r="E9" s="11"/>
      <c r="F9" s="11"/>
      <c r="G9" s="11"/>
      <c r="H9" s="11"/>
    </row>
    <row r="10" spans="1:8" x14ac:dyDescent="0.3">
      <c r="A10" s="11" t="s">
        <v>8</v>
      </c>
      <c r="B10" s="14"/>
      <c r="C10" s="11" t="s">
        <v>9</v>
      </c>
      <c r="D10" s="11" t="s">
        <v>9</v>
      </c>
      <c r="E10" s="11"/>
      <c r="F10" s="11"/>
      <c r="G10" s="11"/>
      <c r="H10" s="11" t="s">
        <v>8</v>
      </c>
    </row>
    <row r="11" spans="1:8" ht="22.5" x14ac:dyDescent="0.3">
      <c r="A11" s="17" t="s">
        <v>10</v>
      </c>
      <c r="B11" s="17" t="s">
        <v>11</v>
      </c>
      <c r="C11" s="79" t="s">
        <v>12</v>
      </c>
      <c r="D11" s="79" t="s">
        <v>13</v>
      </c>
      <c r="E11" s="17" t="s">
        <v>14</v>
      </c>
      <c r="F11" s="79" t="s">
        <v>15</v>
      </c>
      <c r="G11" s="17" t="s">
        <v>16</v>
      </c>
      <c r="H11" s="17" t="s">
        <v>10</v>
      </c>
    </row>
    <row r="12" spans="1:8" x14ac:dyDescent="0.3">
      <c r="A12" s="8"/>
      <c r="B12" s="8"/>
      <c r="C12" s="8"/>
      <c r="D12" s="8"/>
      <c r="E12" s="8"/>
      <c r="F12" s="80"/>
      <c r="G12" s="8"/>
      <c r="H12" s="8"/>
    </row>
    <row r="13" spans="1:8" x14ac:dyDescent="0.3">
      <c r="A13" s="11">
        <v>1</v>
      </c>
      <c r="B13" s="14" t="s">
        <v>17</v>
      </c>
      <c r="C13" s="40">
        <f>'Summary of Revs @ Changed Rates'!I33</f>
        <v>515409353.75845432</v>
      </c>
      <c r="D13" s="53">
        <f>'[1]Summary of Revs @ Present Rates'!$I$33</f>
        <v>448620507.49212515</v>
      </c>
      <c r="E13" s="40">
        <f>C13-D13</f>
        <v>66788846.266329169</v>
      </c>
      <c r="F13" s="81">
        <f>(C13-D13)/D13</f>
        <v>0.14887604367373139</v>
      </c>
      <c r="G13" s="344" t="s">
        <v>18</v>
      </c>
      <c r="H13" s="11">
        <v>1</v>
      </c>
    </row>
    <row r="14" spans="1:8" x14ac:dyDescent="0.3">
      <c r="A14" s="11">
        <f t="shared" ref="A14:A40" si="0">A13+1</f>
        <v>2</v>
      </c>
      <c r="B14" s="19"/>
      <c r="C14" s="40"/>
      <c r="D14" s="53"/>
      <c r="E14" s="40"/>
      <c r="F14" s="40"/>
      <c r="G14" s="344" t="s">
        <v>19</v>
      </c>
      <c r="H14" s="11">
        <v>2</v>
      </c>
    </row>
    <row r="15" spans="1:8" x14ac:dyDescent="0.3">
      <c r="A15" s="11">
        <f t="shared" si="0"/>
        <v>3</v>
      </c>
      <c r="B15" s="19"/>
      <c r="C15" s="40"/>
      <c r="D15" s="53"/>
      <c r="E15" s="40"/>
      <c r="F15" s="40"/>
      <c r="G15" s="344"/>
      <c r="H15" s="11">
        <v>3</v>
      </c>
    </row>
    <row r="16" spans="1:8" x14ac:dyDescent="0.3">
      <c r="A16" s="11">
        <f t="shared" si="0"/>
        <v>4</v>
      </c>
      <c r="B16" s="14" t="s">
        <v>20</v>
      </c>
      <c r="C16" s="18">
        <f>'Summary of Revs @ Changed Rates'!I35</f>
        <v>124037014.43549466</v>
      </c>
      <c r="D16" s="53">
        <f>'[1]Summary of Revs @ Present Rates'!$I$35</f>
        <v>119860356.94079906</v>
      </c>
      <c r="E16" s="40">
        <f>C16-D16</f>
        <v>4176657.4946956038</v>
      </c>
      <c r="F16" s="81">
        <f>(C16-D16)/D16</f>
        <v>3.4846029173419876E-2</v>
      </c>
      <c r="G16" s="344" t="s">
        <v>21</v>
      </c>
      <c r="H16" s="11">
        <v>4</v>
      </c>
    </row>
    <row r="17" spans="1:10" x14ac:dyDescent="0.3">
      <c r="A17" s="11">
        <f t="shared" si="0"/>
        <v>5</v>
      </c>
      <c r="B17" s="21"/>
      <c r="C17" s="18"/>
      <c r="D17" s="47"/>
      <c r="E17" s="18"/>
      <c r="F17" s="40"/>
      <c r="G17" s="344" t="s">
        <v>22</v>
      </c>
      <c r="H17" s="11">
        <v>5</v>
      </c>
    </row>
    <row r="18" spans="1:10" x14ac:dyDescent="0.3">
      <c r="A18" s="11">
        <f t="shared" si="0"/>
        <v>6</v>
      </c>
      <c r="B18" s="21"/>
      <c r="C18" s="18"/>
      <c r="D18" s="47"/>
      <c r="E18" s="18"/>
      <c r="F18" s="40"/>
      <c r="G18" s="344"/>
      <c r="H18" s="11">
        <v>6</v>
      </c>
    </row>
    <row r="19" spans="1:10" ht="22.5" x14ac:dyDescent="0.3">
      <c r="A19" s="11">
        <f t="shared" si="0"/>
        <v>7</v>
      </c>
      <c r="B19" s="14" t="s">
        <v>23</v>
      </c>
      <c r="C19" s="18">
        <f>'Summary of Revs @ Changed Rates'!I37</f>
        <v>469173962.19977772</v>
      </c>
      <c r="D19" s="53">
        <f>'[1]Summary of Revs @ Present Rates'!$I$37</f>
        <v>397584228.83204013</v>
      </c>
      <c r="E19" s="40">
        <f>C19-D19</f>
        <v>71589733.367737591</v>
      </c>
      <c r="F19" s="81">
        <f>(C19-D19)/D19</f>
        <v>0.18006180370394106</v>
      </c>
      <c r="G19" s="344" t="s">
        <v>24</v>
      </c>
      <c r="H19" s="11">
        <v>7</v>
      </c>
      <c r="J19" s="46"/>
    </row>
    <row r="20" spans="1:10" x14ac:dyDescent="0.3">
      <c r="A20" s="11">
        <f t="shared" si="0"/>
        <v>8</v>
      </c>
      <c r="B20" s="14"/>
      <c r="C20" s="47"/>
      <c r="D20" s="47"/>
      <c r="E20" s="47"/>
      <c r="F20" s="245"/>
      <c r="G20" s="344" t="s">
        <v>25</v>
      </c>
      <c r="H20" s="11">
        <v>8</v>
      </c>
    </row>
    <row r="21" spans="1:10" x14ac:dyDescent="0.3">
      <c r="A21" s="11">
        <f t="shared" si="0"/>
        <v>9</v>
      </c>
      <c r="B21" s="14"/>
      <c r="C21" s="18"/>
      <c r="D21" s="47"/>
      <c r="E21" s="18"/>
      <c r="F21" s="40"/>
      <c r="G21" s="344"/>
      <c r="H21" s="11">
        <v>9</v>
      </c>
    </row>
    <row r="22" spans="1:10" x14ac:dyDescent="0.3">
      <c r="A22" s="11">
        <f t="shared" si="0"/>
        <v>10</v>
      </c>
      <c r="B22" s="127" t="s">
        <v>26</v>
      </c>
      <c r="C22" s="18">
        <f>'Summary of Revs @ Changed Rates'!I39</f>
        <v>123099.4</v>
      </c>
      <c r="D22" s="47">
        <f>'[1]Summary of Revs @ Present Rates'!$I$39</f>
        <v>133998.82</v>
      </c>
      <c r="E22" s="40">
        <f>C22-D22</f>
        <v>-10899.420000000013</v>
      </c>
      <c r="F22" s="81">
        <f>(C22-D22)/D22</f>
        <v>-8.1339671498599858E-2</v>
      </c>
      <c r="G22" s="344" t="s">
        <v>27</v>
      </c>
      <c r="H22" s="11">
        <v>10</v>
      </c>
    </row>
    <row r="23" spans="1:10" x14ac:dyDescent="0.3">
      <c r="A23" s="11">
        <f t="shared" si="0"/>
        <v>11</v>
      </c>
      <c r="B23" s="14"/>
      <c r="C23" s="18"/>
      <c r="D23" s="47"/>
      <c r="E23" s="18"/>
      <c r="F23" s="40"/>
      <c r="G23" s="344" t="s">
        <v>28</v>
      </c>
      <c r="H23" s="11">
        <v>11</v>
      </c>
    </row>
    <row r="24" spans="1:10" x14ac:dyDescent="0.3">
      <c r="A24" s="11">
        <f t="shared" si="0"/>
        <v>12</v>
      </c>
      <c r="B24" s="14" t="s">
        <v>29</v>
      </c>
      <c r="C24" s="18"/>
      <c r="D24" s="18"/>
      <c r="E24" s="40"/>
      <c r="F24" s="81"/>
      <c r="G24" s="344"/>
      <c r="H24" s="11">
        <v>12</v>
      </c>
    </row>
    <row r="25" spans="1:10" x14ac:dyDescent="0.3">
      <c r="A25" s="11">
        <f t="shared" si="0"/>
        <v>13</v>
      </c>
      <c r="B25" s="14"/>
      <c r="C25" s="18"/>
      <c r="D25" s="47"/>
      <c r="E25" s="40"/>
      <c r="F25" s="81"/>
      <c r="G25" s="344"/>
      <c r="H25" s="11">
        <v>13</v>
      </c>
    </row>
    <row r="26" spans="1:10" x14ac:dyDescent="0.3">
      <c r="A26" s="11">
        <f t="shared" si="0"/>
        <v>14</v>
      </c>
      <c r="B26" s="214" t="s">
        <v>30</v>
      </c>
      <c r="C26" s="18">
        <f>'C-Revenues@Changed Rates'!K81</f>
        <v>4145758.1518275589</v>
      </c>
      <c r="D26" s="47">
        <f>'[1]C-Revenues@Present Rates'!$K$81</f>
        <v>3755863.7268498158</v>
      </c>
      <c r="E26" s="40">
        <f>C26-D26</f>
        <v>389894.42497774307</v>
      </c>
      <c r="F26" s="81">
        <f>(C26-D26)/D26</f>
        <v>0.10380952380952388</v>
      </c>
      <c r="G26" s="344" t="s">
        <v>31</v>
      </c>
      <c r="H26" s="11">
        <v>14</v>
      </c>
    </row>
    <row r="27" spans="1:10" x14ac:dyDescent="0.3">
      <c r="A27" s="11">
        <f t="shared" si="0"/>
        <v>15</v>
      </c>
      <c r="B27" s="214"/>
      <c r="C27" s="18"/>
      <c r="D27" s="47"/>
      <c r="E27" s="18"/>
      <c r="F27" s="40"/>
      <c r="G27" s="344" t="s">
        <v>32</v>
      </c>
      <c r="H27" s="11">
        <v>15</v>
      </c>
    </row>
    <row r="28" spans="1:10" ht="21" x14ac:dyDescent="0.45">
      <c r="A28" s="11">
        <f t="shared" si="0"/>
        <v>16</v>
      </c>
      <c r="B28" s="214" t="s">
        <v>33</v>
      </c>
      <c r="C28" s="218">
        <f>'C-Revenues@Changed Rates'!L82</f>
        <v>8209243.6106188409</v>
      </c>
      <c r="D28" s="219">
        <f>'[1]C-Revenues@Present Rates'!$L$82</f>
        <v>7288174.8522161283</v>
      </c>
      <c r="E28" s="220">
        <f>C28-D28</f>
        <v>921068.75840271264</v>
      </c>
      <c r="F28" s="221">
        <f>(C28-D28)/D28</f>
        <v>0.12637852097121979</v>
      </c>
      <c r="G28" s="344" t="s">
        <v>34</v>
      </c>
      <c r="H28" s="11">
        <v>16</v>
      </c>
    </row>
    <row r="29" spans="1:10" x14ac:dyDescent="0.3">
      <c r="A29" s="11">
        <f t="shared" si="0"/>
        <v>17</v>
      </c>
      <c r="B29" s="214"/>
      <c r="C29" s="18"/>
      <c r="D29" s="47"/>
      <c r="E29" s="18"/>
      <c r="F29" s="40"/>
      <c r="G29" s="344" t="s">
        <v>35</v>
      </c>
      <c r="H29" s="11">
        <v>17</v>
      </c>
    </row>
    <row r="30" spans="1:10" x14ac:dyDescent="0.3">
      <c r="A30" s="11">
        <f t="shared" si="0"/>
        <v>18</v>
      </c>
      <c r="B30" s="214"/>
      <c r="C30" s="18"/>
      <c r="D30" s="47"/>
      <c r="E30" s="18"/>
      <c r="F30" s="40"/>
      <c r="G30" s="344"/>
      <c r="H30" s="11">
        <v>18</v>
      </c>
    </row>
    <row r="31" spans="1:10" x14ac:dyDescent="0.3">
      <c r="A31" s="11">
        <f t="shared" si="0"/>
        <v>19</v>
      </c>
      <c r="B31" s="214"/>
      <c r="C31" s="18"/>
      <c r="D31" s="47"/>
      <c r="E31" s="18"/>
      <c r="F31" s="40"/>
      <c r="G31" s="344"/>
      <c r="H31" s="11">
        <v>19</v>
      </c>
    </row>
    <row r="32" spans="1:10" x14ac:dyDescent="0.3">
      <c r="A32" s="11">
        <f t="shared" si="0"/>
        <v>20</v>
      </c>
      <c r="B32" s="214" t="s">
        <v>36</v>
      </c>
      <c r="C32" s="18">
        <f>C26+C28</f>
        <v>12355001.7624464</v>
      </c>
      <c r="D32" s="18">
        <f>D26+D28</f>
        <v>11044038.579065945</v>
      </c>
      <c r="E32" s="40">
        <f>C32-D32</f>
        <v>1310963.1833804548</v>
      </c>
      <c r="F32" s="81">
        <f>(C32-D32)/D32</f>
        <v>0.11870324193410506</v>
      </c>
      <c r="G32" s="344" t="s">
        <v>37</v>
      </c>
      <c r="H32" s="11">
        <v>20</v>
      </c>
    </row>
    <row r="33" spans="1:10" x14ac:dyDescent="0.3">
      <c r="A33" s="11">
        <f t="shared" si="0"/>
        <v>21</v>
      </c>
      <c r="B33" s="14"/>
      <c r="C33" s="18"/>
      <c r="D33" s="47"/>
      <c r="E33" s="18"/>
      <c r="F33" s="40"/>
      <c r="G33" s="344" t="s">
        <v>38</v>
      </c>
      <c r="H33" s="11">
        <v>21</v>
      </c>
    </row>
    <row r="34" spans="1:10" x14ac:dyDescent="0.3">
      <c r="A34" s="11">
        <f t="shared" si="0"/>
        <v>22</v>
      </c>
      <c r="B34" s="14"/>
      <c r="C34" s="18"/>
      <c r="D34" s="47"/>
      <c r="E34" s="18"/>
      <c r="F34" s="40"/>
      <c r="G34" s="344"/>
      <c r="H34" s="11">
        <v>22</v>
      </c>
    </row>
    <row r="35" spans="1:10" x14ac:dyDescent="0.3">
      <c r="A35" s="11">
        <f t="shared" si="0"/>
        <v>23</v>
      </c>
      <c r="B35" s="14" t="s">
        <v>39</v>
      </c>
      <c r="C35" s="18">
        <f>'Summary of Revs @ Changed Rates'!I43</f>
        <v>3768238.361894825</v>
      </c>
      <c r="D35" s="53">
        <f>'[1]Summary of Revs @ Present Rates'!$I$43</f>
        <v>3549975.8332671863</v>
      </c>
      <c r="E35" s="40">
        <f>C35-D35</f>
        <v>218262.52862763871</v>
      </c>
      <c r="F35" s="81">
        <f>(C35-D35)/D35</f>
        <v>6.1482820976491798E-2</v>
      </c>
      <c r="G35" s="344" t="s">
        <v>40</v>
      </c>
      <c r="H35" s="11">
        <v>23</v>
      </c>
    </row>
    <row r="36" spans="1:10" x14ac:dyDescent="0.3">
      <c r="A36" s="11">
        <f t="shared" si="0"/>
        <v>24</v>
      </c>
      <c r="B36" s="14"/>
      <c r="C36" s="18"/>
      <c r="D36" s="47"/>
      <c r="E36" s="18"/>
      <c r="F36" s="40"/>
      <c r="G36" s="344" t="s">
        <v>41</v>
      </c>
      <c r="H36" s="11">
        <v>24</v>
      </c>
    </row>
    <row r="37" spans="1:10" x14ac:dyDescent="0.3">
      <c r="A37" s="11">
        <f t="shared" si="0"/>
        <v>25</v>
      </c>
      <c r="B37" s="14"/>
      <c r="C37" s="18"/>
      <c r="D37" s="47"/>
      <c r="E37" s="18"/>
      <c r="F37" s="40"/>
      <c r="G37" s="344"/>
      <c r="H37" s="11">
        <v>25</v>
      </c>
    </row>
    <row r="38" spans="1:10" x14ac:dyDescent="0.3">
      <c r="A38" s="11">
        <f t="shared" si="0"/>
        <v>26</v>
      </c>
      <c r="B38" s="14" t="s">
        <v>42</v>
      </c>
      <c r="C38" s="18">
        <f>'Summary of Revs @ Changed Rates'!I45</f>
        <v>11520612</v>
      </c>
      <c r="D38" s="53">
        <f>'[1]Summary of Revs @ Present Rates'!$I$45</f>
        <v>14278764</v>
      </c>
      <c r="E38" s="40">
        <f>C38-D38</f>
        <v>-2758152</v>
      </c>
      <c r="F38" s="81">
        <f>IFERROR((C38-D38)/D38,0)</f>
        <v>-0.19316461845016838</v>
      </c>
      <c r="G38" s="344" t="s">
        <v>43</v>
      </c>
      <c r="H38" s="11">
        <v>26</v>
      </c>
    </row>
    <row r="39" spans="1:10" x14ac:dyDescent="0.3">
      <c r="A39" s="11">
        <f t="shared" si="0"/>
        <v>27</v>
      </c>
      <c r="B39" s="14"/>
      <c r="C39" s="82"/>
      <c r="D39" s="57"/>
      <c r="E39" s="82"/>
      <c r="F39" s="82"/>
      <c r="G39" s="344" t="s">
        <v>44</v>
      </c>
      <c r="H39" s="11">
        <v>27</v>
      </c>
    </row>
    <row r="40" spans="1:10" ht="19.5" thickBot="1" x14ac:dyDescent="0.35">
      <c r="A40" s="11">
        <f t="shared" si="0"/>
        <v>28</v>
      </c>
      <c r="B40" s="19" t="s">
        <v>45</v>
      </c>
      <c r="C40" s="416">
        <f>C13+C16+C19+C22+C32+C35+C38</f>
        <v>1136387281.9180682</v>
      </c>
      <c r="D40" s="416">
        <f>D13+D16+D19+D22+D32+D35+D38</f>
        <v>995071870.49729753</v>
      </c>
      <c r="E40" s="416">
        <f>E13+E16+E19+E22+E32+E35+E38</f>
        <v>141315411.42077047</v>
      </c>
      <c r="F40" s="417">
        <f>E40/D40</f>
        <v>0.1420152811174801</v>
      </c>
      <c r="G40" s="344" t="s">
        <v>448</v>
      </c>
      <c r="H40" s="11">
        <v>28</v>
      </c>
      <c r="J40" s="391"/>
    </row>
    <row r="41" spans="1:10" ht="19.5" thickTop="1" x14ac:dyDescent="0.3">
      <c r="A41" s="17"/>
      <c r="B41" s="24"/>
      <c r="C41" s="24"/>
      <c r="D41" s="24"/>
      <c r="E41" s="24"/>
      <c r="F41" s="24"/>
      <c r="G41" s="215"/>
      <c r="H41" s="24"/>
    </row>
    <row r="42" spans="1:10" x14ac:dyDescent="0.3">
      <c r="A42" s="7"/>
      <c r="B42" s="25" t="s">
        <v>46</v>
      </c>
    </row>
    <row r="43" spans="1:10" ht="22.5" x14ac:dyDescent="0.3">
      <c r="A43" s="76">
        <v>1</v>
      </c>
      <c r="B43" s="1" t="s">
        <v>474</v>
      </c>
    </row>
    <row r="44" spans="1:10" ht="22.5" x14ac:dyDescent="0.3">
      <c r="A44" s="76">
        <v>2</v>
      </c>
      <c r="B44" s="1" t="s">
        <v>47</v>
      </c>
    </row>
    <row r="45" spans="1:10" x14ac:dyDescent="0.3">
      <c r="A45" s="7"/>
    </row>
    <row r="46" spans="1:10" x14ac:dyDescent="0.3">
      <c r="A46" s="7"/>
    </row>
    <row r="47" spans="1:10" x14ac:dyDescent="0.3">
      <c r="A47" s="7"/>
    </row>
    <row r="48" spans="1:10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</sheetData>
  <mergeCells count="5">
    <mergeCell ref="A5:H5"/>
    <mergeCell ref="A1:H1"/>
    <mergeCell ref="A2:H2"/>
    <mergeCell ref="A3:H3"/>
    <mergeCell ref="A4:H4"/>
  </mergeCells>
  <phoneticPr fontId="3" type="noConversion"/>
  <printOptions horizontalCentered="1"/>
  <pageMargins left="0.25" right="0.25" top="0.5" bottom="0.5" header="0.25" footer="0.25"/>
  <pageSetup scale="44" orientation="landscape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99"/>
  <sheetViews>
    <sheetView zoomScale="75" zoomScaleNormal="75" zoomScaleSheetLayoutView="7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42.5703125" style="1" customWidth="1"/>
    <col min="3" max="8" width="15.5703125" style="1" customWidth="1"/>
    <col min="9" max="9" width="17.140625" style="1" customWidth="1"/>
    <col min="10" max="10" width="51.140625" style="1" customWidth="1"/>
    <col min="11" max="11" width="5.5703125" style="1" customWidth="1"/>
    <col min="12" max="14" width="17.140625" style="1" customWidth="1"/>
    <col min="15" max="15" width="18.42578125" style="1" customWidth="1"/>
    <col min="16" max="16" width="68" style="1" customWidth="1"/>
    <col min="17" max="17" width="5.5703125" style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228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187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201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29" si="0">A11+1</f>
        <v>3</v>
      </c>
      <c r="B12" s="14" t="s">
        <v>123</v>
      </c>
      <c r="C12" s="47">
        <f>'Workpaper 1'!C92*1000</f>
        <v>1175709.9770015739</v>
      </c>
      <c r="D12" s="47">
        <f>'Workpaper 1'!D92*1000</f>
        <v>1129114.4687490701</v>
      </c>
      <c r="E12" s="47">
        <f>'Workpaper 1'!E92*1000</f>
        <v>1122288.2023486814</v>
      </c>
      <c r="F12" s="47">
        <f>'Workpaper 1'!F92*1000</f>
        <v>1121772.4987335405</v>
      </c>
      <c r="G12" s="47">
        <f>'Workpaper 1'!G92*1000</f>
        <v>1135573.7964095669</v>
      </c>
      <c r="H12" s="47">
        <f>'Workpaper 1'!H92*1000</f>
        <v>1330829.9723366243</v>
      </c>
      <c r="I12" s="14"/>
      <c r="J12" s="11" t="s">
        <v>229</v>
      </c>
      <c r="K12" s="11">
        <f t="shared" ref="K12:K29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1'!C93*1000</f>
        <v>299656.40287000366</v>
      </c>
      <c r="D13" s="47">
        <f>'Workpaper 1'!D93*1000</f>
        <v>287780.47881902818</v>
      </c>
      <c r="E13" s="47">
        <f>'Workpaper 1'!E93*1000</f>
        <v>286040.64971611492</v>
      </c>
      <c r="F13" s="47">
        <f>'Workpaper 1'!F93*1000</f>
        <v>285909.21093165019</v>
      </c>
      <c r="G13" s="47">
        <f>'Workpaper 1'!G93*1000</f>
        <v>289426.78524626419</v>
      </c>
      <c r="H13" s="47">
        <f>'Workpaper 1'!H93*1000</f>
        <v>325972.29445052717</v>
      </c>
      <c r="I13" s="14"/>
      <c r="J13" s="11" t="s">
        <v>230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1'!C94*1000</f>
        <v>35873.137066137722</v>
      </c>
      <c r="D14" s="47">
        <f>'Workpaper 1'!D94*1000</f>
        <v>34451.419902121364</v>
      </c>
      <c r="E14" s="47">
        <f>'Workpaper 1'!E94*1000</f>
        <v>34243.137591839681</v>
      </c>
      <c r="F14" s="47">
        <f>'Workpaper 1'!F94*1000</f>
        <v>34227.40249829337</v>
      </c>
      <c r="G14" s="47">
        <f>'Workpaper 1'!G94*1000</f>
        <v>34648.506216818678</v>
      </c>
      <c r="H14" s="47">
        <f>'Workpaper 1'!H94*1000</f>
        <v>42760.782682826713</v>
      </c>
      <c r="I14" s="14"/>
      <c r="J14" s="11" t="s">
        <v>231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1511239.5169377152</v>
      </c>
      <c r="D15" s="48">
        <f t="shared" si="2"/>
        <v>1451346.3674702197</v>
      </c>
      <c r="E15" s="48">
        <f t="shared" si="2"/>
        <v>1442571.989656636</v>
      </c>
      <c r="F15" s="48">
        <f t="shared" si="2"/>
        <v>1441909.1121634841</v>
      </c>
      <c r="G15" s="48">
        <f t="shared" si="2"/>
        <v>1459649.0878726498</v>
      </c>
      <c r="H15" s="48">
        <f t="shared" si="2"/>
        <v>1699563.0494699781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Determinants'!D21</f>
        <v>1511239.5169377152</v>
      </c>
      <c r="D16" s="35">
        <f>'A-Billing Determinants'!F21</f>
        <v>1451346.3674702197</v>
      </c>
      <c r="E16" s="35">
        <f>'A-Billing Determinants'!H21</f>
        <v>1442571.9896566358</v>
      </c>
      <c r="F16" s="35">
        <f>'A-Billing Determinants'!J21</f>
        <v>1441909.1121634843</v>
      </c>
      <c r="G16" s="35">
        <f>'A-Billing Determinants'!L21</f>
        <v>1459649.08787265</v>
      </c>
      <c r="H16" s="35">
        <f>'A-Billing Determinants'!N21</f>
        <v>1699563.0494699781</v>
      </c>
      <c r="I16" s="14"/>
      <c r="J16" s="11" t="s">
        <v>232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187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193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Summary'!$F$29</f>
        <v>0.84</v>
      </c>
      <c r="D21" s="51">
        <f>C21</f>
        <v>0.84</v>
      </c>
      <c r="E21" s="51">
        <f t="shared" ref="E21:F23" si="4">D21</f>
        <v>0.84</v>
      </c>
      <c r="F21" s="51">
        <f t="shared" si="4"/>
        <v>0.84</v>
      </c>
      <c r="G21" s="51">
        <f>F21</f>
        <v>0.84</v>
      </c>
      <c r="H21" s="51">
        <f>'[2]Transmission Rates Summary'!$F$28</f>
        <v>3.65</v>
      </c>
      <c r="I21" s="14"/>
      <c r="J21" s="11" t="s">
        <v>233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Summary'!$E$29</f>
        <v>0.81</v>
      </c>
      <c r="D22" s="51">
        <f>C22</f>
        <v>0.81</v>
      </c>
      <c r="E22" s="51">
        <f t="shared" si="4"/>
        <v>0.81</v>
      </c>
      <c r="F22" s="51">
        <f t="shared" si="4"/>
        <v>0.81</v>
      </c>
      <c r="G22" s="51">
        <f>F22</f>
        <v>0.81</v>
      </c>
      <c r="H22" s="51">
        <f>'[2]Transmission Rates Summary'!$E$28</f>
        <v>3.52</v>
      </c>
      <c r="I22" s="14"/>
      <c r="J22" s="11" t="s">
        <v>234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Summary'!$D$29</f>
        <v>0.8</v>
      </c>
      <c r="D23" s="51">
        <f>C23</f>
        <v>0.8</v>
      </c>
      <c r="E23" s="51">
        <f t="shared" si="4"/>
        <v>0.8</v>
      </c>
      <c r="F23" s="51">
        <f t="shared" si="4"/>
        <v>0.8</v>
      </c>
      <c r="G23" s="51">
        <f>F23</f>
        <v>0.8</v>
      </c>
      <c r="H23" s="51">
        <f>'[2]Transmission Rates Summary'!$D$28</f>
        <v>3.52</v>
      </c>
      <c r="I23" s="14"/>
      <c r="J23" s="11" t="s">
        <v>235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197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53">
        <f t="shared" ref="C26:H28" si="5">C21*C12</f>
        <v>987596.38068132207</v>
      </c>
      <c r="D26" s="53">
        <f t="shared" si="5"/>
        <v>948456.15374921879</v>
      </c>
      <c r="E26" s="53">
        <f t="shared" si="5"/>
        <v>942722.08997289231</v>
      </c>
      <c r="F26" s="53">
        <f t="shared" si="5"/>
        <v>942288.898936174</v>
      </c>
      <c r="G26" s="53">
        <f t="shared" si="5"/>
        <v>953881.98898403614</v>
      </c>
      <c r="H26" s="53">
        <f t="shared" si="5"/>
        <v>4857529.3990286784</v>
      </c>
      <c r="I26" s="14"/>
      <c r="J26" s="52" t="s">
        <v>198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242721.68632470298</v>
      </c>
      <c r="D27" s="37">
        <f t="shared" si="5"/>
        <v>233102.18784341283</v>
      </c>
      <c r="E27" s="37">
        <f t="shared" si="5"/>
        <v>231692.92627005311</v>
      </c>
      <c r="F27" s="37">
        <f t="shared" si="5"/>
        <v>231586.46085463668</v>
      </c>
      <c r="G27" s="37">
        <f t="shared" si="5"/>
        <v>234435.69604947401</v>
      </c>
      <c r="H27" s="37">
        <f t="shared" si="5"/>
        <v>1147422.4764658557</v>
      </c>
      <c r="I27" s="14"/>
      <c r="J27" s="52" t="s">
        <v>199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28698.509652910179</v>
      </c>
      <c r="D28" s="37">
        <f t="shared" si="5"/>
        <v>27561.135921697092</v>
      </c>
      <c r="E28" s="37">
        <f t="shared" si="5"/>
        <v>27394.510073471745</v>
      </c>
      <c r="F28" s="37">
        <f t="shared" si="5"/>
        <v>27381.921998634698</v>
      </c>
      <c r="G28" s="37">
        <f t="shared" si="5"/>
        <v>27718.804973454942</v>
      </c>
      <c r="H28" s="37">
        <f t="shared" si="5"/>
        <v>150517.95504355003</v>
      </c>
      <c r="I28" s="14"/>
      <c r="J28" s="52" t="s">
        <v>200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1259016.5766589353</v>
      </c>
      <c r="D29" s="54">
        <f t="shared" si="6"/>
        <v>1209119.4775143287</v>
      </c>
      <c r="E29" s="54">
        <f t="shared" si="6"/>
        <v>1201809.5263164171</v>
      </c>
      <c r="F29" s="54">
        <f t="shared" si="6"/>
        <v>1201257.2817894453</v>
      </c>
      <c r="G29" s="54">
        <f t="shared" si="6"/>
        <v>1216036.4900069651</v>
      </c>
      <c r="H29" s="54">
        <f t="shared" si="6"/>
        <v>6155469.8305380838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104"/>
      <c r="B31" s="98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45839</v>
      </c>
      <c r="D33" s="29">
        <f>'Summary of Revs @ Changed Rates'!D30</f>
        <v>45870</v>
      </c>
      <c r="E33" s="29">
        <f>'Summary of Revs @ Changed Rates'!E30</f>
        <v>45901</v>
      </c>
      <c r="F33" s="29">
        <f>'Summary of Revs @ Changed Rates'!F30</f>
        <v>45931</v>
      </c>
      <c r="G33" s="29">
        <f>'Summary of Revs @ Changed Rates'!G30</f>
        <v>45962</v>
      </c>
      <c r="H33" s="29">
        <f>'Summary of Revs @ Changed Rates'!H30</f>
        <v>45992</v>
      </c>
      <c r="I33" s="30" t="s">
        <v>61</v>
      </c>
      <c r="J33" s="17" t="s">
        <v>186</v>
      </c>
      <c r="K33" s="17" t="s">
        <v>10</v>
      </c>
      <c r="O33" s="46"/>
      <c r="P33" s="7"/>
      <c r="Q33" s="7"/>
    </row>
    <row r="34" spans="1:17" x14ac:dyDescent="0.3">
      <c r="A34" s="8"/>
      <c r="B34" s="28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187</v>
      </c>
      <c r="C35" s="31"/>
      <c r="D35" s="31"/>
      <c r="E35" s="31"/>
      <c r="F35" s="31"/>
      <c r="G35" s="31"/>
      <c r="H35" s="31"/>
      <c r="I35" s="11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>A35+1</f>
        <v>22</v>
      </c>
      <c r="B36" s="32" t="s">
        <v>201</v>
      </c>
      <c r="C36" s="14"/>
      <c r="D36" s="14"/>
      <c r="E36" s="14"/>
      <c r="F36" s="14"/>
      <c r="G36" s="14"/>
      <c r="H36" s="14"/>
      <c r="I36" s="14"/>
      <c r="J36" s="11"/>
      <c r="K36" s="11">
        <f>K35+1</f>
        <v>22</v>
      </c>
      <c r="O36" s="46"/>
      <c r="P36" s="7"/>
      <c r="Q36" s="7"/>
    </row>
    <row r="37" spans="1:17" x14ac:dyDescent="0.3">
      <c r="A37" s="11">
        <f t="shared" ref="A37:A54" si="8">A36+1</f>
        <v>23</v>
      </c>
      <c r="B37" s="14" t="s">
        <v>123</v>
      </c>
      <c r="C37" s="47">
        <f>'Workpaper 1'!I92*1000</f>
        <v>1458769.216662551</v>
      </c>
      <c r="D37" s="47">
        <f>'Workpaper 1'!J92*1000</f>
        <v>1535398.9153648566</v>
      </c>
      <c r="E37" s="47">
        <f>'Workpaper 1'!K92*1000</f>
        <v>1615886.0638530829</v>
      </c>
      <c r="F37" s="47">
        <f>'Workpaper 1'!L92*1000</f>
        <v>1467060.6585428773</v>
      </c>
      <c r="G37" s="47">
        <f>'Workpaper 1'!M92*1000</f>
        <v>1186645.6546878892</v>
      </c>
      <c r="H37" s="47">
        <f>'Workpaper 1'!N92*1000</f>
        <v>1162695.1009296677</v>
      </c>
      <c r="I37" s="37">
        <f>SUM(C12:H12,C37:H37)</f>
        <v>15441744.525619982</v>
      </c>
      <c r="J37" s="11" t="str">
        <f>J12</f>
        <v>(Page BG-21.2, Line 90) x 1000</v>
      </c>
      <c r="K37" s="11">
        <f t="shared" ref="K37:K54" si="9">K36+1</f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'Workpaper 1'!I93*1000</f>
        <v>357309.61769247771</v>
      </c>
      <c r="D38" s="47">
        <f>'Workpaper 1'!J93*1000</f>
        <v>376079.22705526173</v>
      </c>
      <c r="E38" s="47">
        <f>'Workpaper 1'!K93*1000</f>
        <v>395793.67669334897</v>
      </c>
      <c r="F38" s="47">
        <f>'Workpaper 1'!L93*1000</f>
        <v>359340.51599670487</v>
      </c>
      <c r="G38" s="47">
        <f>'Workpaper 1'!M93*1000</f>
        <v>302443.60881579679</v>
      </c>
      <c r="H38" s="47">
        <f>'Workpaper 1'!N93*1000</f>
        <v>296339.26597077242</v>
      </c>
      <c r="I38" s="37">
        <f>SUM(C13:H13,C38:H38)</f>
        <v>3862091.7342579509</v>
      </c>
      <c r="J38" s="11" t="str">
        <f>J13</f>
        <v>(Page BG-21.2, Line 91)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'Workpaper 1'!I94*1000</f>
        <v>46871.587471526072</v>
      </c>
      <c r="D39" s="47">
        <f>'Workpaper 1'!J94*1000</f>
        <v>49333.769689669665</v>
      </c>
      <c r="E39" s="47">
        <f>'Workpaper 1'!K94*1000</f>
        <v>51919.895293094909</v>
      </c>
      <c r="F39" s="47">
        <f>'Workpaper 1'!L94*1000</f>
        <v>47137.99907311437</v>
      </c>
      <c r="G39" s="47">
        <f>'Workpaper 1'!M94*1000</f>
        <v>36206.805294039288</v>
      </c>
      <c r="H39" s="47">
        <f>'Workpaper 1'!N94*1000</f>
        <v>35476.028559482889</v>
      </c>
      <c r="I39" s="37">
        <f>SUM(C14:H14,C39:H39)</f>
        <v>483150.47133896471</v>
      </c>
      <c r="J39" s="11" t="str">
        <f>J14</f>
        <v>(Page BG-21.2, Line 92)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1862950.4218265549</v>
      </c>
      <c r="D40" s="48">
        <f t="shared" si="10"/>
        <v>1960811.9121097878</v>
      </c>
      <c r="E40" s="48">
        <f t="shared" si="10"/>
        <v>2063599.6358395268</v>
      </c>
      <c r="F40" s="48">
        <f t="shared" si="10"/>
        <v>1873539.1736126966</v>
      </c>
      <c r="G40" s="48">
        <f t="shared" si="10"/>
        <v>1525296.0687977253</v>
      </c>
      <c r="H40" s="48">
        <f t="shared" si="10"/>
        <v>1494510.395459923</v>
      </c>
      <c r="I40" s="49">
        <f t="shared" si="10"/>
        <v>19786986.731216896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Determinants'!D21</f>
        <v>1862950.4218265549</v>
      </c>
      <c r="D41" s="35">
        <f>'B-Billing Determinants'!F21</f>
        <v>1960811.912109788</v>
      </c>
      <c r="E41" s="35">
        <f>'B-Billing Determinants'!H21</f>
        <v>2063599.6358395268</v>
      </c>
      <c r="F41" s="35">
        <f>'B-Billing Determinants'!J21</f>
        <v>1873539.1736126964</v>
      </c>
      <c r="G41" s="35">
        <f>'B-Billing Determinants'!L21</f>
        <v>1525296.0687977253</v>
      </c>
      <c r="H41" s="35">
        <f>'B-Billing Determinants'!N21</f>
        <v>1494510.395459923</v>
      </c>
      <c r="I41" s="37">
        <f>SUM(C16:H16,C41:H41)</f>
        <v>19786986.7312169</v>
      </c>
      <c r="J41" s="11" t="s">
        <v>236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36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187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193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3.65</v>
      </c>
      <c r="D46" s="51">
        <f t="shared" ref="D46:F48" si="12">C46</f>
        <v>3.65</v>
      </c>
      <c r="E46" s="51">
        <f t="shared" si="12"/>
        <v>3.65</v>
      </c>
      <c r="F46" s="51">
        <f>E46</f>
        <v>3.65</v>
      </c>
      <c r="G46" s="51">
        <f>C21</f>
        <v>0.84</v>
      </c>
      <c r="H46" s="51">
        <f>'E-Med &amp; Lrg C-I'!$C21</f>
        <v>0.84</v>
      </c>
      <c r="I46" s="14"/>
      <c r="J46" s="11" t="str">
        <f>J21</f>
        <v>Statement BL, Page 1, Lines 15 &amp; 16,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3.52</v>
      </c>
      <c r="D47" s="51">
        <f t="shared" si="12"/>
        <v>3.52</v>
      </c>
      <c r="E47" s="51">
        <f t="shared" si="12"/>
        <v>3.52</v>
      </c>
      <c r="F47" s="51">
        <f t="shared" si="12"/>
        <v>3.52</v>
      </c>
      <c r="G47" s="51">
        <f>C22</f>
        <v>0.81</v>
      </c>
      <c r="H47" s="51">
        <f>'E-Med &amp; Lrg C-I'!$C22</f>
        <v>0.81</v>
      </c>
      <c r="I47" s="14"/>
      <c r="J47" s="11" t="str">
        <f>J22</f>
        <v>Statement BL, Page 1, Lines 15 &amp; 16,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3.52</v>
      </c>
      <c r="D48" s="51">
        <f t="shared" si="12"/>
        <v>3.52</v>
      </c>
      <c r="E48" s="51">
        <f t="shared" si="12"/>
        <v>3.52</v>
      </c>
      <c r="F48" s="51">
        <f t="shared" si="12"/>
        <v>3.52</v>
      </c>
      <c r="G48" s="51">
        <f>C23</f>
        <v>0.8</v>
      </c>
      <c r="H48" s="51">
        <f>'E-Med &amp; Lrg C-I'!$C23</f>
        <v>0.8</v>
      </c>
      <c r="I48" s="14"/>
      <c r="J48" s="11" t="str">
        <f>J23</f>
        <v>Statement BL, Page 1, Lines 15 &amp; 16,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197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5324507.6408183109</v>
      </c>
      <c r="D51" s="53">
        <f t="shared" si="13"/>
        <v>5604206.0410817266</v>
      </c>
      <c r="E51" s="53">
        <f t="shared" si="13"/>
        <v>5897984.1330637522</v>
      </c>
      <c r="F51" s="53">
        <f t="shared" si="13"/>
        <v>5354771.4036815017</v>
      </c>
      <c r="G51" s="53">
        <f t="shared" si="13"/>
        <v>996782.34993782686</v>
      </c>
      <c r="H51" s="53">
        <f t="shared" si="13"/>
        <v>976663.88478092081</v>
      </c>
      <c r="I51" s="53">
        <f>SUM(C26:H26,C51:H51)</f>
        <v>33787390.364716358</v>
      </c>
      <c r="J51" s="52" t="s">
        <v>203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1257729.8542775216</v>
      </c>
      <c r="D52" s="37">
        <f t="shared" si="13"/>
        <v>1323798.8792345212</v>
      </c>
      <c r="E52" s="37">
        <f t="shared" si="13"/>
        <v>1393193.7419605884</v>
      </c>
      <c r="F52" s="37">
        <f t="shared" si="13"/>
        <v>1264878.6163084011</v>
      </c>
      <c r="G52" s="37">
        <f t="shared" si="13"/>
        <v>244979.32314079543</v>
      </c>
      <c r="H52" s="37">
        <f t="shared" si="13"/>
        <v>240034.80543632567</v>
      </c>
      <c r="I52" s="53">
        <f>SUM(C27:H27,C52:H52)</f>
        <v>8045576.6541662896</v>
      </c>
      <c r="J52" s="52" t="s">
        <v>204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164987.98789977178</v>
      </c>
      <c r="D53" s="37">
        <f t="shared" si="13"/>
        <v>173654.86930763721</v>
      </c>
      <c r="E53" s="37">
        <f t="shared" si="13"/>
        <v>182758.03143169408</v>
      </c>
      <c r="F53" s="37">
        <f t="shared" si="13"/>
        <v>165925.75673736259</v>
      </c>
      <c r="G53" s="37">
        <f t="shared" si="13"/>
        <v>28965.444235231433</v>
      </c>
      <c r="H53" s="37">
        <f t="shared" si="13"/>
        <v>28380.822847586314</v>
      </c>
      <c r="I53" s="53">
        <f>SUM(C28:H28,C53:H53)</f>
        <v>1033945.7501230021</v>
      </c>
      <c r="J53" s="52" t="s">
        <v>205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224">
        <f t="shared" ref="C54:I54" si="14">SUM(C51:C53)</f>
        <v>6747225.4829956042</v>
      </c>
      <c r="D54" s="224">
        <f t="shared" si="14"/>
        <v>7101659.7896238845</v>
      </c>
      <c r="E54" s="224">
        <f t="shared" si="14"/>
        <v>7473935.9064560356</v>
      </c>
      <c r="F54" s="224">
        <f t="shared" si="14"/>
        <v>6785575.7767272657</v>
      </c>
      <c r="G54" s="224">
        <f t="shared" si="14"/>
        <v>1270727.1173138537</v>
      </c>
      <c r="H54" s="224">
        <f t="shared" si="14"/>
        <v>1245079.5130648329</v>
      </c>
      <c r="I54" s="54">
        <f t="shared" si="14"/>
        <v>42866912.769005649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1"/>
      <c r="B55" s="24"/>
      <c r="C55" s="225"/>
      <c r="D55" s="225"/>
      <c r="E55" s="225"/>
      <c r="F55" s="225"/>
      <c r="G55" s="225"/>
      <c r="H55" s="225"/>
      <c r="I55" s="105"/>
      <c r="J55" s="17"/>
      <c r="K55" s="17"/>
      <c r="O55" s="46"/>
      <c r="P55" s="7"/>
      <c r="Q55" s="7"/>
    </row>
    <row r="56" spans="1:17" x14ac:dyDescent="0.3">
      <c r="A56" s="7"/>
      <c r="B56" s="25" t="s">
        <v>46</v>
      </c>
      <c r="O56" s="46"/>
      <c r="P56" s="7"/>
      <c r="Q56" s="7"/>
    </row>
    <row r="57" spans="1:17" ht="22.5" x14ac:dyDescent="0.3">
      <c r="A57" s="77">
        <v>1</v>
      </c>
      <c r="B57" s="1" t="s">
        <v>237</v>
      </c>
      <c r="O57" s="46"/>
      <c r="P57" s="7"/>
      <c r="Q57" s="7"/>
    </row>
    <row r="58" spans="1:17" ht="22.5" x14ac:dyDescent="0.3">
      <c r="A58" s="77">
        <v>2</v>
      </c>
      <c r="B58" s="1" t="s">
        <v>207</v>
      </c>
      <c r="O58" s="46"/>
      <c r="P58" s="7"/>
      <c r="Q58" s="7"/>
    </row>
    <row r="59" spans="1:17" ht="22.5" x14ac:dyDescent="0.3">
      <c r="A59" s="77">
        <v>3</v>
      </c>
      <c r="B59" s="1" t="s">
        <v>157</v>
      </c>
      <c r="O59" s="46"/>
      <c r="P59" s="7"/>
      <c r="Q59" s="7"/>
    </row>
    <row r="60" spans="1:17" ht="22.5" x14ac:dyDescent="0.3">
      <c r="A60" s="77"/>
      <c r="O60" s="46"/>
      <c r="P60" s="7"/>
      <c r="Q60" s="7"/>
    </row>
    <row r="61" spans="1:17" x14ac:dyDescent="0.3">
      <c r="A61" s="96"/>
      <c r="O61" s="46"/>
      <c r="P61" s="7"/>
      <c r="Q61" s="7"/>
    </row>
    <row r="62" spans="1:17" x14ac:dyDescent="0.3">
      <c r="A62" s="96"/>
      <c r="O62" s="46"/>
      <c r="P62" s="7"/>
      <c r="Q62" s="7"/>
    </row>
    <row r="63" spans="1:17" x14ac:dyDescent="0.3">
      <c r="A63" s="96"/>
      <c r="O63" s="46"/>
      <c r="P63" s="7"/>
      <c r="Q63" s="7"/>
    </row>
    <row r="64" spans="1:17" x14ac:dyDescent="0.3">
      <c r="A64" s="96"/>
      <c r="O64" s="46"/>
      <c r="P64" s="7"/>
      <c r="Q64" s="7"/>
    </row>
    <row r="65" spans="1:17" x14ac:dyDescent="0.3">
      <c r="A65" s="96"/>
      <c r="B65" s="25"/>
      <c r="O65" s="46"/>
      <c r="P65" s="7"/>
      <c r="Q65" s="7"/>
    </row>
    <row r="66" spans="1:17" x14ac:dyDescent="0.3">
      <c r="A66" s="96"/>
      <c r="O66" s="46"/>
      <c r="P66" s="7"/>
      <c r="Q66" s="7"/>
    </row>
    <row r="67" spans="1:17" x14ac:dyDescent="0.3">
      <c r="A67" s="96"/>
      <c r="O67" s="46"/>
      <c r="P67" s="7"/>
      <c r="Q67" s="7"/>
    </row>
    <row r="68" spans="1:17" x14ac:dyDescent="0.3">
      <c r="A68" s="96"/>
      <c r="O68" s="46"/>
      <c r="P68" s="7"/>
      <c r="Q68" s="7"/>
    </row>
    <row r="69" spans="1:17" x14ac:dyDescent="0.3">
      <c r="A69" s="96"/>
      <c r="O69" s="46"/>
      <c r="P69" s="7"/>
      <c r="Q69" s="7"/>
    </row>
    <row r="70" spans="1:17" x14ac:dyDescent="0.3">
      <c r="A70" s="96"/>
      <c r="O70" s="46"/>
      <c r="P70" s="7"/>
      <c r="Q70" s="7"/>
    </row>
    <row r="71" spans="1:17" x14ac:dyDescent="0.3">
      <c r="A71" s="96"/>
      <c r="B71" s="97"/>
      <c r="O71" s="46"/>
      <c r="P71" s="7"/>
      <c r="Q71" s="7"/>
    </row>
    <row r="72" spans="1:17" x14ac:dyDescent="0.3">
      <c r="A72" s="96"/>
      <c r="O72" s="46"/>
      <c r="P72" s="7"/>
      <c r="Q72" s="7"/>
    </row>
    <row r="73" spans="1:17" x14ac:dyDescent="0.3">
      <c r="A73" s="96"/>
      <c r="O73" s="46"/>
      <c r="P73" s="7"/>
      <c r="Q73" s="7"/>
    </row>
    <row r="74" spans="1:17" x14ac:dyDescent="0.3">
      <c r="A74" s="96"/>
      <c r="O74" s="46"/>
      <c r="P74" s="7"/>
      <c r="Q74" s="7"/>
    </row>
    <row r="75" spans="1:17" x14ac:dyDescent="0.3">
      <c r="A75" s="96"/>
      <c r="O75" s="46"/>
      <c r="P75" s="7"/>
      <c r="Q75" s="7"/>
    </row>
    <row r="76" spans="1:17" x14ac:dyDescent="0.3">
      <c r="A76" s="96"/>
    </row>
    <row r="77" spans="1:17" x14ac:dyDescent="0.3">
      <c r="A77" s="96"/>
      <c r="B77" s="25"/>
    </row>
    <row r="78" spans="1:17" ht="22.5" x14ac:dyDescent="0.3">
      <c r="A78" s="26"/>
    </row>
    <row r="79" spans="1:17" ht="22.5" x14ac:dyDescent="0.3">
      <c r="A79" s="26"/>
    </row>
    <row r="80" spans="1:17" ht="22.5" x14ac:dyDescent="0.3">
      <c r="A80" s="26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8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8"/>
  <sheetViews>
    <sheetView zoomScale="75" zoomScaleNormal="75" zoomScaleSheetLayoutView="70" workbookViewId="0">
      <selection activeCell="H23" sqref="H23"/>
    </sheetView>
  </sheetViews>
  <sheetFormatPr defaultColWidth="9.140625" defaultRowHeight="18.75" x14ac:dyDescent="0.3"/>
  <cols>
    <col min="1" max="1" width="6" style="1" customWidth="1"/>
    <col min="2" max="2" width="48.140625" style="1" customWidth="1"/>
    <col min="3" max="3" width="18" style="1" customWidth="1"/>
    <col min="4" max="8" width="17.28515625" style="1" customWidth="1"/>
    <col min="9" max="9" width="18.42578125" style="1" customWidth="1"/>
    <col min="10" max="10" width="64.5703125" style="1" customWidth="1"/>
    <col min="11" max="11" width="5.5703125" style="1" customWidth="1"/>
    <col min="12" max="12" width="17.140625" style="1" customWidth="1"/>
    <col min="13" max="13" width="36" style="1" customWidth="1"/>
    <col min="14" max="14" width="17.140625" style="1" customWidth="1"/>
    <col min="15" max="15" width="18.42578125" style="1" customWidth="1"/>
    <col min="16" max="16" width="68" style="1" customWidth="1"/>
    <col min="17" max="17" width="5.5703125" style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228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208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209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37" si="0">A11+1</f>
        <v>3</v>
      </c>
      <c r="B12" s="14" t="s">
        <v>123</v>
      </c>
      <c r="C12" s="47">
        <f>'Workpaper 1'!C138*1000</f>
        <v>0</v>
      </c>
      <c r="D12" s="47">
        <f>'Workpaper 1'!D138*1000</f>
        <v>0</v>
      </c>
      <c r="E12" s="47">
        <f>'Workpaper 1'!E138*1000</f>
        <v>0</v>
      </c>
      <c r="F12" s="47">
        <f>'Workpaper 1'!F138*1000</f>
        <v>0</v>
      </c>
      <c r="G12" s="47">
        <f>'Workpaper 1'!G138*1000</f>
        <v>0</v>
      </c>
      <c r="H12" s="47">
        <f>'Workpaper 1'!H138*1000</f>
        <v>0</v>
      </c>
      <c r="I12" s="14"/>
      <c r="J12" s="11" t="s">
        <v>238</v>
      </c>
      <c r="K12" s="11">
        <f t="shared" ref="K12:K37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1'!C139*1000</f>
        <v>37729.978321848721</v>
      </c>
      <c r="D13" s="47">
        <f>'Workpaper 1'!D139*1000</f>
        <v>32775.813758146949</v>
      </c>
      <c r="E13" s="47">
        <f>'Workpaper 1'!E139*1000</f>
        <v>35005.967937623063</v>
      </c>
      <c r="F13" s="47">
        <f>'Workpaper 1'!F139*1000</f>
        <v>36778.581255485355</v>
      </c>
      <c r="G13" s="47">
        <f>'Workpaper 1'!G139*1000</f>
        <v>36165.199746887753</v>
      </c>
      <c r="H13" s="47">
        <f>'Workpaper 1'!H139*1000</f>
        <v>38771.133561010065</v>
      </c>
      <c r="I13" s="14"/>
      <c r="J13" s="11" t="s">
        <v>239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1'!C140*1000</f>
        <v>85288.700147960568</v>
      </c>
      <c r="D14" s="47">
        <f>'Workpaper 1'!D140*1000</f>
        <v>74089.800102143941</v>
      </c>
      <c r="E14" s="47">
        <f>'Workpaper 1'!E140*1000</f>
        <v>79131.068598895625</v>
      </c>
      <c r="F14" s="47">
        <f>'Workpaper 1'!F140*1000</f>
        <v>83138.064957488561</v>
      </c>
      <c r="G14" s="47">
        <f>'Workpaper 1'!G140*1000</f>
        <v>81751.514689242307</v>
      </c>
      <c r="H14" s="47">
        <f>'Workpaper 1'!H140*1000</f>
        <v>85047.55706181479</v>
      </c>
      <c r="I14" s="14"/>
      <c r="J14" s="11" t="s">
        <v>240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123018.6784698093</v>
      </c>
      <c r="D15" s="48">
        <f t="shared" si="2"/>
        <v>106865.61386029089</v>
      </c>
      <c r="E15" s="48">
        <f t="shared" si="2"/>
        <v>114137.03653651869</v>
      </c>
      <c r="F15" s="48">
        <f t="shared" si="2"/>
        <v>119916.64621297392</v>
      </c>
      <c r="G15" s="48">
        <f t="shared" si="2"/>
        <v>117916.71443613006</v>
      </c>
      <c r="H15" s="48">
        <f t="shared" si="2"/>
        <v>123818.69062282486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Determinants'!D22</f>
        <v>123018.67846980928</v>
      </c>
      <c r="D16" s="35">
        <f>'A-Billing Determinants'!F22</f>
        <v>106865.61386029089</v>
      </c>
      <c r="E16" s="35">
        <f>'A-Billing Determinants'!H22</f>
        <v>114137.03653651867</v>
      </c>
      <c r="F16" s="35">
        <f>'A-Billing Determinants'!J22</f>
        <v>119916.64621297392</v>
      </c>
      <c r="G16" s="35">
        <f>'A-Billing Determinants'!L22</f>
        <v>117916.71443613006</v>
      </c>
      <c r="H16" s="35">
        <f>'A-Billing Determinants'!N22</f>
        <v>123818.69062282484</v>
      </c>
      <c r="I16" s="14"/>
      <c r="J16" s="11" t="s">
        <v>241</v>
      </c>
      <c r="K16" s="11">
        <f t="shared" si="1"/>
        <v>7</v>
      </c>
    </row>
    <row r="17" spans="1:13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3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3" x14ac:dyDescent="0.3">
      <c r="A19" s="11">
        <f t="shared" si="0"/>
        <v>10</v>
      </c>
      <c r="B19" s="38" t="s">
        <v>214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3" x14ac:dyDescent="0.3">
      <c r="A20" s="11">
        <f t="shared" si="0"/>
        <v>11</v>
      </c>
      <c r="B20" s="38" t="s">
        <v>215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3" x14ac:dyDescent="0.3">
      <c r="A21" s="11">
        <f t="shared" si="0"/>
        <v>12</v>
      </c>
      <c r="B21" s="14" t="s">
        <v>123</v>
      </c>
      <c r="C21" s="51">
        <f>'[2]Transmission Rates Summary'!$F$37</f>
        <v>0</v>
      </c>
      <c r="D21" s="51">
        <f>C21</f>
        <v>0</v>
      </c>
      <c r="E21" s="51">
        <f t="shared" ref="E21:F23" si="4">D21</f>
        <v>0</v>
      </c>
      <c r="F21" s="51">
        <f t="shared" si="4"/>
        <v>0</v>
      </c>
      <c r="G21" s="51">
        <f>F21</f>
        <v>0</v>
      </c>
      <c r="H21" s="51">
        <f>'[2]Transmission Rates Summary'!$F$36</f>
        <v>0</v>
      </c>
      <c r="I21" s="14"/>
      <c r="J21" s="11" t="s">
        <v>242</v>
      </c>
      <c r="K21" s="11">
        <f t="shared" si="1"/>
        <v>12</v>
      </c>
    </row>
    <row r="22" spans="1:13" x14ac:dyDescent="0.3">
      <c r="A22" s="11">
        <f t="shared" si="0"/>
        <v>13</v>
      </c>
      <c r="B22" s="14" t="s">
        <v>138</v>
      </c>
      <c r="C22" s="51">
        <f>'[2]Transmission Rates Summary'!$E$37</f>
        <v>0.96</v>
      </c>
      <c r="D22" s="51">
        <f>C22</f>
        <v>0.96</v>
      </c>
      <c r="E22" s="51">
        <f t="shared" si="4"/>
        <v>0.96</v>
      </c>
      <c r="F22" s="51">
        <f t="shared" si="4"/>
        <v>0.96</v>
      </c>
      <c r="G22" s="51">
        <f>F22</f>
        <v>0.96</v>
      </c>
      <c r="H22" s="51">
        <f>'[2]Transmission Rates Summary'!$E$36</f>
        <v>4.84</v>
      </c>
      <c r="I22" s="14"/>
      <c r="J22" s="11" t="s">
        <v>243</v>
      </c>
      <c r="K22" s="11">
        <f t="shared" si="1"/>
        <v>13</v>
      </c>
    </row>
    <row r="23" spans="1:13" x14ac:dyDescent="0.3">
      <c r="A23" s="11">
        <f t="shared" si="0"/>
        <v>14</v>
      </c>
      <c r="B23" s="14" t="s">
        <v>127</v>
      </c>
      <c r="C23" s="51">
        <f>'[2]Transmission Rates Summary'!$D$37</f>
        <v>0.95</v>
      </c>
      <c r="D23" s="51">
        <f>C23</f>
        <v>0.95</v>
      </c>
      <c r="E23" s="51">
        <f t="shared" si="4"/>
        <v>0.95</v>
      </c>
      <c r="F23" s="51">
        <f t="shared" si="4"/>
        <v>0.95</v>
      </c>
      <c r="G23" s="51">
        <f>F23</f>
        <v>0.95</v>
      </c>
      <c r="H23" s="51">
        <f>'[2]Transmission Rates Summary'!$D$36</f>
        <v>4.82</v>
      </c>
      <c r="I23" s="14"/>
      <c r="J23" s="11" t="s">
        <v>244</v>
      </c>
      <c r="K23" s="11">
        <f t="shared" si="1"/>
        <v>14</v>
      </c>
    </row>
    <row r="24" spans="1:13" x14ac:dyDescent="0.3">
      <c r="A24" s="11">
        <f t="shared" si="0"/>
        <v>15</v>
      </c>
      <c r="B24" s="38" t="s">
        <v>219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3" x14ac:dyDescent="0.3">
      <c r="A25" s="11">
        <f t="shared" si="0"/>
        <v>16</v>
      </c>
      <c r="B25" s="38" t="s">
        <v>220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3" x14ac:dyDescent="0.3">
      <c r="A26" s="11">
        <f t="shared" si="0"/>
        <v>17</v>
      </c>
      <c r="B26" s="14" t="s">
        <v>123</v>
      </c>
      <c r="C26" s="53">
        <f t="shared" ref="C26:H28" si="5">C21*C12</f>
        <v>0</v>
      </c>
      <c r="D26" s="53">
        <f t="shared" si="5"/>
        <v>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14"/>
      <c r="J26" s="52" t="s">
        <v>198</v>
      </c>
      <c r="K26" s="11">
        <f t="shared" si="1"/>
        <v>17</v>
      </c>
    </row>
    <row r="27" spans="1:13" x14ac:dyDescent="0.3">
      <c r="A27" s="11">
        <f t="shared" si="0"/>
        <v>18</v>
      </c>
      <c r="B27" s="14" t="s">
        <v>125</v>
      </c>
      <c r="C27" s="37">
        <f t="shared" si="5"/>
        <v>36220.779188974768</v>
      </c>
      <c r="D27" s="37">
        <f t="shared" si="5"/>
        <v>31464.78120782107</v>
      </c>
      <c r="E27" s="37">
        <f t="shared" si="5"/>
        <v>33605.729220118141</v>
      </c>
      <c r="F27" s="37">
        <f t="shared" si="5"/>
        <v>35307.43800526594</v>
      </c>
      <c r="G27" s="37">
        <f t="shared" si="5"/>
        <v>34718.59175701224</v>
      </c>
      <c r="H27" s="37">
        <f t="shared" si="5"/>
        <v>187652.2864352887</v>
      </c>
      <c r="I27" s="14"/>
      <c r="J27" s="52" t="s">
        <v>199</v>
      </c>
      <c r="K27" s="11">
        <f t="shared" si="1"/>
        <v>18</v>
      </c>
    </row>
    <row r="28" spans="1:13" x14ac:dyDescent="0.3">
      <c r="A28" s="11">
        <f t="shared" si="0"/>
        <v>19</v>
      </c>
      <c r="B28" s="14" t="s">
        <v>127</v>
      </c>
      <c r="C28" s="37">
        <f t="shared" si="5"/>
        <v>81024.265140562537</v>
      </c>
      <c r="D28" s="37">
        <f t="shared" si="5"/>
        <v>70385.310097036738</v>
      </c>
      <c r="E28" s="37">
        <f t="shared" si="5"/>
        <v>75174.515168950835</v>
      </c>
      <c r="F28" s="37">
        <f t="shared" si="5"/>
        <v>78981.161709614127</v>
      </c>
      <c r="G28" s="37">
        <f t="shared" si="5"/>
        <v>77663.938954780184</v>
      </c>
      <c r="H28" s="37">
        <f t="shared" si="5"/>
        <v>409929.2250379473</v>
      </c>
      <c r="I28" s="14"/>
      <c r="J28" s="52" t="s">
        <v>200</v>
      </c>
      <c r="K28" s="11">
        <f t="shared" si="1"/>
        <v>19</v>
      </c>
    </row>
    <row r="29" spans="1:13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117245.04432953731</v>
      </c>
      <c r="D29" s="54">
        <f t="shared" si="6"/>
        <v>101850.09130485781</v>
      </c>
      <c r="E29" s="54">
        <f t="shared" si="6"/>
        <v>108780.24438906898</v>
      </c>
      <c r="F29" s="54">
        <f t="shared" si="6"/>
        <v>114288.59971488007</v>
      </c>
      <c r="G29" s="54">
        <f t="shared" si="6"/>
        <v>112382.53071179242</v>
      </c>
      <c r="H29" s="54">
        <f t="shared" si="6"/>
        <v>597581.51147323602</v>
      </c>
      <c r="I29" s="14"/>
      <c r="J29" s="50" t="s">
        <v>175</v>
      </c>
      <c r="K29" s="11">
        <f t="shared" si="1"/>
        <v>20</v>
      </c>
    </row>
    <row r="30" spans="1:13" ht="19.5" thickTop="1" x14ac:dyDescent="0.3">
      <c r="A30" s="11">
        <f t="shared" si="0"/>
        <v>21</v>
      </c>
      <c r="B30" s="14"/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3" x14ac:dyDescent="0.3">
      <c r="A31" s="11">
        <f t="shared" si="0"/>
        <v>22</v>
      </c>
      <c r="B31" s="32" t="s">
        <v>142</v>
      </c>
      <c r="C31" s="14"/>
      <c r="D31" s="14"/>
      <c r="E31" s="14"/>
      <c r="F31" s="14"/>
      <c r="G31" s="14"/>
      <c r="H31" s="14"/>
      <c r="I31" s="14"/>
      <c r="J31" s="11"/>
      <c r="K31" s="11">
        <f t="shared" si="1"/>
        <v>22</v>
      </c>
      <c r="L31" s="391"/>
    </row>
    <row r="32" spans="1:13" ht="37.5" x14ac:dyDescent="0.3">
      <c r="A32" s="11">
        <f t="shared" si="0"/>
        <v>23</v>
      </c>
      <c r="B32" s="14" t="s">
        <v>123</v>
      </c>
      <c r="C32" s="53">
        <f>ROUND(SUM(C26,'C-Med &amp; Lrg C-I'!C26,'B-Med &amp; Lrg C-I'!C26,'A-Med &amp; Lrg C-I'!C30),0)</f>
        <v>25940853</v>
      </c>
      <c r="D32" s="53">
        <f>ROUND(SUM(D26,'C-Med &amp; Lrg C-I'!D26,'B-Med &amp; Lrg C-I'!D26,'A-Med &amp; Lrg C-I'!D30),0)</f>
        <v>24912770</v>
      </c>
      <c r="E32" s="53">
        <f>ROUND(SUM(E26,'C-Med &amp; Lrg C-I'!E26,'B-Med &amp; Lrg C-I'!E26,'A-Med &amp; Lrg C-I'!E30),0)</f>
        <v>24762155</v>
      </c>
      <c r="F32" s="53">
        <f>ROUND(SUM(F26,'C-Med &amp; Lrg C-I'!F26,'B-Med &amp; Lrg C-I'!F26,'A-Med &amp; Lrg C-I'!F30),0)</f>
        <v>24750777</v>
      </c>
      <c r="G32" s="53">
        <f>ROUND(SUM(G26,'C-Med &amp; Lrg C-I'!G26,'B-Med &amp; Lrg C-I'!G26,'A-Med &amp; Lrg C-I'!G30),0)</f>
        <v>25055289</v>
      </c>
      <c r="H32" s="53">
        <f>ROUND(SUM(H26,'C-Med &amp; Lrg C-I'!H26,'B-Med &amp; Lrg C-I'!H26,'A-Med &amp; Lrg C-I'!H30),0)</f>
        <v>29874324</v>
      </c>
      <c r="I32" s="14"/>
      <c r="J32" s="99" t="s">
        <v>441</v>
      </c>
      <c r="K32" s="11">
        <f t="shared" si="1"/>
        <v>23</v>
      </c>
      <c r="M32" s="413"/>
    </row>
    <row r="33" spans="1:17" ht="37.5" x14ac:dyDescent="0.3">
      <c r="A33" s="11">
        <f t="shared" si="0"/>
        <v>24</v>
      </c>
      <c r="B33" s="14" t="s">
        <v>125</v>
      </c>
      <c r="C33" s="53">
        <f>ROUND(SUM(C27,'C-Med &amp; Lrg C-I'!C27,'B-Med &amp; Lrg C-I'!C27,'A-Med &amp; Lrg C-I'!C31),0)</f>
        <v>6997541</v>
      </c>
      <c r="D33" s="53">
        <f>ROUND(SUM(D27,'C-Med &amp; Lrg C-I'!D27,'B-Med &amp; Lrg C-I'!D27,'A-Med &amp; Lrg C-I'!D31),0)</f>
        <v>6622889</v>
      </c>
      <c r="E33" s="53">
        <f>ROUND(SUM(E27,'C-Med &amp; Lrg C-I'!E27,'B-Med &amp; Lrg C-I'!E27,'A-Med &amp; Lrg C-I'!E31),0)</f>
        <v>6651178</v>
      </c>
      <c r="F33" s="53">
        <f>ROUND(SUM(F27,'C-Med &amp; Lrg C-I'!F27,'B-Med &amp; Lrg C-I'!F27,'A-Med &amp; Lrg C-I'!F31),0)</f>
        <v>6698453</v>
      </c>
      <c r="G33" s="53">
        <f>ROUND(SUM(G27,'C-Med &amp; Lrg C-I'!G27,'B-Med &amp; Lrg C-I'!G27,'A-Med &amp; Lrg C-I'!G31),0)</f>
        <v>6750872</v>
      </c>
      <c r="H33" s="53">
        <f>ROUND(SUM(H27,'C-Med &amp; Lrg C-I'!H27,'B-Med &amp; Lrg C-I'!H27,'A-Med &amp; Lrg C-I'!H31),0)</f>
        <v>8241770</v>
      </c>
      <c r="I33" s="14"/>
      <c r="J33" s="99" t="s">
        <v>442</v>
      </c>
      <c r="K33" s="11">
        <f t="shared" si="1"/>
        <v>24</v>
      </c>
      <c r="M33" s="413"/>
    </row>
    <row r="34" spans="1:17" ht="37.5" x14ac:dyDescent="0.3">
      <c r="A34" s="11">
        <f t="shared" si="0"/>
        <v>25</v>
      </c>
      <c r="B34" s="14" t="s">
        <v>127</v>
      </c>
      <c r="C34" s="53">
        <f>ROUND(SUM(C28,'C-Med &amp; Lrg C-I'!C28,'B-Med &amp; Lrg C-I'!C28,'A-Med &amp; Lrg C-I'!C32),0)</f>
        <v>2354992</v>
      </c>
      <c r="D34" s="53">
        <f>ROUND(SUM(D28,'C-Med &amp; Lrg C-I'!D28,'B-Med &amp; Lrg C-I'!D28,'A-Med &amp; Lrg C-I'!D32),0)</f>
        <v>2076710</v>
      </c>
      <c r="E34" s="53">
        <f>ROUND(SUM(E28,'C-Med &amp; Lrg C-I'!E28,'B-Med &amp; Lrg C-I'!E28,'A-Med &amp; Lrg C-I'!E32),0)</f>
        <v>2194000</v>
      </c>
      <c r="F34" s="53">
        <f>ROUND(SUM(F28,'C-Med &amp; Lrg C-I'!F28,'B-Med &amp; Lrg C-I'!F28,'A-Med &amp; Lrg C-I'!F32),0)</f>
        <v>2288635</v>
      </c>
      <c r="G34" s="53">
        <f>ROUND(SUM(G28,'C-Med &amp; Lrg C-I'!G28,'B-Med &amp; Lrg C-I'!G28,'A-Med &amp; Lrg C-I'!G32),0)</f>
        <v>2259799</v>
      </c>
      <c r="H34" s="53">
        <f>ROUND(SUM(H28,'C-Med &amp; Lrg C-I'!H28,'B-Med &amp; Lrg C-I'!H28,'A-Med &amp; Lrg C-I'!H32),0)</f>
        <v>2886609</v>
      </c>
      <c r="I34" s="14"/>
      <c r="J34" s="99" t="s">
        <v>443</v>
      </c>
      <c r="K34" s="11">
        <f t="shared" si="1"/>
        <v>25</v>
      </c>
      <c r="M34" s="413"/>
    </row>
    <row r="35" spans="1:17" ht="19.5" thickBot="1" x14ac:dyDescent="0.35">
      <c r="A35" s="11">
        <f t="shared" si="0"/>
        <v>26</v>
      </c>
      <c r="B35" s="14" t="s">
        <v>221</v>
      </c>
      <c r="C35" s="42">
        <f t="shared" ref="C35:H35" si="7">SUM(C32:C34)</f>
        <v>35293386</v>
      </c>
      <c r="D35" s="42">
        <f t="shared" si="7"/>
        <v>33612369</v>
      </c>
      <c r="E35" s="42">
        <f t="shared" si="7"/>
        <v>33607333</v>
      </c>
      <c r="F35" s="42">
        <f t="shared" si="7"/>
        <v>33737865</v>
      </c>
      <c r="G35" s="42">
        <f t="shared" si="7"/>
        <v>34065960</v>
      </c>
      <c r="H35" s="42">
        <f t="shared" si="7"/>
        <v>41002703</v>
      </c>
      <c r="I35" s="14"/>
      <c r="J35" s="55" t="s">
        <v>177</v>
      </c>
      <c r="K35" s="11">
        <f t="shared" si="1"/>
        <v>26</v>
      </c>
    </row>
    <row r="36" spans="1:17" ht="19.5" thickTop="1" x14ac:dyDescent="0.3">
      <c r="A36" s="11">
        <f t="shared" si="0"/>
        <v>27</v>
      </c>
      <c r="B36" s="14"/>
      <c r="C36" s="14"/>
      <c r="D36" s="14"/>
      <c r="E36" s="14"/>
      <c r="F36" s="14"/>
      <c r="G36" s="14"/>
      <c r="H36" s="14"/>
      <c r="I36" s="14"/>
      <c r="J36" s="11"/>
      <c r="K36" s="11">
        <f t="shared" si="1"/>
        <v>27</v>
      </c>
    </row>
    <row r="37" spans="1:17" ht="19.5" thickBot="1" x14ac:dyDescent="0.35">
      <c r="A37" s="11">
        <f t="shared" si="0"/>
        <v>28</v>
      </c>
      <c r="B37" s="38" t="s">
        <v>155</v>
      </c>
      <c r="C37" s="45">
        <f>C35+'A-Med &amp; Lrg C-I'!C13</f>
        <v>35293386</v>
      </c>
      <c r="D37" s="45">
        <f>D35+'A-Med &amp; Lrg C-I'!D13</f>
        <v>33612369</v>
      </c>
      <c r="E37" s="45">
        <f>E35+'A-Med &amp; Lrg C-I'!E13</f>
        <v>33607333</v>
      </c>
      <c r="F37" s="45">
        <f>F35+'A-Med &amp; Lrg C-I'!F13</f>
        <v>33737865</v>
      </c>
      <c r="G37" s="45">
        <f>G35+'A-Med &amp; Lrg C-I'!G13</f>
        <v>34065960</v>
      </c>
      <c r="H37" s="45">
        <f>H35+'A-Med &amp; Lrg C-I'!H13</f>
        <v>41002703</v>
      </c>
      <c r="I37" s="14"/>
      <c r="J37" s="99" t="s">
        <v>222</v>
      </c>
      <c r="K37" s="11">
        <f t="shared" si="1"/>
        <v>28</v>
      </c>
    </row>
    <row r="38" spans="1:17" ht="19.5" thickTop="1" x14ac:dyDescent="0.3">
      <c r="A38" s="17"/>
      <c r="B38" s="24"/>
      <c r="C38" s="24"/>
      <c r="D38" s="24"/>
      <c r="E38" s="24"/>
      <c r="F38" s="24"/>
      <c r="G38" s="24"/>
      <c r="H38" s="24"/>
      <c r="I38" s="24"/>
      <c r="J38" s="17"/>
      <c r="K38" s="17"/>
    </row>
    <row r="39" spans="1:17" x14ac:dyDescent="0.3">
      <c r="A39" s="7"/>
      <c r="O39" s="46"/>
      <c r="P39" s="7"/>
      <c r="Q39" s="7"/>
    </row>
    <row r="40" spans="1:17" x14ac:dyDescent="0.3">
      <c r="A40" s="8" t="s">
        <v>8</v>
      </c>
      <c r="B40" s="28"/>
      <c r="C40" s="8" t="str">
        <f>C7</f>
        <v>(A)</v>
      </c>
      <c r="D40" s="8" t="str">
        <f t="shared" ref="D40:I40" si="8">D7</f>
        <v>(B)</v>
      </c>
      <c r="E40" s="8" t="str">
        <f t="shared" si="8"/>
        <v>(C)</v>
      </c>
      <c r="F40" s="8" t="str">
        <f t="shared" si="8"/>
        <v>(D)</v>
      </c>
      <c r="G40" s="8" t="str">
        <f t="shared" si="8"/>
        <v>(E)</v>
      </c>
      <c r="H40" s="8" t="str">
        <f t="shared" si="8"/>
        <v>(F)</v>
      </c>
      <c r="I40" s="8" t="str">
        <f t="shared" si="8"/>
        <v>(G)</v>
      </c>
      <c r="J40" s="28"/>
      <c r="K40" s="8" t="s">
        <v>8</v>
      </c>
    </row>
    <row r="41" spans="1:17" ht="22.5" x14ac:dyDescent="0.3">
      <c r="A41" s="17" t="s">
        <v>10</v>
      </c>
      <c r="B41" s="17" t="s">
        <v>114</v>
      </c>
      <c r="C41" s="29">
        <f>'Summary of Revs @ Changed Rates'!C30</f>
        <v>45839</v>
      </c>
      <c r="D41" s="29">
        <f>'Summary of Revs @ Changed Rates'!D30</f>
        <v>45870</v>
      </c>
      <c r="E41" s="29">
        <f>'Summary of Revs @ Changed Rates'!E30</f>
        <v>45901</v>
      </c>
      <c r="F41" s="29">
        <f>'Summary of Revs @ Changed Rates'!F30</f>
        <v>45931</v>
      </c>
      <c r="G41" s="29">
        <f>'Summary of Revs @ Changed Rates'!G30</f>
        <v>45962</v>
      </c>
      <c r="H41" s="29">
        <f>'Summary of Revs @ Changed Rates'!H30</f>
        <v>45992</v>
      </c>
      <c r="I41" s="30" t="s">
        <v>61</v>
      </c>
      <c r="J41" s="17" t="s">
        <v>186</v>
      </c>
      <c r="K41" s="17" t="s">
        <v>10</v>
      </c>
    </row>
    <row r="42" spans="1:17" x14ac:dyDescent="0.3">
      <c r="A42" s="11"/>
      <c r="B42" s="14"/>
      <c r="C42" s="31"/>
      <c r="D42" s="31"/>
      <c r="E42" s="31"/>
      <c r="F42" s="31"/>
      <c r="G42" s="31"/>
      <c r="H42" s="31"/>
      <c r="I42" s="11"/>
      <c r="J42" s="11"/>
      <c r="K42" s="11"/>
    </row>
    <row r="43" spans="1:17" x14ac:dyDescent="0.3">
      <c r="A43" s="11">
        <f>A37+1</f>
        <v>29</v>
      </c>
      <c r="B43" s="32" t="s">
        <v>208</v>
      </c>
      <c r="C43" s="31"/>
      <c r="D43" s="31"/>
      <c r="E43" s="31"/>
      <c r="F43" s="31"/>
      <c r="G43" s="31"/>
      <c r="H43" s="31"/>
      <c r="I43" s="11"/>
      <c r="J43" s="11"/>
      <c r="K43" s="11">
        <f>K37+1</f>
        <v>29</v>
      </c>
    </row>
    <row r="44" spans="1:17" ht="22.5" x14ac:dyDescent="0.3">
      <c r="A44" s="11">
        <f>A43+1</f>
        <v>30</v>
      </c>
      <c r="B44" s="32" t="s">
        <v>245</v>
      </c>
      <c r="C44" s="14"/>
      <c r="D44" s="14"/>
      <c r="E44" s="14"/>
      <c r="F44" s="14"/>
      <c r="G44" s="14"/>
      <c r="H44" s="14"/>
      <c r="I44" s="14"/>
      <c r="J44" s="11"/>
      <c r="K44" s="11">
        <f>K43+1</f>
        <v>30</v>
      </c>
    </row>
    <row r="45" spans="1:17" x14ac:dyDescent="0.3">
      <c r="A45" s="11">
        <f t="shared" ref="A45:A70" si="9">A44+1</f>
        <v>31</v>
      </c>
      <c r="B45" s="14" t="s">
        <v>123</v>
      </c>
      <c r="C45" s="47">
        <f>'Workpaper 1'!I138*1000</f>
        <v>0</v>
      </c>
      <c r="D45" s="47">
        <f>'Workpaper 1'!J138*1000</f>
        <v>0</v>
      </c>
      <c r="E45" s="47">
        <f>'Workpaper 1'!K138*1000</f>
        <v>0</v>
      </c>
      <c r="F45" s="47">
        <f>'Workpaper 1'!L138*1000</f>
        <v>0</v>
      </c>
      <c r="G45" s="47">
        <f>'Workpaper 1'!M138*1000</f>
        <v>0</v>
      </c>
      <c r="H45" s="47">
        <f>'Workpaper 1'!N138*1000</f>
        <v>0</v>
      </c>
      <c r="I45" s="37">
        <f>SUM(C12:H12,C45:H45)</f>
        <v>0</v>
      </c>
      <c r="J45" s="11" t="str">
        <f>J12</f>
        <v>(Page BG-21.3, Line 136) x 1000</v>
      </c>
      <c r="K45" s="11">
        <f t="shared" ref="K45:K70" si="10">K44+1</f>
        <v>31</v>
      </c>
    </row>
    <row r="46" spans="1:17" x14ac:dyDescent="0.3">
      <c r="A46" s="11">
        <f t="shared" si="9"/>
        <v>32</v>
      </c>
      <c r="B46" s="14" t="s">
        <v>125</v>
      </c>
      <c r="C46" s="47">
        <f>'Workpaper 1'!I139*1000</f>
        <v>44936.72695386938</v>
      </c>
      <c r="D46" s="47">
        <f>'Workpaper 1'!J139*1000</f>
        <v>43949.326132350761</v>
      </c>
      <c r="E46" s="47">
        <f>'Workpaper 1'!K139*1000</f>
        <v>43456.402775704184</v>
      </c>
      <c r="F46" s="47">
        <f>'Workpaper 1'!L139*1000</f>
        <v>39384.529597502078</v>
      </c>
      <c r="G46" s="47">
        <f>'Workpaper 1'!M139*1000</f>
        <v>37735.549945947394</v>
      </c>
      <c r="H46" s="47">
        <f>'Workpaper 1'!N139*1000</f>
        <v>44761.502306711889</v>
      </c>
      <c r="I46" s="37">
        <f>SUM(C13:H13,C46:H46)</f>
        <v>471450.71229308762</v>
      </c>
      <c r="J46" s="11" t="str">
        <f>J13</f>
        <v>(Page BG-21.3, Line 137) x 1000</v>
      </c>
      <c r="K46" s="11">
        <f t="shared" si="10"/>
        <v>32</v>
      </c>
    </row>
    <row r="47" spans="1:17" x14ac:dyDescent="0.3">
      <c r="A47" s="11">
        <f t="shared" si="9"/>
        <v>33</v>
      </c>
      <c r="B47" s="14" t="s">
        <v>127</v>
      </c>
      <c r="C47" s="47">
        <f>'Workpaper 1'!I140*1000</f>
        <v>98572.275266765035</v>
      </c>
      <c r="D47" s="47">
        <f>'Workpaper 1'!J140*1000</f>
        <v>96406.333237269224</v>
      </c>
      <c r="E47" s="47">
        <f>'Workpaper 1'!K140*1000</f>
        <v>95325.066752358907</v>
      </c>
      <c r="F47" s="47">
        <f>'Workpaper 1'!L140*1000</f>
        <v>86393.089926696179</v>
      </c>
      <c r="G47" s="47">
        <f>'Workpaper 1'!M140*1000</f>
        <v>85301.294816662368</v>
      </c>
      <c r="H47" s="47">
        <f>'Workpaper 1'!N140*1000</f>
        <v>101183.47579857121</v>
      </c>
      <c r="I47" s="37">
        <f>SUM(C14:H14,C47:H47)</f>
        <v>1051628.2413558685</v>
      </c>
      <c r="J47" s="11" t="str">
        <f>J14</f>
        <v>(Page BG-21.3, Line 138) x 1000</v>
      </c>
      <c r="K47" s="11">
        <f t="shared" si="10"/>
        <v>33</v>
      </c>
    </row>
    <row r="48" spans="1:17" ht="19.5" thickBot="1" x14ac:dyDescent="0.35">
      <c r="A48" s="11">
        <f t="shared" si="9"/>
        <v>34</v>
      </c>
      <c r="B48" s="14" t="s">
        <v>129</v>
      </c>
      <c r="C48" s="48">
        <f t="shared" ref="C48:I48" si="11">SUM(C45:C47)</f>
        <v>143509.00222063443</v>
      </c>
      <c r="D48" s="48">
        <f t="shared" si="11"/>
        <v>140355.65936961997</v>
      </c>
      <c r="E48" s="48">
        <f t="shared" si="11"/>
        <v>138781.46952806308</v>
      </c>
      <c r="F48" s="48">
        <f t="shared" si="11"/>
        <v>125777.61952419826</v>
      </c>
      <c r="G48" s="48">
        <f t="shared" si="11"/>
        <v>123036.84476260976</v>
      </c>
      <c r="H48" s="48">
        <f t="shared" si="11"/>
        <v>145944.97810528311</v>
      </c>
      <c r="I48" s="49">
        <f t="shared" si="11"/>
        <v>1523078.953648956</v>
      </c>
      <c r="J48" s="50" t="s">
        <v>149</v>
      </c>
      <c r="K48" s="11">
        <f t="shared" si="10"/>
        <v>34</v>
      </c>
    </row>
    <row r="49" spans="1:12" ht="20.25" thickTop="1" thickBot="1" x14ac:dyDescent="0.35">
      <c r="A49" s="11">
        <f t="shared" si="9"/>
        <v>35</v>
      </c>
      <c r="B49" s="14" t="s">
        <v>131</v>
      </c>
      <c r="C49" s="35">
        <f>'B-Billing Determinants'!D22</f>
        <v>143509.0022206344</v>
      </c>
      <c r="D49" s="35">
        <f>'B-Billing Determinants'!F22</f>
        <v>140355.65936962</v>
      </c>
      <c r="E49" s="35">
        <f>'B-Billing Determinants'!H22</f>
        <v>138781.46952806308</v>
      </c>
      <c r="F49" s="35">
        <f>'B-Billing Determinants'!J22</f>
        <v>125777.61952419826</v>
      </c>
      <c r="G49" s="35">
        <f>'B-Billing Determinants'!L22</f>
        <v>123036.84476260976</v>
      </c>
      <c r="H49" s="35">
        <f>'B-Billing Determinants'!N22</f>
        <v>145944.97810528311</v>
      </c>
      <c r="I49" s="37">
        <f>SUM(C16:H16,C49:H49)</f>
        <v>1523078.9536489565</v>
      </c>
      <c r="J49" s="11" t="s">
        <v>246</v>
      </c>
      <c r="K49" s="11">
        <f t="shared" si="10"/>
        <v>35</v>
      </c>
    </row>
    <row r="50" spans="1:12" ht="20.25" thickTop="1" thickBot="1" x14ac:dyDescent="0.35">
      <c r="A50" s="11">
        <f t="shared" si="9"/>
        <v>36</v>
      </c>
      <c r="B50" s="14" t="s">
        <v>133</v>
      </c>
      <c r="C50" s="35">
        <f t="shared" ref="C50:I50" si="12">C48-C49</f>
        <v>0</v>
      </c>
      <c r="D50" s="35">
        <f t="shared" si="12"/>
        <v>0</v>
      </c>
      <c r="E50" s="35">
        <f t="shared" si="12"/>
        <v>0</v>
      </c>
      <c r="F50" s="35">
        <f t="shared" si="12"/>
        <v>0</v>
      </c>
      <c r="G50" s="35">
        <f t="shared" si="12"/>
        <v>0</v>
      </c>
      <c r="H50" s="35">
        <f t="shared" si="12"/>
        <v>0</v>
      </c>
      <c r="I50" s="35">
        <f t="shared" si="12"/>
        <v>0</v>
      </c>
      <c r="J50" s="36" t="s">
        <v>151</v>
      </c>
      <c r="K50" s="11">
        <f t="shared" si="10"/>
        <v>36</v>
      </c>
    </row>
    <row r="51" spans="1:12" ht="19.5" thickTop="1" x14ac:dyDescent="0.3">
      <c r="A51" s="11">
        <f t="shared" si="9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10"/>
        <v>37</v>
      </c>
    </row>
    <row r="52" spans="1:12" x14ac:dyDescent="0.3">
      <c r="A52" s="11">
        <f t="shared" si="9"/>
        <v>38</v>
      </c>
      <c r="B52" s="38" t="s">
        <v>214</v>
      </c>
      <c r="C52" s="37"/>
      <c r="D52" s="37"/>
      <c r="E52" s="37"/>
      <c r="F52" s="37"/>
      <c r="G52" s="37"/>
      <c r="H52" s="37"/>
      <c r="I52" s="37"/>
      <c r="J52" s="36"/>
      <c r="K52" s="11">
        <f t="shared" si="10"/>
        <v>38</v>
      </c>
    </row>
    <row r="53" spans="1:12" x14ac:dyDescent="0.3">
      <c r="A53" s="11">
        <f t="shared" si="9"/>
        <v>39</v>
      </c>
      <c r="B53" s="38" t="s">
        <v>215</v>
      </c>
      <c r="C53" s="14"/>
      <c r="D53" s="14"/>
      <c r="E53" s="14"/>
      <c r="F53" s="14"/>
      <c r="G53" s="14"/>
      <c r="H53" s="14"/>
      <c r="I53" s="14"/>
      <c r="J53" s="11"/>
      <c r="K53" s="11">
        <f t="shared" si="10"/>
        <v>39</v>
      </c>
    </row>
    <row r="54" spans="1:12" x14ac:dyDescent="0.3">
      <c r="A54" s="11">
        <f t="shared" si="9"/>
        <v>40</v>
      </c>
      <c r="B54" s="14" t="s">
        <v>123</v>
      </c>
      <c r="C54" s="51">
        <f>H21</f>
        <v>0</v>
      </c>
      <c r="D54" s="51">
        <f t="shared" ref="D54:F56" si="13">C54</f>
        <v>0</v>
      </c>
      <c r="E54" s="51">
        <f t="shared" si="13"/>
        <v>0</v>
      </c>
      <c r="F54" s="51">
        <f>E54</f>
        <v>0</v>
      </c>
      <c r="G54" s="51">
        <f t="shared" ref="G54:H56" si="14">C21</f>
        <v>0</v>
      </c>
      <c r="H54" s="51">
        <f t="shared" si="14"/>
        <v>0</v>
      </c>
      <c r="I54" s="14"/>
      <c r="J54" s="11" t="str">
        <f>J21</f>
        <v>Statement BL, Page BL-1, Lines 23 &amp; 24, Col. D</v>
      </c>
      <c r="K54" s="11">
        <f t="shared" si="10"/>
        <v>40</v>
      </c>
    </row>
    <row r="55" spans="1:12" x14ac:dyDescent="0.3">
      <c r="A55" s="11">
        <f t="shared" si="9"/>
        <v>41</v>
      </c>
      <c r="B55" s="14" t="s">
        <v>138</v>
      </c>
      <c r="C55" s="51">
        <f>H22</f>
        <v>4.84</v>
      </c>
      <c r="D55" s="51">
        <f t="shared" si="13"/>
        <v>4.84</v>
      </c>
      <c r="E55" s="51">
        <f t="shared" si="13"/>
        <v>4.84</v>
      </c>
      <c r="F55" s="51">
        <f t="shared" si="13"/>
        <v>4.84</v>
      </c>
      <c r="G55" s="51">
        <f t="shared" si="14"/>
        <v>0.96</v>
      </c>
      <c r="H55" s="51">
        <f t="shared" si="14"/>
        <v>0.96</v>
      </c>
      <c r="I55" s="14"/>
      <c r="J55" s="11" t="str">
        <f>J22</f>
        <v>Statement BL, Page BL-1, Lines 23 &amp; 24, Col. C</v>
      </c>
      <c r="K55" s="11">
        <f t="shared" si="10"/>
        <v>41</v>
      </c>
    </row>
    <row r="56" spans="1:12" x14ac:dyDescent="0.3">
      <c r="A56" s="11">
        <f t="shared" si="9"/>
        <v>42</v>
      </c>
      <c r="B56" s="14" t="s">
        <v>127</v>
      </c>
      <c r="C56" s="51">
        <f>H23</f>
        <v>4.82</v>
      </c>
      <c r="D56" s="51">
        <f t="shared" si="13"/>
        <v>4.82</v>
      </c>
      <c r="E56" s="51">
        <f t="shared" si="13"/>
        <v>4.82</v>
      </c>
      <c r="F56" s="51">
        <f t="shared" si="13"/>
        <v>4.82</v>
      </c>
      <c r="G56" s="51">
        <f t="shared" si="14"/>
        <v>0.95</v>
      </c>
      <c r="H56" s="51">
        <f t="shared" si="14"/>
        <v>0.95</v>
      </c>
      <c r="I56" s="14"/>
      <c r="J56" s="11" t="str">
        <f>J23</f>
        <v>Statement BL, Page BL-1, Lines 23 &amp; 24, Col. B</v>
      </c>
      <c r="K56" s="11">
        <f t="shared" si="10"/>
        <v>42</v>
      </c>
    </row>
    <row r="57" spans="1:12" x14ac:dyDescent="0.3">
      <c r="A57" s="11">
        <f t="shared" si="9"/>
        <v>43</v>
      </c>
      <c r="B57" s="38" t="s">
        <v>219</v>
      </c>
      <c r="C57" s="51"/>
      <c r="D57" s="51"/>
      <c r="E57" s="51"/>
      <c r="F57" s="51"/>
      <c r="G57" s="51"/>
      <c r="H57" s="51"/>
      <c r="I57" s="14"/>
      <c r="J57" s="61"/>
      <c r="K57" s="11">
        <f t="shared" si="10"/>
        <v>43</v>
      </c>
    </row>
    <row r="58" spans="1:12" x14ac:dyDescent="0.3">
      <c r="A58" s="11">
        <f t="shared" si="9"/>
        <v>44</v>
      </c>
      <c r="B58" s="38" t="s">
        <v>220</v>
      </c>
      <c r="C58" s="37"/>
      <c r="D58" s="37"/>
      <c r="E58" s="37"/>
      <c r="F58" s="37"/>
      <c r="G58" s="37"/>
      <c r="H58" s="37"/>
      <c r="I58" s="37"/>
      <c r="J58" s="52"/>
      <c r="K58" s="11">
        <f t="shared" si="10"/>
        <v>44</v>
      </c>
    </row>
    <row r="59" spans="1:12" x14ac:dyDescent="0.3">
      <c r="A59" s="11">
        <f t="shared" si="9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>G54*G45</f>
        <v>0</v>
      </c>
      <c r="H59" s="53">
        <f t="shared" si="15"/>
        <v>0</v>
      </c>
      <c r="I59" s="53">
        <f>SUM(C26:H26,C59:H59)</f>
        <v>0</v>
      </c>
      <c r="J59" s="52" t="s">
        <v>152</v>
      </c>
      <c r="K59" s="11">
        <f t="shared" si="10"/>
        <v>45</v>
      </c>
    </row>
    <row r="60" spans="1:12" x14ac:dyDescent="0.3">
      <c r="A60" s="11">
        <f t="shared" si="9"/>
        <v>46</v>
      </c>
      <c r="B60" s="14" t="s">
        <v>125</v>
      </c>
      <c r="C60" s="37">
        <f>C55*C46</f>
        <v>217493.75845672778</v>
      </c>
      <c r="D60" s="37">
        <f t="shared" si="15"/>
        <v>212714.73848057768</v>
      </c>
      <c r="E60" s="37">
        <f t="shared" si="15"/>
        <v>210328.98943440826</v>
      </c>
      <c r="F60" s="37">
        <f t="shared" si="15"/>
        <v>190621.12325191006</v>
      </c>
      <c r="G60" s="37">
        <f t="shared" si="15"/>
        <v>36226.127948109497</v>
      </c>
      <c r="H60" s="37">
        <f t="shared" si="15"/>
        <v>42971.042214443412</v>
      </c>
      <c r="I60" s="53">
        <f>SUM(C27:H27,C60:H60)</f>
        <v>1269325.3856006577</v>
      </c>
      <c r="J60" s="52" t="s">
        <v>153</v>
      </c>
      <c r="K60" s="11">
        <f t="shared" si="10"/>
        <v>46</v>
      </c>
    </row>
    <row r="61" spans="1:12" x14ac:dyDescent="0.3">
      <c r="A61" s="11">
        <f t="shared" si="9"/>
        <v>47</v>
      </c>
      <c r="B61" s="14" t="s">
        <v>127</v>
      </c>
      <c r="C61" s="37">
        <f t="shared" si="15"/>
        <v>475118.36678580748</v>
      </c>
      <c r="D61" s="37">
        <f t="shared" si="15"/>
        <v>464678.52620363771</v>
      </c>
      <c r="E61" s="37">
        <f t="shared" si="15"/>
        <v>459466.82174636994</v>
      </c>
      <c r="F61" s="37">
        <f t="shared" si="15"/>
        <v>416414.69344667561</v>
      </c>
      <c r="G61" s="37">
        <f t="shared" si="15"/>
        <v>81036.23007582924</v>
      </c>
      <c r="H61" s="37">
        <f t="shared" si="15"/>
        <v>96124.30200864264</v>
      </c>
      <c r="I61" s="53">
        <f>SUM(C28:H28,C61:H61)</f>
        <v>2785997.3563758545</v>
      </c>
      <c r="J61" s="52" t="s">
        <v>154</v>
      </c>
      <c r="K61" s="11">
        <f t="shared" si="10"/>
        <v>47</v>
      </c>
    </row>
    <row r="62" spans="1:12" ht="19.5" thickBot="1" x14ac:dyDescent="0.35">
      <c r="A62" s="11">
        <f t="shared" si="9"/>
        <v>48</v>
      </c>
      <c r="B62" s="14" t="s">
        <v>129</v>
      </c>
      <c r="C62" s="54">
        <f t="shared" ref="C62:I62" si="16">SUM(C59:C61)</f>
        <v>692612.12524253526</v>
      </c>
      <c r="D62" s="54">
        <f t="shared" si="16"/>
        <v>677393.26468421542</v>
      </c>
      <c r="E62" s="54">
        <f t="shared" si="16"/>
        <v>669795.8111807782</v>
      </c>
      <c r="F62" s="54">
        <f t="shared" si="16"/>
        <v>607035.81669858564</v>
      </c>
      <c r="G62" s="54">
        <f t="shared" si="16"/>
        <v>117262.35802393874</v>
      </c>
      <c r="H62" s="54">
        <f t="shared" si="16"/>
        <v>139095.34422308605</v>
      </c>
      <c r="I62" s="54">
        <f t="shared" si="16"/>
        <v>4055322.7419765121</v>
      </c>
      <c r="J62" s="50" t="s">
        <v>156</v>
      </c>
      <c r="K62" s="11">
        <f t="shared" si="10"/>
        <v>48</v>
      </c>
    </row>
    <row r="63" spans="1:12" ht="19.5" thickTop="1" x14ac:dyDescent="0.3">
      <c r="A63" s="11">
        <f t="shared" si="9"/>
        <v>49</v>
      </c>
      <c r="B63" s="14"/>
      <c r="C63" s="14"/>
      <c r="D63" s="14"/>
      <c r="E63" s="14"/>
      <c r="F63" s="14"/>
      <c r="G63" s="14"/>
      <c r="H63" s="14"/>
      <c r="I63" s="14"/>
      <c r="J63" s="11"/>
      <c r="K63" s="11">
        <f t="shared" si="10"/>
        <v>49</v>
      </c>
    </row>
    <row r="64" spans="1:12" x14ac:dyDescent="0.3">
      <c r="A64" s="11">
        <f t="shared" si="9"/>
        <v>50</v>
      </c>
      <c r="B64" s="32" t="s">
        <v>142</v>
      </c>
      <c r="C64" s="14"/>
      <c r="D64" s="14"/>
      <c r="E64" s="14"/>
      <c r="F64" s="14"/>
      <c r="G64" s="14"/>
      <c r="H64" s="14"/>
      <c r="I64" s="14"/>
      <c r="J64" s="11"/>
      <c r="K64" s="11">
        <f t="shared" si="10"/>
        <v>50</v>
      </c>
      <c r="L64" s="391"/>
    </row>
    <row r="65" spans="1:13" ht="37.5" x14ac:dyDescent="0.3">
      <c r="A65" s="11">
        <f t="shared" si="9"/>
        <v>51</v>
      </c>
      <c r="B65" s="14" t="s">
        <v>123</v>
      </c>
      <c r="C65" s="53">
        <f>ROUND(SUM(C59,'C-Med &amp; Lrg C-I'!C51,'B-Med &amp; Lrg C-I'!C51,'A-Med &amp; Lrg C-I'!C59),0)</f>
        <v>32746290</v>
      </c>
      <c r="D65" s="53">
        <f>ROUND(SUM(D59,'C-Med &amp; Lrg C-I'!D51,'B-Med &amp; Lrg C-I'!D51,'A-Med &amp; Lrg C-I'!D59),0)</f>
        <v>34466465</v>
      </c>
      <c r="E65" s="53">
        <f>ROUND(SUM(E59,'C-Med &amp; Lrg C-I'!E51,'B-Med &amp; Lrg C-I'!E51,'A-Med &amp; Lrg C-I'!E59),0)</f>
        <v>36273232</v>
      </c>
      <c r="F65" s="53">
        <f>ROUND(SUM(F59,'C-Med &amp; Lrg C-I'!F51,'B-Med &amp; Lrg C-I'!F51,'A-Med &amp; Lrg C-I'!F59),0)</f>
        <v>32932415</v>
      </c>
      <c r="G65" s="53">
        <f>ROUND(SUM(G59,'C-Med &amp; Lrg C-I'!G51,'B-Med &amp; Lrg C-I'!G51,'A-Med &amp; Lrg C-I'!G59),0)</f>
        <v>26182138</v>
      </c>
      <c r="H65" s="53">
        <f>ROUND(SUM(H59,'C-Med &amp; Lrg C-I'!H51,'B-Med &amp; Lrg C-I'!H51,'A-Med &amp; Lrg C-I'!H59),0)</f>
        <v>25653693</v>
      </c>
      <c r="I65" s="53">
        <f>ROUND(SUM(I59,'C-Med &amp; Lrg C-I'!I51,'B-Med &amp; Lrg C-I'!I51,'A-Med &amp; Lrg C-I'!I59),0)</f>
        <v>343550401</v>
      </c>
      <c r="J65" s="99" t="s">
        <v>444</v>
      </c>
      <c r="K65" s="11">
        <f t="shared" si="10"/>
        <v>51</v>
      </c>
      <c r="M65" s="413"/>
    </row>
    <row r="66" spans="1:13" ht="37.5" x14ac:dyDescent="0.3">
      <c r="A66" s="11">
        <f t="shared" si="9"/>
        <v>52</v>
      </c>
      <c r="B66" s="14" t="s">
        <v>125</v>
      </c>
      <c r="C66" s="53">
        <f>ROUND(SUM(C60,'C-Med &amp; Lrg C-I'!C52,'B-Med &amp; Lrg C-I'!C52,'A-Med &amp; Lrg C-I'!C60),0)</f>
        <v>9109018</v>
      </c>
      <c r="D66" s="53">
        <f>ROUND(SUM(D60,'C-Med &amp; Lrg C-I'!D52,'B-Med &amp; Lrg C-I'!D52,'A-Med &amp; Lrg C-I'!D60),0)</f>
        <v>9484642</v>
      </c>
      <c r="E66" s="53">
        <f>ROUND(SUM(E60,'C-Med &amp; Lrg C-I'!E52,'B-Med &amp; Lrg C-I'!E52,'A-Med &amp; Lrg C-I'!E60),0)</f>
        <v>9895896</v>
      </c>
      <c r="F66" s="53">
        <f>ROUND(SUM(F60,'C-Med &amp; Lrg C-I'!F52,'B-Med &amp; Lrg C-I'!F52,'A-Med &amp; Lrg C-I'!F60),0)</f>
        <v>8982335</v>
      </c>
      <c r="G66" s="53">
        <f>ROUND(SUM(G60,'C-Med &amp; Lrg C-I'!G52,'B-Med &amp; Lrg C-I'!G52,'A-Med &amp; Lrg C-I'!G60),0)</f>
        <v>7052909</v>
      </c>
      <c r="H66" s="53">
        <f>ROUND(SUM(H60,'C-Med &amp; Lrg C-I'!H52,'B-Med &amp; Lrg C-I'!H52,'A-Med &amp; Lrg C-I'!H60),0)</f>
        <v>7129688</v>
      </c>
      <c r="I66" s="53">
        <f>ROUND(SUM(I60,'C-Med &amp; Lrg C-I'!I52,'B-Med &amp; Lrg C-I'!I52,'A-Med &amp; Lrg C-I'!I60),0)</f>
        <v>93617190</v>
      </c>
      <c r="J66" s="99" t="s">
        <v>445</v>
      </c>
      <c r="K66" s="11">
        <f t="shared" si="10"/>
        <v>52</v>
      </c>
      <c r="M66" s="413"/>
    </row>
    <row r="67" spans="1:13" ht="37.5" x14ac:dyDescent="0.3">
      <c r="A67" s="11">
        <f t="shared" si="9"/>
        <v>53</v>
      </c>
      <c r="B67" s="14" t="s">
        <v>127</v>
      </c>
      <c r="C67" s="53">
        <f>ROUND(SUM(C61,'C-Med &amp; Lrg C-I'!C53,'B-Med &amp; Lrg C-I'!C53,'A-Med &amp; Lrg C-I'!C61),0)</f>
        <v>3312482</v>
      </c>
      <c r="D67" s="53">
        <f>ROUND(SUM(D61,'C-Med &amp; Lrg C-I'!D53,'B-Med &amp; Lrg C-I'!D53,'A-Med &amp; Lrg C-I'!D61),0)</f>
        <v>3282771</v>
      </c>
      <c r="E67" s="53">
        <f>ROUND(SUM(E61,'C-Med &amp; Lrg C-I'!E53,'B-Med &amp; Lrg C-I'!E53,'A-Med &amp; Lrg C-I'!E61),0)</f>
        <v>3284676</v>
      </c>
      <c r="F67" s="53">
        <f>ROUND(SUM(F61,'C-Med &amp; Lrg C-I'!F53,'B-Med &amp; Lrg C-I'!F53,'A-Med &amp; Lrg C-I'!F61),0)</f>
        <v>2977925</v>
      </c>
      <c r="G67" s="53">
        <f>ROUND(SUM(G61,'C-Med &amp; Lrg C-I'!G53,'B-Med &amp; Lrg C-I'!G53,'A-Med &amp; Lrg C-I'!G61),0)</f>
        <v>2358430</v>
      </c>
      <c r="H67" s="53">
        <f>ROUND(SUM(H61,'C-Med &amp; Lrg C-I'!H53,'B-Med &amp; Lrg C-I'!H53,'A-Med &amp; Lrg C-I'!H61),0)</f>
        <v>2727240</v>
      </c>
      <c r="I67" s="53">
        <f>ROUND(SUM(I61,'C-Med &amp; Lrg C-I'!I53,'B-Med &amp; Lrg C-I'!I53,'A-Med &amp; Lrg C-I'!I61),0)</f>
        <v>32004269</v>
      </c>
      <c r="J67" s="99" t="s">
        <v>446</v>
      </c>
      <c r="K67" s="11">
        <f t="shared" si="10"/>
        <v>53</v>
      </c>
      <c r="M67" s="413"/>
    </row>
    <row r="68" spans="1:13" ht="19.5" thickBot="1" x14ac:dyDescent="0.35">
      <c r="A68" s="11">
        <f t="shared" si="9"/>
        <v>54</v>
      </c>
      <c r="B68" s="14" t="s">
        <v>221</v>
      </c>
      <c r="C68" s="54">
        <f t="shared" ref="C68:I68" si="17">SUM(C65:C67)</f>
        <v>45167790</v>
      </c>
      <c r="D68" s="54">
        <f t="shared" si="17"/>
        <v>47233878</v>
      </c>
      <c r="E68" s="54">
        <f t="shared" si="17"/>
        <v>49453804</v>
      </c>
      <c r="F68" s="54">
        <f t="shared" si="17"/>
        <v>44892675</v>
      </c>
      <c r="G68" s="54">
        <f t="shared" si="17"/>
        <v>35593477</v>
      </c>
      <c r="H68" s="54">
        <f t="shared" si="17"/>
        <v>35510621</v>
      </c>
      <c r="I68" s="54">
        <f t="shared" si="17"/>
        <v>469171860</v>
      </c>
      <c r="J68" s="55" t="s">
        <v>224</v>
      </c>
      <c r="K68" s="11">
        <f t="shared" si="10"/>
        <v>54</v>
      </c>
    </row>
    <row r="69" spans="1:13" ht="19.5" thickTop="1" x14ac:dyDescent="0.3">
      <c r="A69" s="11">
        <f t="shared" si="9"/>
        <v>55</v>
      </c>
      <c r="B69" s="14"/>
      <c r="C69" s="14"/>
      <c r="D69" s="14"/>
      <c r="E69" s="14"/>
      <c r="F69" s="14"/>
      <c r="G69" s="14"/>
      <c r="H69" s="14"/>
      <c r="I69" s="44"/>
      <c r="J69" s="11"/>
      <c r="K69" s="11">
        <f t="shared" si="10"/>
        <v>55</v>
      </c>
    </row>
    <row r="70" spans="1:13" ht="19.5" thickBot="1" x14ac:dyDescent="0.35">
      <c r="A70" s="11">
        <f t="shared" si="9"/>
        <v>56</v>
      </c>
      <c r="B70" s="38" t="s">
        <v>155</v>
      </c>
      <c r="C70" s="45">
        <f>C68+'A-Med &amp; Lrg C-I'!C42</f>
        <v>45167790</v>
      </c>
      <c r="D70" s="45">
        <f>D68+'A-Med &amp; Lrg C-I'!D42</f>
        <v>47233878</v>
      </c>
      <c r="E70" s="45">
        <f>E68+'A-Med &amp; Lrg C-I'!E42</f>
        <v>49453804</v>
      </c>
      <c r="F70" s="45">
        <f>F68+'A-Med &amp; Lrg C-I'!F42</f>
        <v>44892675</v>
      </c>
      <c r="G70" s="45">
        <f>G68+'A-Med &amp; Lrg C-I'!G42</f>
        <v>35593477</v>
      </c>
      <c r="H70" s="45">
        <f>H68+'A-Med &amp; Lrg C-I'!H42</f>
        <v>35510621</v>
      </c>
      <c r="I70" s="45">
        <f>I68+'A-Med &amp; Lrg C-I'!I42</f>
        <v>469171860</v>
      </c>
      <c r="J70" s="99" t="s">
        <v>225</v>
      </c>
      <c r="K70" s="11">
        <f t="shared" si="10"/>
        <v>56</v>
      </c>
    </row>
    <row r="71" spans="1:13" ht="19.5" thickTop="1" x14ac:dyDescent="0.3">
      <c r="A71" s="17"/>
      <c r="B71" s="24"/>
      <c r="C71" s="24"/>
      <c r="D71" s="24"/>
      <c r="E71" s="24"/>
      <c r="F71" s="24"/>
      <c r="G71" s="24"/>
      <c r="H71" s="24"/>
      <c r="I71" s="56"/>
      <c r="J71" s="17"/>
      <c r="K71" s="17"/>
    </row>
    <row r="72" spans="1:13" x14ac:dyDescent="0.3">
      <c r="B72" s="25" t="s">
        <v>46</v>
      </c>
    </row>
    <row r="73" spans="1:13" ht="22.5" x14ac:dyDescent="0.3">
      <c r="A73" s="77">
        <v>1</v>
      </c>
      <c r="B73" s="1" t="s">
        <v>247</v>
      </c>
    </row>
    <row r="74" spans="1:13" ht="22.5" x14ac:dyDescent="0.3">
      <c r="A74" s="77">
        <v>2</v>
      </c>
      <c r="B74" s="1" t="s">
        <v>227</v>
      </c>
    </row>
    <row r="75" spans="1:13" ht="22.5" x14ac:dyDescent="0.3">
      <c r="A75" s="77">
        <v>3</v>
      </c>
      <c r="B75" s="1" t="s">
        <v>157</v>
      </c>
    </row>
    <row r="76" spans="1:13" ht="22.5" x14ac:dyDescent="0.3">
      <c r="A76" s="77"/>
    </row>
    <row r="77" spans="1:13" ht="22.5" x14ac:dyDescent="0.3">
      <c r="A77" s="77"/>
    </row>
    <row r="78" spans="1:13" ht="22.5" x14ac:dyDescent="0.3">
      <c r="A78" s="77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2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91CD-24CA-4083-8263-001FD6997673}">
  <sheetPr>
    <pageSetUpPr fitToPage="1"/>
  </sheetPr>
  <dimension ref="A1:Q94"/>
  <sheetViews>
    <sheetView zoomScale="70" zoomScaleNormal="70" zoomScaleSheetLayoutView="70" workbookViewId="0">
      <selection activeCell="B76" sqref="B76"/>
    </sheetView>
  </sheetViews>
  <sheetFormatPr defaultColWidth="6" defaultRowHeight="18.75" x14ac:dyDescent="0.3"/>
  <cols>
    <col min="1" max="1" width="5.5703125" style="335" bestFit="1" customWidth="1"/>
    <col min="2" max="2" width="46.28515625" style="335" customWidth="1"/>
    <col min="3" max="3" width="19.140625" style="335" bestFit="1" customWidth="1"/>
    <col min="4" max="8" width="17.140625" style="335" bestFit="1" customWidth="1"/>
    <col min="9" max="9" width="20.5703125" style="335" bestFit="1" customWidth="1"/>
    <col min="10" max="10" width="54.28515625" style="335" bestFit="1" customWidth="1"/>
    <col min="11" max="11" width="5.5703125" style="335" bestFit="1" customWidth="1"/>
    <col min="12" max="15" width="6" style="335" customWidth="1"/>
    <col min="16" max="16384" width="6" style="335"/>
  </cols>
  <sheetData>
    <row r="1" spans="1:17" ht="18.75" customHeight="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340"/>
      <c r="M1" s="340"/>
      <c r="N1" s="340"/>
      <c r="O1" s="340"/>
      <c r="P1" s="340"/>
      <c r="Q1" s="340"/>
    </row>
    <row r="2" spans="1:17" ht="18.75" customHeight="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340"/>
      <c r="M2" s="340"/>
      <c r="N2" s="340"/>
      <c r="O2" s="340"/>
      <c r="P2" s="340"/>
      <c r="Q2" s="340"/>
    </row>
    <row r="3" spans="1:17" ht="18.75" customHeight="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340"/>
      <c r="M3" s="340"/>
      <c r="N3" s="340"/>
      <c r="O3" s="340"/>
      <c r="P3" s="340"/>
      <c r="Q3" s="340"/>
    </row>
    <row r="4" spans="1:17" ht="18.75" customHeight="1" x14ac:dyDescent="0.3">
      <c r="A4" s="429" t="s">
        <v>248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340"/>
      <c r="M4" s="340"/>
      <c r="N4" s="340"/>
      <c r="O4" s="340"/>
      <c r="P4" s="340"/>
      <c r="Q4" s="340"/>
    </row>
    <row r="5" spans="1:17" ht="18.75" customHeight="1" x14ac:dyDescent="0.3">
      <c r="A5" s="430" t="s">
        <v>459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340"/>
      <c r="M5" s="340"/>
      <c r="N5" s="340"/>
      <c r="O5" s="340"/>
      <c r="P5" s="340"/>
      <c r="Q5" s="340"/>
    </row>
    <row r="6" spans="1:17" x14ac:dyDescent="0.3">
      <c r="A6" s="342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</row>
    <row r="7" spans="1:17" x14ac:dyDescent="0.3">
      <c r="A7" s="345" t="s">
        <v>8</v>
      </c>
      <c r="B7" s="336"/>
      <c r="C7" s="345" t="s">
        <v>4</v>
      </c>
      <c r="D7" s="345" t="s">
        <v>5</v>
      </c>
      <c r="E7" s="345" t="s">
        <v>48</v>
      </c>
      <c r="F7" s="345" t="s">
        <v>49</v>
      </c>
      <c r="G7" s="345" t="s">
        <v>50</v>
      </c>
      <c r="H7" s="345" t="s">
        <v>51</v>
      </c>
      <c r="I7" s="345" t="s">
        <v>52</v>
      </c>
      <c r="J7" s="346"/>
      <c r="K7" s="345" t="s">
        <v>8</v>
      </c>
    </row>
    <row r="8" spans="1:17" ht="22.5" x14ac:dyDescent="0.3">
      <c r="A8" s="334" t="s">
        <v>10</v>
      </c>
      <c r="B8" s="334" t="s">
        <v>114</v>
      </c>
      <c r="C8" s="347">
        <v>45658</v>
      </c>
      <c r="D8" s="347">
        <v>45689</v>
      </c>
      <c r="E8" s="347">
        <v>45717</v>
      </c>
      <c r="F8" s="347">
        <v>45748</v>
      </c>
      <c r="G8" s="347">
        <v>45778</v>
      </c>
      <c r="H8" s="348">
        <v>45809</v>
      </c>
      <c r="I8" s="349"/>
      <c r="J8" s="337" t="s">
        <v>440</v>
      </c>
      <c r="K8" s="334" t="s">
        <v>10</v>
      </c>
    </row>
    <row r="9" spans="1:17" x14ac:dyDescent="0.3">
      <c r="A9" s="331"/>
      <c r="B9" s="350"/>
      <c r="C9" s="351"/>
      <c r="D9" s="351"/>
      <c r="E9" s="351"/>
      <c r="F9" s="351"/>
      <c r="G9" s="351"/>
      <c r="H9" s="351"/>
      <c r="I9" s="336"/>
      <c r="J9" s="345"/>
      <c r="K9" s="331"/>
    </row>
    <row r="10" spans="1:17" x14ac:dyDescent="0.3">
      <c r="A10" s="331">
        <v>1</v>
      </c>
      <c r="B10" s="352" t="s">
        <v>116</v>
      </c>
      <c r="C10" s="350"/>
      <c r="D10" s="350"/>
      <c r="E10" s="350"/>
      <c r="F10" s="350"/>
      <c r="G10" s="350"/>
      <c r="H10" s="350"/>
      <c r="I10" s="350"/>
      <c r="J10" s="331"/>
      <c r="K10" s="331">
        <v>1</v>
      </c>
    </row>
    <row r="11" spans="1:17" x14ac:dyDescent="0.3">
      <c r="A11" s="331">
        <f t="shared" ref="A11:A37" si="0">A10+1</f>
        <v>2</v>
      </c>
      <c r="B11" s="350" t="s">
        <v>117</v>
      </c>
      <c r="C11" s="353">
        <f>'Workpaper 1'!C162*1000</f>
        <v>595720</v>
      </c>
      <c r="D11" s="353">
        <f>'Workpaper 1'!D162*1000</f>
        <v>724430</v>
      </c>
      <c r="E11" s="353">
        <f>'Workpaper 1'!E162*1000</f>
        <v>727400</v>
      </c>
      <c r="F11" s="353">
        <f>'Workpaper 1'!F162*1000</f>
        <v>931380</v>
      </c>
      <c r="G11" s="353">
        <f>'Workpaper 1'!G162*1000</f>
        <v>258380</v>
      </c>
      <c r="H11" s="353">
        <f>'Workpaper 1'!H162*1000</f>
        <v>110630</v>
      </c>
      <c r="I11" s="350"/>
      <c r="J11" s="354" t="s">
        <v>250</v>
      </c>
      <c r="K11" s="331">
        <f t="shared" ref="K11:K37" si="1">K10+1</f>
        <v>2</v>
      </c>
    </row>
    <row r="12" spans="1:17" x14ac:dyDescent="0.3">
      <c r="A12" s="331">
        <f t="shared" si="0"/>
        <v>3</v>
      </c>
      <c r="B12" s="350" t="s">
        <v>119</v>
      </c>
      <c r="C12" s="349">
        <v>0</v>
      </c>
      <c r="D12" s="349">
        <f>C12</f>
        <v>0</v>
      </c>
      <c r="E12" s="349">
        <f>D12</f>
        <v>0</v>
      </c>
      <c r="F12" s="349">
        <f>E12</f>
        <v>0</v>
      </c>
      <c r="G12" s="349">
        <f>F12</f>
        <v>0</v>
      </c>
      <c r="H12" s="349">
        <f>G12</f>
        <v>0</v>
      </c>
      <c r="I12" s="350"/>
      <c r="J12" s="354"/>
      <c r="K12" s="331">
        <f t="shared" si="1"/>
        <v>3</v>
      </c>
    </row>
    <row r="13" spans="1:17" ht="19.5" thickBot="1" x14ac:dyDescent="0.35">
      <c r="A13" s="331">
        <f t="shared" si="0"/>
        <v>4</v>
      </c>
      <c r="B13" s="350" t="s">
        <v>120</v>
      </c>
      <c r="C13" s="355">
        <f t="shared" ref="C13:H13" si="2">C11*C12</f>
        <v>0</v>
      </c>
      <c r="D13" s="355">
        <f t="shared" si="2"/>
        <v>0</v>
      </c>
      <c r="E13" s="355">
        <f t="shared" si="2"/>
        <v>0</v>
      </c>
      <c r="F13" s="355">
        <f t="shared" si="2"/>
        <v>0</v>
      </c>
      <c r="G13" s="355">
        <f t="shared" si="2"/>
        <v>0</v>
      </c>
      <c r="H13" s="355">
        <f t="shared" si="2"/>
        <v>0</v>
      </c>
      <c r="I13" s="350"/>
      <c r="J13" s="354" t="s">
        <v>121</v>
      </c>
      <c r="K13" s="331">
        <f t="shared" si="1"/>
        <v>4</v>
      </c>
    </row>
    <row r="14" spans="1:17" ht="19.5" thickTop="1" x14ac:dyDescent="0.3">
      <c r="A14" s="331">
        <f t="shared" si="0"/>
        <v>5</v>
      </c>
      <c r="B14" s="350"/>
      <c r="C14" s="350"/>
      <c r="D14" s="350"/>
      <c r="E14" s="350"/>
      <c r="F14" s="350"/>
      <c r="G14" s="350"/>
      <c r="H14" s="350"/>
      <c r="I14" s="350"/>
      <c r="J14" s="50"/>
      <c r="K14" s="331">
        <f t="shared" si="1"/>
        <v>5</v>
      </c>
    </row>
    <row r="15" spans="1:17" x14ac:dyDescent="0.3">
      <c r="A15" s="331">
        <f t="shared" si="0"/>
        <v>6</v>
      </c>
      <c r="B15" s="356" t="s">
        <v>251</v>
      </c>
      <c r="C15" s="350"/>
      <c r="D15" s="350"/>
      <c r="E15" s="350"/>
      <c r="F15" s="350"/>
      <c r="G15" s="350"/>
      <c r="H15" s="350"/>
      <c r="I15" s="350"/>
      <c r="J15" s="354"/>
      <c r="K15" s="331">
        <f t="shared" si="1"/>
        <v>6</v>
      </c>
    </row>
    <row r="16" spans="1:17" x14ac:dyDescent="0.3">
      <c r="A16" s="331">
        <f t="shared" si="0"/>
        <v>7</v>
      </c>
      <c r="B16" s="350" t="s">
        <v>125</v>
      </c>
      <c r="C16" s="353">
        <f>'Workpaper 1'!C164*1000</f>
        <v>11856</v>
      </c>
      <c r="D16" s="353">
        <f>'Workpaper 1'!D164*1000</f>
        <v>15980</v>
      </c>
      <c r="E16" s="353">
        <f>'Workpaper 1'!E164*1000</f>
        <v>15650</v>
      </c>
      <c r="F16" s="353">
        <f>'Workpaper 1'!F164*1000</f>
        <v>15840</v>
      </c>
      <c r="G16" s="353">
        <f>'Workpaper 1'!G164*1000</f>
        <v>8780</v>
      </c>
      <c r="H16" s="353">
        <f>'Workpaper 1'!H164*1000</f>
        <v>8690</v>
      </c>
      <c r="I16" s="350"/>
      <c r="J16" s="354" t="s">
        <v>252</v>
      </c>
      <c r="K16" s="331">
        <f t="shared" si="1"/>
        <v>7</v>
      </c>
    </row>
    <row r="17" spans="1:11" x14ac:dyDescent="0.3">
      <c r="A17" s="331">
        <f t="shared" si="0"/>
        <v>8</v>
      </c>
      <c r="B17" s="350"/>
      <c r="C17" s="357"/>
      <c r="D17" s="357"/>
      <c r="E17" s="357"/>
      <c r="F17" s="357"/>
      <c r="G17" s="357"/>
      <c r="H17" s="357"/>
      <c r="I17" s="350"/>
      <c r="J17" s="333"/>
      <c r="K17" s="331">
        <f t="shared" si="1"/>
        <v>8</v>
      </c>
    </row>
    <row r="18" spans="1:11" x14ac:dyDescent="0.3">
      <c r="A18" s="331">
        <f t="shared" si="0"/>
        <v>9</v>
      </c>
      <c r="B18" s="352" t="s">
        <v>167</v>
      </c>
      <c r="C18" s="357"/>
      <c r="D18" s="357"/>
      <c r="E18" s="357"/>
      <c r="F18" s="357"/>
      <c r="G18" s="357"/>
      <c r="H18" s="357"/>
      <c r="I18" s="350"/>
      <c r="J18" s="333"/>
      <c r="K18" s="331">
        <f t="shared" si="1"/>
        <v>9</v>
      </c>
    </row>
    <row r="19" spans="1:11" x14ac:dyDescent="0.3">
      <c r="A19" s="331">
        <f t="shared" si="0"/>
        <v>10</v>
      </c>
      <c r="B19" s="352" t="s">
        <v>136</v>
      </c>
      <c r="C19" s="350"/>
      <c r="D19" s="350"/>
      <c r="E19" s="350"/>
      <c r="F19" s="350"/>
      <c r="G19" s="350"/>
      <c r="H19" s="350"/>
      <c r="I19" s="350"/>
      <c r="J19" s="331"/>
      <c r="K19" s="331">
        <f t="shared" si="1"/>
        <v>10</v>
      </c>
    </row>
    <row r="20" spans="1:11" x14ac:dyDescent="0.3">
      <c r="A20" s="331">
        <f t="shared" si="0"/>
        <v>11</v>
      </c>
      <c r="B20" s="350" t="s">
        <v>138</v>
      </c>
      <c r="C20" s="358">
        <f>'[2]Transmission Rates Summary'!$E$42</f>
        <v>0.75</v>
      </c>
      <c r="D20" s="358">
        <f t="shared" ref="D20:H20" si="3">C20</f>
        <v>0.75</v>
      </c>
      <c r="E20" s="358">
        <f t="shared" si="3"/>
        <v>0.75</v>
      </c>
      <c r="F20" s="358">
        <f t="shared" si="3"/>
        <v>0.75</v>
      </c>
      <c r="G20" s="358">
        <f t="shared" si="3"/>
        <v>0.75</v>
      </c>
      <c r="H20" s="358">
        <f t="shared" si="3"/>
        <v>0.75</v>
      </c>
      <c r="I20" s="350"/>
      <c r="J20" s="354" t="s">
        <v>253</v>
      </c>
      <c r="K20" s="331">
        <f t="shared" si="1"/>
        <v>11</v>
      </c>
    </row>
    <row r="21" spans="1:11" x14ac:dyDescent="0.3">
      <c r="A21" s="331">
        <f t="shared" si="0"/>
        <v>12</v>
      </c>
      <c r="B21" s="352" t="s">
        <v>171</v>
      </c>
      <c r="C21" s="358"/>
      <c r="D21" s="359"/>
      <c r="E21" s="359"/>
      <c r="F21" s="359"/>
      <c r="G21" s="359"/>
      <c r="H21" s="359"/>
      <c r="I21" s="350"/>
      <c r="J21" s="331"/>
      <c r="K21" s="331">
        <f t="shared" si="1"/>
        <v>12</v>
      </c>
    </row>
    <row r="22" spans="1:11" x14ac:dyDescent="0.3">
      <c r="A22" s="331">
        <f t="shared" si="0"/>
        <v>13</v>
      </c>
      <c r="B22" s="352" t="s">
        <v>142</v>
      </c>
      <c r="C22" s="357"/>
      <c r="D22" s="357"/>
      <c r="E22" s="357"/>
      <c r="F22" s="357"/>
      <c r="G22" s="357"/>
      <c r="H22" s="357"/>
      <c r="I22" s="350"/>
      <c r="J22" s="333"/>
      <c r="K22" s="331">
        <f t="shared" si="1"/>
        <v>13</v>
      </c>
    </row>
    <row r="23" spans="1:11" x14ac:dyDescent="0.3">
      <c r="A23" s="331">
        <f t="shared" si="0"/>
        <v>14</v>
      </c>
      <c r="B23" s="350" t="s">
        <v>125</v>
      </c>
      <c r="C23" s="40">
        <f>C16*C20</f>
        <v>8892</v>
      </c>
      <c r="D23" s="40">
        <f>D20*D16</f>
        <v>11985</v>
      </c>
      <c r="E23" s="40">
        <f>E20*E16</f>
        <v>11737.5</v>
      </c>
      <c r="F23" s="40">
        <f>F20*F16</f>
        <v>11880</v>
      </c>
      <c r="G23" s="40">
        <f>G20*G16</f>
        <v>6585</v>
      </c>
      <c r="H23" s="40">
        <f>H20*H16</f>
        <v>6517.5</v>
      </c>
      <c r="I23" s="350"/>
      <c r="J23" s="360" t="s">
        <v>254</v>
      </c>
      <c r="K23" s="331">
        <f t="shared" si="1"/>
        <v>14</v>
      </c>
    </row>
    <row r="24" spans="1:11" x14ac:dyDescent="0.3">
      <c r="A24" s="331">
        <f t="shared" si="0"/>
        <v>15</v>
      </c>
      <c r="B24" s="350"/>
      <c r="C24" s="357"/>
      <c r="D24" s="357"/>
      <c r="E24" s="357"/>
      <c r="F24" s="357"/>
      <c r="G24" s="357"/>
      <c r="H24" s="357"/>
      <c r="I24" s="350"/>
      <c r="J24" s="333"/>
      <c r="K24" s="331">
        <f t="shared" si="1"/>
        <v>15</v>
      </c>
    </row>
    <row r="25" spans="1:11" x14ac:dyDescent="0.3">
      <c r="A25" s="331">
        <f t="shared" si="0"/>
        <v>16</v>
      </c>
      <c r="B25" s="361" t="s">
        <v>208</v>
      </c>
      <c r="C25" s="357"/>
      <c r="D25" s="357"/>
      <c r="E25" s="357"/>
      <c r="F25" s="357"/>
      <c r="G25" s="357"/>
      <c r="H25" s="357"/>
      <c r="I25" s="350"/>
      <c r="J25" s="333"/>
      <c r="K25" s="331">
        <f t="shared" si="1"/>
        <v>16</v>
      </c>
    </row>
    <row r="26" spans="1:11" ht="22.5" x14ac:dyDescent="0.3">
      <c r="A26" s="331">
        <f t="shared" si="0"/>
        <v>17</v>
      </c>
      <c r="B26" s="361" t="s">
        <v>209</v>
      </c>
      <c r="C26" s="357"/>
      <c r="D26" s="357"/>
      <c r="E26" s="357"/>
      <c r="F26" s="357"/>
      <c r="G26" s="357"/>
      <c r="H26" s="357"/>
      <c r="I26" s="350"/>
      <c r="J26" s="333"/>
      <c r="K26" s="331">
        <f t="shared" si="1"/>
        <v>17</v>
      </c>
    </row>
    <row r="27" spans="1:11" x14ac:dyDescent="0.3">
      <c r="A27" s="331">
        <f t="shared" si="0"/>
        <v>18</v>
      </c>
      <c r="B27" s="362" t="s">
        <v>125</v>
      </c>
      <c r="C27" s="357">
        <f>'Workpaper 1'!C166*1000</f>
        <v>0</v>
      </c>
      <c r="D27" s="357">
        <f>'Workpaper 1'!D166*1000</f>
        <v>0</v>
      </c>
      <c r="E27" s="357">
        <f>'Workpaper 1'!E166*1000</f>
        <v>0</v>
      </c>
      <c r="F27" s="357">
        <f>'Workpaper 1'!F166*1000</f>
        <v>0</v>
      </c>
      <c r="G27" s="357">
        <f>'Workpaper 1'!G166*1000</f>
        <v>0</v>
      </c>
      <c r="H27" s="357">
        <f>'Workpaper 1'!H166*1000</f>
        <v>0</v>
      </c>
      <c r="I27" s="350"/>
      <c r="J27" s="354" t="s">
        <v>255</v>
      </c>
      <c r="K27" s="331">
        <f t="shared" si="1"/>
        <v>18</v>
      </c>
    </row>
    <row r="28" spans="1:11" x14ac:dyDescent="0.3">
      <c r="A28" s="331">
        <f t="shared" si="0"/>
        <v>19</v>
      </c>
      <c r="B28" s="350"/>
      <c r="C28" s="357"/>
      <c r="D28" s="357"/>
      <c r="E28" s="357"/>
      <c r="F28" s="357"/>
      <c r="G28" s="357"/>
      <c r="H28" s="357"/>
      <c r="I28" s="350"/>
      <c r="J28" s="333"/>
      <c r="K28" s="331">
        <f t="shared" si="1"/>
        <v>19</v>
      </c>
    </row>
    <row r="29" spans="1:11" x14ac:dyDescent="0.3">
      <c r="A29" s="331">
        <f>A28+1</f>
        <v>20</v>
      </c>
      <c r="B29" s="363" t="s">
        <v>214</v>
      </c>
      <c r="C29" s="357"/>
      <c r="D29" s="357"/>
      <c r="E29" s="357"/>
      <c r="F29" s="357"/>
      <c r="G29" s="357"/>
      <c r="H29" s="357"/>
      <c r="I29" s="350"/>
      <c r="J29" s="333"/>
      <c r="K29" s="331">
        <f>K28+1</f>
        <v>20</v>
      </c>
    </row>
    <row r="30" spans="1:11" x14ac:dyDescent="0.3">
      <c r="A30" s="331">
        <f t="shared" si="0"/>
        <v>21</v>
      </c>
      <c r="B30" s="363" t="s">
        <v>215</v>
      </c>
      <c r="C30" s="357"/>
      <c r="D30" s="357"/>
      <c r="E30" s="357"/>
      <c r="F30" s="357"/>
      <c r="G30" s="357"/>
      <c r="H30" s="357"/>
      <c r="I30" s="350"/>
      <c r="J30" s="333"/>
      <c r="K30" s="331">
        <f t="shared" si="1"/>
        <v>21</v>
      </c>
    </row>
    <row r="31" spans="1:11" x14ac:dyDescent="0.3">
      <c r="A31" s="331">
        <f t="shared" si="0"/>
        <v>22</v>
      </c>
      <c r="B31" s="362" t="s">
        <v>125</v>
      </c>
      <c r="C31" s="51">
        <f>'[2]Transmission Rates Summary'!$E$45</f>
        <v>1.53</v>
      </c>
      <c r="D31" s="51">
        <f>C31</f>
        <v>1.53</v>
      </c>
      <c r="E31" s="51">
        <f t="shared" ref="E31:G31" si="4">D31</f>
        <v>1.53</v>
      </c>
      <c r="F31" s="51">
        <f t="shared" si="4"/>
        <v>1.53</v>
      </c>
      <c r="G31" s="51">
        <f t="shared" si="4"/>
        <v>1.53</v>
      </c>
      <c r="H31" s="51">
        <f>'[2]Transmission Rates Summary'!$E$44</f>
        <v>1.53</v>
      </c>
      <c r="I31" s="350"/>
      <c r="J31" s="354" t="s">
        <v>256</v>
      </c>
      <c r="K31" s="331">
        <f t="shared" si="1"/>
        <v>22</v>
      </c>
    </row>
    <row r="32" spans="1:11" x14ac:dyDescent="0.3">
      <c r="A32" s="331">
        <f t="shared" si="0"/>
        <v>23</v>
      </c>
      <c r="B32" s="362"/>
      <c r="C32" s="357"/>
      <c r="D32" s="357"/>
      <c r="E32" s="357"/>
      <c r="F32" s="357"/>
      <c r="G32" s="357"/>
      <c r="H32" s="357"/>
      <c r="I32" s="350"/>
      <c r="J32" s="333"/>
      <c r="K32" s="331">
        <f t="shared" si="1"/>
        <v>23</v>
      </c>
    </row>
    <row r="33" spans="1:17" x14ac:dyDescent="0.3">
      <c r="A33" s="331">
        <f t="shared" si="0"/>
        <v>24</v>
      </c>
      <c r="B33" s="363" t="s">
        <v>219</v>
      </c>
      <c r="C33" s="357"/>
      <c r="D33" s="357"/>
      <c r="E33" s="357"/>
      <c r="F33" s="357"/>
      <c r="G33" s="357"/>
      <c r="H33" s="357"/>
      <c r="I33" s="350"/>
      <c r="J33" s="333"/>
      <c r="K33" s="331">
        <f t="shared" si="1"/>
        <v>24</v>
      </c>
    </row>
    <row r="34" spans="1:17" x14ac:dyDescent="0.3">
      <c r="A34" s="331">
        <f t="shared" si="0"/>
        <v>25</v>
      </c>
      <c r="B34" s="363" t="s">
        <v>220</v>
      </c>
      <c r="C34" s="357"/>
      <c r="D34" s="357"/>
      <c r="E34" s="357"/>
      <c r="F34" s="357"/>
      <c r="G34" s="357"/>
      <c r="H34" s="357"/>
      <c r="I34" s="350"/>
      <c r="J34" s="333"/>
      <c r="K34" s="331">
        <f t="shared" si="1"/>
        <v>25</v>
      </c>
    </row>
    <row r="35" spans="1:17" x14ac:dyDescent="0.3">
      <c r="A35" s="331">
        <f t="shared" si="0"/>
        <v>26</v>
      </c>
      <c r="B35" s="362" t="s">
        <v>125</v>
      </c>
      <c r="C35" s="40">
        <f t="shared" ref="C35:H35" si="5">C27*C31</f>
        <v>0</v>
      </c>
      <c r="D35" s="40">
        <f t="shared" si="5"/>
        <v>0</v>
      </c>
      <c r="E35" s="40">
        <f t="shared" si="5"/>
        <v>0</v>
      </c>
      <c r="F35" s="40">
        <f t="shared" si="5"/>
        <v>0</v>
      </c>
      <c r="G35" s="40">
        <f t="shared" si="5"/>
        <v>0</v>
      </c>
      <c r="H35" s="40">
        <f t="shared" si="5"/>
        <v>0</v>
      </c>
      <c r="I35" s="350"/>
      <c r="J35" s="360" t="s">
        <v>257</v>
      </c>
      <c r="K35" s="331">
        <f t="shared" si="1"/>
        <v>26</v>
      </c>
    </row>
    <row r="36" spans="1:17" x14ac:dyDescent="0.3">
      <c r="A36" s="331">
        <f t="shared" si="0"/>
        <v>27</v>
      </c>
      <c r="B36" s="362"/>
      <c r="C36" s="357"/>
      <c r="D36" s="357"/>
      <c r="E36" s="357"/>
      <c r="F36" s="357"/>
      <c r="G36" s="357"/>
      <c r="H36" s="357"/>
      <c r="I36" s="350"/>
      <c r="J36" s="360"/>
      <c r="K36" s="331">
        <f t="shared" si="1"/>
        <v>27</v>
      </c>
    </row>
    <row r="37" spans="1:17" x14ac:dyDescent="0.3">
      <c r="A37" s="331">
        <f t="shared" si="0"/>
        <v>28</v>
      </c>
      <c r="B37" s="362" t="s">
        <v>258</v>
      </c>
      <c r="C37" s="40">
        <f t="shared" ref="C37:H37" si="6">C13+C23+C35</f>
        <v>8892</v>
      </c>
      <c r="D37" s="40">
        <f t="shared" si="6"/>
        <v>11985</v>
      </c>
      <c r="E37" s="40">
        <f t="shared" si="6"/>
        <v>11737.5</v>
      </c>
      <c r="F37" s="40">
        <f t="shared" si="6"/>
        <v>11880</v>
      </c>
      <c r="G37" s="40">
        <f t="shared" si="6"/>
        <v>6585</v>
      </c>
      <c r="H37" s="40">
        <f t="shared" si="6"/>
        <v>6517.5</v>
      </c>
      <c r="I37" s="350"/>
      <c r="J37" s="360" t="s">
        <v>259</v>
      </c>
      <c r="K37" s="331">
        <f t="shared" si="1"/>
        <v>28</v>
      </c>
    </row>
    <row r="38" spans="1:17" x14ac:dyDescent="0.3">
      <c r="A38" s="334"/>
      <c r="B38" s="349"/>
      <c r="C38" s="349"/>
      <c r="D38" s="349"/>
      <c r="E38" s="349"/>
      <c r="F38" s="349"/>
      <c r="G38" s="349"/>
      <c r="H38" s="349"/>
      <c r="I38" s="349"/>
      <c r="J38" s="334"/>
      <c r="K38" s="334"/>
    </row>
    <row r="39" spans="1:17" x14ac:dyDescent="0.3">
      <c r="A39" s="342"/>
      <c r="O39" s="341"/>
      <c r="P39" s="342"/>
      <c r="Q39" s="342"/>
    </row>
    <row r="40" spans="1:17" x14ac:dyDescent="0.3">
      <c r="A40" s="345" t="s">
        <v>8</v>
      </c>
      <c r="B40" s="336"/>
      <c r="C40" s="345" t="str">
        <f t="shared" ref="C40:I40" si="7">C7</f>
        <v>(A)</v>
      </c>
      <c r="D40" s="345" t="str">
        <f t="shared" si="7"/>
        <v>(B)</v>
      </c>
      <c r="E40" s="345" t="str">
        <f t="shared" si="7"/>
        <v>(C)</v>
      </c>
      <c r="F40" s="345" t="str">
        <f t="shared" si="7"/>
        <v>(D)</v>
      </c>
      <c r="G40" s="345" t="str">
        <f t="shared" si="7"/>
        <v>(E)</v>
      </c>
      <c r="H40" s="345" t="str">
        <f t="shared" si="7"/>
        <v>(F)</v>
      </c>
      <c r="I40" s="345" t="str">
        <f t="shared" si="7"/>
        <v>(G)</v>
      </c>
      <c r="J40" s="336"/>
      <c r="K40" s="345" t="s">
        <v>8</v>
      </c>
      <c r="O40" s="341"/>
      <c r="P40" s="342"/>
      <c r="Q40" s="342"/>
    </row>
    <row r="41" spans="1:17" ht="22.5" x14ac:dyDescent="0.3">
      <c r="A41" s="334" t="s">
        <v>10</v>
      </c>
      <c r="B41" s="334" t="s">
        <v>114</v>
      </c>
      <c r="C41" s="347">
        <v>45839</v>
      </c>
      <c r="D41" s="347">
        <v>45870</v>
      </c>
      <c r="E41" s="347">
        <v>45901</v>
      </c>
      <c r="F41" s="347">
        <v>45931</v>
      </c>
      <c r="G41" s="347">
        <v>45962</v>
      </c>
      <c r="H41" s="347">
        <v>45992</v>
      </c>
      <c r="I41" s="364" t="s">
        <v>61</v>
      </c>
      <c r="J41" s="337" t="s">
        <v>440</v>
      </c>
      <c r="K41" s="334" t="s">
        <v>10</v>
      </c>
      <c r="O41" s="341"/>
      <c r="P41" s="342"/>
      <c r="Q41" s="342"/>
    </row>
    <row r="42" spans="1:17" x14ac:dyDescent="0.3">
      <c r="A42" s="331"/>
      <c r="B42" s="350"/>
      <c r="C42" s="351"/>
      <c r="D42" s="351"/>
      <c r="E42" s="351"/>
      <c r="F42" s="351"/>
      <c r="G42" s="351"/>
      <c r="H42" s="351"/>
      <c r="I42" s="331"/>
      <c r="J42" s="331"/>
      <c r="K42" s="331"/>
      <c r="O42" s="341"/>
      <c r="P42" s="342"/>
      <c r="Q42" s="342"/>
    </row>
    <row r="43" spans="1:17" x14ac:dyDescent="0.3">
      <c r="A43" s="365">
        <f>A37+1</f>
        <v>29</v>
      </c>
      <c r="B43" s="352" t="s">
        <v>116</v>
      </c>
      <c r="C43" s="350"/>
      <c r="D43" s="350"/>
      <c r="E43" s="350"/>
      <c r="F43" s="350"/>
      <c r="G43" s="350"/>
      <c r="H43" s="350"/>
      <c r="I43" s="350"/>
      <c r="J43" s="338"/>
      <c r="K43" s="331">
        <f>K37+1</f>
        <v>29</v>
      </c>
      <c r="O43" s="341"/>
      <c r="P43" s="342"/>
      <c r="Q43" s="342"/>
    </row>
    <row r="44" spans="1:17" x14ac:dyDescent="0.3">
      <c r="A44" s="365">
        <f t="shared" ref="A44:A71" si="8">A43+1</f>
        <v>30</v>
      </c>
      <c r="B44" s="350" t="s">
        <v>117</v>
      </c>
      <c r="C44" s="353">
        <f>'Workpaper 1'!I162*1000</f>
        <v>125900</v>
      </c>
      <c r="D44" s="353">
        <f>'Workpaper 1'!J162*1000</f>
        <v>50</v>
      </c>
      <c r="E44" s="353">
        <f>'Workpaper 1'!K162*1000</f>
        <v>40380</v>
      </c>
      <c r="F44" s="353">
        <f>'Workpaper 1'!L162*1000</f>
        <v>1332720</v>
      </c>
      <c r="G44" s="353">
        <f>'Workpaper 1'!M162*1000</f>
        <v>1353380</v>
      </c>
      <c r="H44" s="353">
        <f>'Workpaper 1'!N162*1000</f>
        <v>517860</v>
      </c>
      <c r="I44" s="357">
        <f>SUM(C11:H11,C44:H44)</f>
        <v>6718230</v>
      </c>
      <c r="J44" s="354" t="str">
        <f>J11</f>
        <v>(Page BG-21.3, Line 160) x 1000</v>
      </c>
      <c r="K44" s="331">
        <f t="shared" ref="K44:K71" si="9">K43+1</f>
        <v>30</v>
      </c>
      <c r="O44" s="341"/>
      <c r="P44" s="342"/>
      <c r="Q44" s="342"/>
    </row>
    <row r="45" spans="1:17" x14ac:dyDescent="0.3">
      <c r="A45" s="365">
        <f t="shared" si="8"/>
        <v>31</v>
      </c>
      <c r="B45" s="350" t="s">
        <v>119</v>
      </c>
      <c r="C45" s="349">
        <v>0</v>
      </c>
      <c r="D45" s="349">
        <f>C45</f>
        <v>0</v>
      </c>
      <c r="E45" s="349">
        <f>D45</f>
        <v>0</v>
      </c>
      <c r="F45" s="349">
        <f>E45</f>
        <v>0</v>
      </c>
      <c r="G45" s="349">
        <f>F45</f>
        <v>0</v>
      </c>
      <c r="H45" s="349">
        <f>G45</f>
        <v>0</v>
      </c>
      <c r="I45" s="357"/>
      <c r="J45" s="354"/>
      <c r="K45" s="331">
        <f t="shared" si="9"/>
        <v>31</v>
      </c>
      <c r="O45" s="341"/>
      <c r="P45" s="342"/>
      <c r="Q45" s="342"/>
    </row>
    <row r="46" spans="1:17" ht="19.5" thickBot="1" x14ac:dyDescent="0.35">
      <c r="A46" s="365">
        <f t="shared" si="8"/>
        <v>32</v>
      </c>
      <c r="B46" s="350" t="s">
        <v>120</v>
      </c>
      <c r="C46" s="355">
        <f t="shared" ref="C46:H46" si="10">C44*C45</f>
        <v>0</v>
      </c>
      <c r="D46" s="355">
        <f t="shared" si="10"/>
        <v>0</v>
      </c>
      <c r="E46" s="355">
        <f t="shared" si="10"/>
        <v>0</v>
      </c>
      <c r="F46" s="355">
        <f t="shared" si="10"/>
        <v>0</v>
      </c>
      <c r="G46" s="355">
        <f t="shared" si="10"/>
        <v>0</v>
      </c>
      <c r="H46" s="355">
        <f t="shared" si="10"/>
        <v>0</v>
      </c>
      <c r="I46" s="366">
        <f>SUM(C17:H17,C46:H46)</f>
        <v>0</v>
      </c>
      <c r="J46" s="354" t="s">
        <v>260</v>
      </c>
      <c r="K46" s="331">
        <f t="shared" si="9"/>
        <v>32</v>
      </c>
      <c r="O46" s="341"/>
      <c r="P46" s="342"/>
      <c r="Q46" s="342"/>
    </row>
    <row r="47" spans="1:17" ht="19.5" thickTop="1" x14ac:dyDescent="0.3">
      <c r="A47" s="365">
        <f t="shared" si="8"/>
        <v>33</v>
      </c>
      <c r="B47" s="350"/>
      <c r="C47" s="350"/>
      <c r="D47" s="350"/>
      <c r="E47" s="350"/>
      <c r="F47" s="350"/>
      <c r="G47" s="350"/>
      <c r="H47" s="350"/>
      <c r="I47" s="350"/>
      <c r="J47" s="50"/>
      <c r="K47" s="331">
        <f t="shared" si="9"/>
        <v>33</v>
      </c>
      <c r="O47" s="341"/>
      <c r="P47" s="342"/>
      <c r="Q47" s="342"/>
    </row>
    <row r="48" spans="1:17" x14ac:dyDescent="0.3">
      <c r="A48" s="365">
        <f t="shared" si="8"/>
        <v>34</v>
      </c>
      <c r="B48" s="356" t="s">
        <v>251</v>
      </c>
      <c r="C48" s="350"/>
      <c r="D48" s="350"/>
      <c r="E48" s="350"/>
      <c r="F48" s="350"/>
      <c r="G48" s="350"/>
      <c r="H48" s="350"/>
      <c r="I48" s="350"/>
      <c r="J48" s="354"/>
      <c r="K48" s="331">
        <f t="shared" si="9"/>
        <v>34</v>
      </c>
      <c r="O48" s="341"/>
      <c r="P48" s="342"/>
      <c r="Q48" s="342"/>
    </row>
    <row r="49" spans="1:17" x14ac:dyDescent="0.3">
      <c r="A49" s="365">
        <f t="shared" si="8"/>
        <v>35</v>
      </c>
      <c r="B49" s="350" t="s">
        <v>125</v>
      </c>
      <c r="C49" s="353">
        <f>'Workpaper 1'!I164*1000</f>
        <v>9890</v>
      </c>
      <c r="D49" s="353">
        <f>'Workpaper 1'!J164*1000</f>
        <v>7990</v>
      </c>
      <c r="E49" s="353">
        <f>'Workpaper 1'!K164*1000</f>
        <v>7990</v>
      </c>
      <c r="F49" s="353">
        <f>'Workpaper 1'!L164*1000</f>
        <v>16940</v>
      </c>
      <c r="G49" s="353">
        <f>'Workpaper 1'!M164*1000</f>
        <v>16610</v>
      </c>
      <c r="H49" s="353">
        <f>'Workpaper 1'!N164*1000</f>
        <v>9790</v>
      </c>
      <c r="I49" s="357">
        <f>SUM(C16:H16,C49:H49)</f>
        <v>146006</v>
      </c>
      <c r="J49" s="354" t="str">
        <f>J16</f>
        <v>(Page BG-21.3, Line 162) x 1000</v>
      </c>
      <c r="K49" s="331">
        <f t="shared" si="9"/>
        <v>35</v>
      </c>
      <c r="O49" s="341"/>
      <c r="P49" s="342"/>
      <c r="Q49" s="342"/>
    </row>
    <row r="50" spans="1:17" x14ac:dyDescent="0.3">
      <c r="A50" s="365">
        <f t="shared" si="8"/>
        <v>36</v>
      </c>
      <c r="B50" s="350"/>
      <c r="C50" s="357"/>
      <c r="D50" s="357"/>
      <c r="E50" s="357"/>
      <c r="F50" s="357"/>
      <c r="G50" s="357"/>
      <c r="H50" s="357"/>
      <c r="I50" s="350"/>
      <c r="J50" s="333"/>
      <c r="K50" s="331">
        <f t="shared" si="9"/>
        <v>36</v>
      </c>
      <c r="O50" s="341"/>
      <c r="P50" s="342"/>
      <c r="Q50" s="342"/>
    </row>
    <row r="51" spans="1:17" x14ac:dyDescent="0.3">
      <c r="A51" s="365">
        <f t="shared" si="8"/>
        <v>37</v>
      </c>
      <c r="B51" s="352" t="s">
        <v>167</v>
      </c>
      <c r="C51" s="357"/>
      <c r="D51" s="357"/>
      <c r="E51" s="357"/>
      <c r="F51" s="357"/>
      <c r="G51" s="357"/>
      <c r="H51" s="357"/>
      <c r="I51" s="350"/>
      <c r="J51" s="333"/>
      <c r="K51" s="331">
        <f t="shared" si="9"/>
        <v>37</v>
      </c>
      <c r="O51" s="341"/>
      <c r="P51" s="342"/>
      <c r="Q51" s="342"/>
    </row>
    <row r="52" spans="1:17" x14ac:dyDescent="0.3">
      <c r="A52" s="365">
        <f t="shared" si="8"/>
        <v>38</v>
      </c>
      <c r="B52" s="352" t="s">
        <v>136</v>
      </c>
      <c r="C52" s="350"/>
      <c r="D52" s="350"/>
      <c r="E52" s="350"/>
      <c r="F52" s="350"/>
      <c r="G52" s="350"/>
      <c r="H52" s="350"/>
      <c r="I52" s="350"/>
      <c r="J52" s="331"/>
      <c r="K52" s="331">
        <f t="shared" si="9"/>
        <v>38</v>
      </c>
      <c r="O52" s="341"/>
      <c r="P52" s="342"/>
      <c r="Q52" s="342"/>
    </row>
    <row r="53" spans="1:17" x14ac:dyDescent="0.3">
      <c r="A53" s="365">
        <f t="shared" si="8"/>
        <v>39</v>
      </c>
      <c r="B53" s="350" t="s">
        <v>138</v>
      </c>
      <c r="C53" s="358">
        <f>H20</f>
        <v>0.75</v>
      </c>
      <c r="D53" s="358">
        <f t="shared" ref="D53:F53" si="11">C53</f>
        <v>0.75</v>
      </c>
      <c r="E53" s="358">
        <f t="shared" si="11"/>
        <v>0.75</v>
      </c>
      <c r="F53" s="358">
        <f t="shared" si="11"/>
        <v>0.75</v>
      </c>
      <c r="G53" s="358">
        <f>C20</f>
        <v>0.75</v>
      </c>
      <c r="H53" s="358">
        <f>D20</f>
        <v>0.75</v>
      </c>
      <c r="I53" s="357"/>
      <c r="J53" s="354" t="str">
        <f>J20</f>
        <v>Statement BL, Page BL-1, Line 29, Col. C</v>
      </c>
      <c r="K53" s="331">
        <f t="shared" si="9"/>
        <v>39</v>
      </c>
      <c r="O53" s="341"/>
      <c r="P53" s="342"/>
      <c r="Q53" s="342"/>
    </row>
    <row r="54" spans="1:17" x14ac:dyDescent="0.3">
      <c r="A54" s="365">
        <f t="shared" si="8"/>
        <v>40</v>
      </c>
      <c r="B54" s="352" t="s">
        <v>171</v>
      </c>
      <c r="C54" s="358"/>
      <c r="D54" s="359"/>
      <c r="E54" s="359"/>
      <c r="F54" s="359"/>
      <c r="G54" s="359"/>
      <c r="H54" s="359"/>
      <c r="I54" s="350"/>
      <c r="J54" s="331"/>
      <c r="K54" s="331">
        <f t="shared" si="9"/>
        <v>40</v>
      </c>
      <c r="O54" s="341"/>
      <c r="P54" s="342"/>
      <c r="Q54" s="342"/>
    </row>
    <row r="55" spans="1:17" x14ac:dyDescent="0.3">
      <c r="A55" s="365">
        <f t="shared" si="8"/>
        <v>41</v>
      </c>
      <c r="B55" s="352" t="s">
        <v>142</v>
      </c>
      <c r="C55" s="357"/>
      <c r="D55" s="357"/>
      <c r="E55" s="357"/>
      <c r="F55" s="357"/>
      <c r="G55" s="357"/>
      <c r="H55" s="357"/>
      <c r="I55" s="350"/>
      <c r="J55" s="333"/>
      <c r="K55" s="331">
        <f t="shared" si="9"/>
        <v>41</v>
      </c>
      <c r="O55" s="341"/>
      <c r="P55" s="342"/>
      <c r="Q55" s="342"/>
    </row>
    <row r="56" spans="1:17" x14ac:dyDescent="0.3">
      <c r="A56" s="365">
        <f t="shared" si="8"/>
        <v>42</v>
      </c>
      <c r="B56" s="350" t="s">
        <v>125</v>
      </c>
      <c r="C56" s="40">
        <f>C49*C53</f>
        <v>7417.5</v>
      </c>
      <c r="D56" s="40">
        <f>D53*D49</f>
        <v>5992.5</v>
      </c>
      <c r="E56" s="40">
        <f>E53*E49</f>
        <v>5992.5</v>
      </c>
      <c r="F56" s="40">
        <f>F53*F49</f>
        <v>12705</v>
      </c>
      <c r="G56" s="40">
        <f>G53*G49</f>
        <v>12457.5</v>
      </c>
      <c r="H56" s="40">
        <f>H53*H49</f>
        <v>7342.5</v>
      </c>
      <c r="I56" s="357">
        <f>SUM(C23:H23,C56:H56)</f>
        <v>109504.5</v>
      </c>
      <c r="J56" s="360" t="s">
        <v>261</v>
      </c>
      <c r="K56" s="331">
        <f t="shared" si="9"/>
        <v>42</v>
      </c>
      <c r="O56" s="341"/>
      <c r="P56" s="342"/>
      <c r="Q56" s="342"/>
    </row>
    <row r="57" spans="1:17" x14ac:dyDescent="0.3">
      <c r="A57" s="365">
        <f t="shared" si="8"/>
        <v>43</v>
      </c>
      <c r="B57" s="350"/>
      <c r="C57" s="357"/>
      <c r="D57" s="357"/>
      <c r="E57" s="357"/>
      <c r="F57" s="357"/>
      <c r="G57" s="357"/>
      <c r="H57" s="357"/>
      <c r="I57" s="350"/>
      <c r="J57" s="333"/>
      <c r="K57" s="331">
        <f t="shared" si="9"/>
        <v>43</v>
      </c>
      <c r="O57" s="341"/>
      <c r="P57" s="342"/>
      <c r="Q57" s="342"/>
    </row>
    <row r="58" spans="1:17" x14ac:dyDescent="0.3">
      <c r="A58" s="365">
        <f t="shared" si="8"/>
        <v>44</v>
      </c>
      <c r="B58" s="361" t="s">
        <v>208</v>
      </c>
      <c r="C58" s="357"/>
      <c r="D58" s="357"/>
      <c r="E58" s="357"/>
      <c r="F58" s="357"/>
      <c r="G58" s="357"/>
      <c r="H58" s="357"/>
      <c r="I58" s="350"/>
      <c r="J58" s="333"/>
      <c r="K58" s="331">
        <f t="shared" si="9"/>
        <v>44</v>
      </c>
      <c r="O58" s="341"/>
      <c r="P58" s="342"/>
      <c r="Q58" s="342"/>
    </row>
    <row r="59" spans="1:17" ht="22.5" x14ac:dyDescent="0.3">
      <c r="A59" s="365">
        <f t="shared" si="8"/>
        <v>45</v>
      </c>
      <c r="B59" s="361" t="s">
        <v>209</v>
      </c>
      <c r="C59" s="357"/>
      <c r="D59" s="357"/>
      <c r="E59" s="357"/>
      <c r="F59" s="357"/>
      <c r="G59" s="357"/>
      <c r="H59" s="357"/>
      <c r="I59" s="350"/>
      <c r="J59" s="333"/>
      <c r="K59" s="331">
        <f t="shared" si="9"/>
        <v>45</v>
      </c>
      <c r="O59" s="341"/>
      <c r="P59" s="342"/>
      <c r="Q59" s="342"/>
    </row>
    <row r="60" spans="1:17" x14ac:dyDescent="0.3">
      <c r="A60" s="365">
        <f t="shared" si="8"/>
        <v>46</v>
      </c>
      <c r="B60" s="362" t="s">
        <v>125</v>
      </c>
      <c r="C60" s="357">
        <f>'Workpaper 1'!I166*1000</f>
        <v>0</v>
      </c>
      <c r="D60" s="357">
        <f>'Workpaper 1'!J166*1000</f>
        <v>0</v>
      </c>
      <c r="E60" s="357">
        <f>'Workpaper 1'!K166*1000</f>
        <v>0</v>
      </c>
      <c r="F60" s="357">
        <f>'Workpaper 1'!L166*1000</f>
        <v>0</v>
      </c>
      <c r="G60" s="357">
        <f>'Workpaper 1'!M166*1000</f>
        <v>7580</v>
      </c>
      <c r="H60" s="357">
        <f>'Workpaper 1'!N166*1000</f>
        <v>0</v>
      </c>
      <c r="I60" s="357">
        <f>SUM(C27:H27,C60:H60)</f>
        <v>7580</v>
      </c>
      <c r="J60" s="354" t="str">
        <f>J27</f>
        <v>(Page BG-21.3, Line 164) x 1000</v>
      </c>
      <c r="K60" s="331">
        <f t="shared" si="9"/>
        <v>46</v>
      </c>
      <c r="O60" s="341"/>
      <c r="P60" s="342"/>
      <c r="Q60" s="342"/>
    </row>
    <row r="61" spans="1:17" x14ac:dyDescent="0.3">
      <c r="A61" s="365">
        <f t="shared" si="8"/>
        <v>47</v>
      </c>
      <c r="B61" s="350"/>
      <c r="C61" s="357"/>
      <c r="D61" s="357"/>
      <c r="E61" s="357"/>
      <c r="F61" s="357"/>
      <c r="G61" s="357"/>
      <c r="H61" s="357"/>
      <c r="I61" s="350"/>
      <c r="J61" s="333"/>
      <c r="K61" s="331">
        <f t="shared" si="9"/>
        <v>47</v>
      </c>
      <c r="O61" s="341"/>
      <c r="P61" s="342"/>
      <c r="Q61" s="342"/>
    </row>
    <row r="62" spans="1:17" x14ac:dyDescent="0.3">
      <c r="A62" s="365">
        <f t="shared" si="8"/>
        <v>48</v>
      </c>
      <c r="B62" s="363" t="s">
        <v>214</v>
      </c>
      <c r="C62" s="357"/>
      <c r="D62" s="357"/>
      <c r="E62" s="357"/>
      <c r="F62" s="357"/>
      <c r="G62" s="357"/>
      <c r="H62" s="357"/>
      <c r="I62" s="350"/>
      <c r="J62" s="333"/>
      <c r="K62" s="331">
        <f t="shared" si="9"/>
        <v>48</v>
      </c>
      <c r="O62" s="341"/>
      <c r="P62" s="342"/>
      <c r="Q62" s="342"/>
    </row>
    <row r="63" spans="1:17" x14ac:dyDescent="0.3">
      <c r="A63" s="365">
        <f t="shared" si="8"/>
        <v>49</v>
      </c>
      <c r="B63" s="363" t="s">
        <v>215</v>
      </c>
      <c r="C63" s="357"/>
      <c r="D63" s="357"/>
      <c r="E63" s="357"/>
      <c r="F63" s="357"/>
      <c r="G63" s="357"/>
      <c r="H63" s="357"/>
      <c r="I63" s="350"/>
      <c r="J63" s="333"/>
      <c r="K63" s="331">
        <f t="shared" si="9"/>
        <v>49</v>
      </c>
      <c r="O63" s="341"/>
      <c r="P63" s="342"/>
      <c r="Q63" s="342"/>
    </row>
    <row r="64" spans="1:17" x14ac:dyDescent="0.3">
      <c r="A64" s="365">
        <f t="shared" si="8"/>
        <v>50</v>
      </c>
      <c r="B64" s="362" t="s">
        <v>125</v>
      </c>
      <c r="C64" s="39">
        <f>H31</f>
        <v>1.53</v>
      </c>
      <c r="D64" s="39">
        <f>C64</f>
        <v>1.53</v>
      </c>
      <c r="E64" s="39">
        <f t="shared" ref="E64:F64" si="12">D64</f>
        <v>1.53</v>
      </c>
      <c r="F64" s="39">
        <f t="shared" si="12"/>
        <v>1.53</v>
      </c>
      <c r="G64" s="39">
        <f>C31</f>
        <v>1.53</v>
      </c>
      <c r="H64" s="39">
        <f>G64</f>
        <v>1.53</v>
      </c>
      <c r="I64" s="357"/>
      <c r="J64" s="354" t="s">
        <v>256</v>
      </c>
      <c r="K64" s="331">
        <f t="shared" si="9"/>
        <v>50</v>
      </c>
      <c r="O64" s="341"/>
      <c r="P64" s="342"/>
      <c r="Q64" s="342"/>
    </row>
    <row r="65" spans="1:17" x14ac:dyDescent="0.3">
      <c r="A65" s="365">
        <f t="shared" si="8"/>
        <v>51</v>
      </c>
      <c r="B65" s="362"/>
      <c r="C65" s="357"/>
      <c r="D65" s="357"/>
      <c r="E65" s="357"/>
      <c r="F65" s="357"/>
      <c r="G65" s="357"/>
      <c r="H65" s="357"/>
      <c r="I65" s="350"/>
      <c r="J65" s="333"/>
      <c r="K65" s="331">
        <f t="shared" si="9"/>
        <v>51</v>
      </c>
      <c r="O65" s="341"/>
      <c r="P65" s="342"/>
      <c r="Q65" s="342"/>
    </row>
    <row r="66" spans="1:17" x14ac:dyDescent="0.3">
      <c r="A66" s="365">
        <f t="shared" si="8"/>
        <v>52</v>
      </c>
      <c r="B66" s="363" t="s">
        <v>219</v>
      </c>
      <c r="C66" s="357"/>
      <c r="D66" s="357"/>
      <c r="E66" s="357"/>
      <c r="F66" s="357"/>
      <c r="G66" s="357"/>
      <c r="H66" s="357"/>
      <c r="I66" s="350"/>
      <c r="J66" s="333"/>
      <c r="K66" s="331">
        <f t="shared" si="9"/>
        <v>52</v>
      </c>
      <c r="O66" s="341"/>
      <c r="P66" s="342"/>
      <c r="Q66" s="342"/>
    </row>
    <row r="67" spans="1:17" x14ac:dyDescent="0.3">
      <c r="A67" s="365">
        <f t="shared" si="8"/>
        <v>53</v>
      </c>
      <c r="B67" s="363" t="s">
        <v>220</v>
      </c>
      <c r="C67" s="357"/>
      <c r="D67" s="357"/>
      <c r="E67" s="357"/>
      <c r="F67" s="357"/>
      <c r="G67" s="357"/>
      <c r="H67" s="357"/>
      <c r="I67" s="350"/>
      <c r="J67" s="333"/>
      <c r="K67" s="331">
        <f t="shared" si="9"/>
        <v>53</v>
      </c>
      <c r="O67" s="341"/>
      <c r="P67" s="342"/>
      <c r="Q67" s="342"/>
    </row>
    <row r="68" spans="1:17" x14ac:dyDescent="0.3">
      <c r="A68" s="365">
        <f t="shared" si="8"/>
        <v>54</v>
      </c>
      <c r="B68" s="362" t="s">
        <v>125</v>
      </c>
      <c r="C68" s="40">
        <f>C60*C64</f>
        <v>0</v>
      </c>
      <c r="D68" s="40">
        <f t="shared" ref="D68:H68" si="13">D60*D64</f>
        <v>0</v>
      </c>
      <c r="E68" s="40">
        <f t="shared" si="13"/>
        <v>0</v>
      </c>
      <c r="F68" s="40">
        <f t="shared" si="13"/>
        <v>0</v>
      </c>
      <c r="G68" s="40">
        <f t="shared" si="13"/>
        <v>11597.4</v>
      </c>
      <c r="H68" s="40">
        <f t="shared" si="13"/>
        <v>0</v>
      </c>
      <c r="I68" s="357">
        <f>SUM(C35:H35,C68:H68)</f>
        <v>11597.4</v>
      </c>
      <c r="J68" s="360" t="s">
        <v>262</v>
      </c>
      <c r="K68" s="331">
        <f t="shared" si="9"/>
        <v>54</v>
      </c>
      <c r="O68" s="341"/>
      <c r="P68" s="342"/>
      <c r="Q68" s="342"/>
    </row>
    <row r="69" spans="1:17" x14ac:dyDescent="0.3">
      <c r="A69" s="365">
        <f t="shared" si="8"/>
        <v>55</v>
      </c>
      <c r="B69" s="362"/>
      <c r="C69" s="357"/>
      <c r="D69" s="357"/>
      <c r="E69" s="357"/>
      <c r="F69" s="357"/>
      <c r="G69" s="357"/>
      <c r="H69" s="357"/>
      <c r="I69" s="350"/>
      <c r="J69" s="360"/>
      <c r="K69" s="331">
        <f t="shared" si="9"/>
        <v>55</v>
      </c>
      <c r="O69" s="341"/>
      <c r="P69" s="342"/>
      <c r="Q69" s="342"/>
    </row>
    <row r="70" spans="1:17" x14ac:dyDescent="0.3">
      <c r="A70" s="365">
        <f t="shared" si="8"/>
        <v>56</v>
      </c>
      <c r="B70" s="362" t="s">
        <v>258</v>
      </c>
      <c r="C70" s="40">
        <f>C46+C56+C68</f>
        <v>7417.5</v>
      </c>
      <c r="D70" s="40">
        <f t="shared" ref="D70:H70" si="14">D46+D56+D68</f>
        <v>5992.5</v>
      </c>
      <c r="E70" s="40">
        <f t="shared" si="14"/>
        <v>5992.5</v>
      </c>
      <c r="F70" s="40">
        <f t="shared" si="14"/>
        <v>12705</v>
      </c>
      <c r="G70" s="40">
        <f t="shared" si="14"/>
        <v>24054.9</v>
      </c>
      <c r="H70" s="40">
        <f t="shared" si="14"/>
        <v>7342.5</v>
      </c>
      <c r="I70" s="357">
        <f>SUM(C37:H37,C70:H70)</f>
        <v>121101.9</v>
      </c>
      <c r="J70" s="360" t="s">
        <v>263</v>
      </c>
      <c r="K70" s="331">
        <f t="shared" si="9"/>
        <v>56</v>
      </c>
      <c r="O70" s="341"/>
      <c r="P70" s="342"/>
      <c r="Q70" s="342"/>
    </row>
    <row r="71" spans="1:17" x14ac:dyDescent="0.3">
      <c r="A71" s="365">
        <f t="shared" si="8"/>
        <v>57</v>
      </c>
      <c r="B71" s="363"/>
      <c r="C71" s="375"/>
      <c r="D71" s="375"/>
      <c r="E71" s="375"/>
      <c r="F71" s="375"/>
      <c r="G71" s="375"/>
      <c r="H71" s="375"/>
      <c r="I71" s="377"/>
      <c r="J71" s="367"/>
      <c r="K71" s="331">
        <f t="shared" si="9"/>
        <v>57</v>
      </c>
      <c r="O71" s="341"/>
      <c r="P71" s="342"/>
      <c r="Q71" s="342"/>
    </row>
    <row r="72" spans="1:17" x14ac:dyDescent="0.3">
      <c r="A72" s="334"/>
      <c r="B72" s="349"/>
      <c r="C72" s="349"/>
      <c r="D72" s="349"/>
      <c r="E72" s="349"/>
      <c r="F72" s="349"/>
      <c r="G72" s="376"/>
      <c r="H72" s="349"/>
      <c r="I72" s="368"/>
      <c r="J72" s="334"/>
      <c r="K72" s="334"/>
      <c r="O72" s="341"/>
      <c r="P72" s="342"/>
      <c r="Q72" s="342"/>
    </row>
    <row r="73" spans="1:17" x14ac:dyDescent="0.3">
      <c r="B73" s="369" t="s">
        <v>46</v>
      </c>
    </row>
    <row r="74" spans="1:17" ht="22.5" x14ac:dyDescent="0.3">
      <c r="A74" s="370">
        <v>1</v>
      </c>
      <c r="B74" s="335" t="s">
        <v>472</v>
      </c>
    </row>
    <row r="75" spans="1:17" ht="22.5" x14ac:dyDescent="0.3">
      <c r="A75" s="370">
        <v>2</v>
      </c>
      <c r="B75" s="371" t="s">
        <v>473</v>
      </c>
    </row>
    <row r="76" spans="1:17" ht="22.5" x14ac:dyDescent="0.3">
      <c r="A76" s="370">
        <v>3</v>
      </c>
      <c r="B76" s="335" t="s">
        <v>157</v>
      </c>
    </row>
    <row r="77" spans="1:17" x14ac:dyDescent="0.3">
      <c r="A77" s="342"/>
    </row>
    <row r="78" spans="1:17" x14ac:dyDescent="0.3">
      <c r="A78" s="342"/>
    </row>
    <row r="79" spans="1:17" x14ac:dyDescent="0.3">
      <c r="A79" s="342"/>
    </row>
    <row r="80" spans="1:17" x14ac:dyDescent="0.3">
      <c r="A80" s="342"/>
    </row>
    <row r="81" spans="1:1" x14ac:dyDescent="0.3">
      <c r="A81" s="342"/>
    </row>
    <row r="82" spans="1:1" x14ac:dyDescent="0.3">
      <c r="A82" s="342"/>
    </row>
    <row r="83" spans="1:1" x14ac:dyDescent="0.3">
      <c r="A83" s="342"/>
    </row>
    <row r="84" spans="1:1" x14ac:dyDescent="0.3">
      <c r="A84" s="342"/>
    </row>
    <row r="85" spans="1:1" x14ac:dyDescent="0.3">
      <c r="A85" s="342"/>
    </row>
    <row r="86" spans="1:1" x14ac:dyDescent="0.3">
      <c r="A86" s="342"/>
    </row>
    <row r="87" spans="1:1" x14ac:dyDescent="0.3">
      <c r="A87" s="342"/>
    </row>
    <row r="88" spans="1:1" x14ac:dyDescent="0.3">
      <c r="A88" s="342"/>
    </row>
    <row r="89" spans="1:1" x14ac:dyDescent="0.3">
      <c r="A89" s="342"/>
    </row>
    <row r="90" spans="1:1" x14ac:dyDescent="0.3">
      <c r="A90" s="342"/>
    </row>
    <row r="91" spans="1:1" x14ac:dyDescent="0.3">
      <c r="A91" s="342"/>
    </row>
    <row r="92" spans="1:1" x14ac:dyDescent="0.3">
      <c r="A92" s="342"/>
    </row>
    <row r="93" spans="1:1" x14ac:dyDescent="0.3">
      <c r="A93" s="342"/>
    </row>
    <row r="94" spans="1:1" x14ac:dyDescent="0.3">
      <c r="A94" s="342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BG-SD Unified Port District&amp;C&amp;"Times New Roman,Regular"&amp;9Page BG-&amp;P&amp;12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4"/>
  <sheetViews>
    <sheetView zoomScale="70" zoomScaleNormal="70" zoomScaleSheetLayoutView="70" workbookViewId="0">
      <selection activeCell="C25" sqref="C25"/>
    </sheetView>
  </sheetViews>
  <sheetFormatPr defaultColWidth="6" defaultRowHeight="18.75" x14ac:dyDescent="0.3"/>
  <cols>
    <col min="1" max="1" width="5.5703125" style="179" bestFit="1" customWidth="1"/>
    <col min="2" max="2" width="46.42578125" style="179" customWidth="1"/>
    <col min="3" max="3" width="19.140625" style="179" bestFit="1" customWidth="1"/>
    <col min="4" max="8" width="17.140625" style="179" bestFit="1" customWidth="1"/>
    <col min="9" max="9" width="20.5703125" style="179" bestFit="1" customWidth="1"/>
    <col min="10" max="10" width="54.28515625" style="179" bestFit="1" customWidth="1"/>
    <col min="11" max="11" width="5.5703125" style="179" bestFit="1" customWidth="1"/>
    <col min="12" max="15" width="6" style="179" customWidth="1"/>
    <col min="16" max="16384" width="6" style="179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213"/>
      <c r="M1" s="213"/>
      <c r="N1" s="213"/>
      <c r="O1" s="213"/>
      <c r="P1" s="213"/>
      <c r="Q1" s="213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213"/>
      <c r="M2" s="213"/>
      <c r="N2" s="213"/>
      <c r="O2" s="213"/>
      <c r="P2" s="213"/>
      <c r="Q2" s="213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213"/>
      <c r="M3" s="213"/>
      <c r="N3" s="213"/>
      <c r="O3" s="213"/>
      <c r="P3" s="213"/>
      <c r="Q3" s="213"/>
    </row>
    <row r="4" spans="1:17" ht="18.75" customHeight="1" x14ac:dyDescent="0.3">
      <c r="A4" s="426" t="s">
        <v>264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213"/>
      <c r="M4" s="213"/>
      <c r="N4" s="213"/>
      <c r="O4" s="213"/>
      <c r="P4" s="213"/>
      <c r="Q4" s="213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213"/>
      <c r="M5" s="213"/>
      <c r="N5" s="213"/>
      <c r="O5" s="213"/>
      <c r="P5" s="213"/>
      <c r="Q5" s="213"/>
    </row>
    <row r="6" spans="1:17" x14ac:dyDescent="0.3">
      <c r="A6" s="180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7" x14ac:dyDescent="0.3">
      <c r="A7" s="203" t="s">
        <v>8</v>
      </c>
      <c r="B7" s="204"/>
      <c r="C7" s="203" t="s">
        <v>4</v>
      </c>
      <c r="D7" s="203" t="s">
        <v>5</v>
      </c>
      <c r="E7" s="203" t="s">
        <v>48</v>
      </c>
      <c r="F7" s="203" t="s">
        <v>49</v>
      </c>
      <c r="G7" s="203" t="s">
        <v>50</v>
      </c>
      <c r="H7" s="203" t="s">
        <v>51</v>
      </c>
      <c r="I7" s="203" t="s">
        <v>52</v>
      </c>
      <c r="J7" s="211"/>
      <c r="K7" s="203" t="s">
        <v>8</v>
      </c>
    </row>
    <row r="8" spans="1:17" ht="22.5" x14ac:dyDescent="0.3">
      <c r="A8" s="184" t="s">
        <v>10</v>
      </c>
      <c r="B8" s="184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186"/>
      <c r="J8" s="201" t="s">
        <v>249</v>
      </c>
      <c r="K8" s="184" t="s">
        <v>10</v>
      </c>
    </row>
    <row r="9" spans="1:17" x14ac:dyDescent="0.3">
      <c r="A9" s="187"/>
      <c r="B9" s="190"/>
      <c r="C9" s="200"/>
      <c r="D9" s="200"/>
      <c r="E9" s="200"/>
      <c r="F9" s="200"/>
      <c r="G9" s="200"/>
      <c r="H9" s="200"/>
      <c r="I9" s="204"/>
      <c r="J9" s="203"/>
      <c r="K9" s="187"/>
    </row>
    <row r="10" spans="1:17" x14ac:dyDescent="0.3">
      <c r="A10" s="187">
        <v>1</v>
      </c>
      <c r="B10" s="193" t="s">
        <v>116</v>
      </c>
      <c r="C10" s="190"/>
      <c r="D10" s="190"/>
      <c r="E10" s="190"/>
      <c r="F10" s="190"/>
      <c r="G10" s="190"/>
      <c r="H10" s="190"/>
      <c r="I10" s="190"/>
      <c r="J10" s="187"/>
      <c r="K10" s="187">
        <v>1</v>
      </c>
    </row>
    <row r="11" spans="1:17" x14ac:dyDescent="0.3">
      <c r="A11" s="187">
        <f t="shared" ref="A11:A33" si="0">A10+1</f>
        <v>2</v>
      </c>
      <c r="B11" s="190" t="s">
        <v>117</v>
      </c>
      <c r="C11" s="210">
        <f>'Workpaper 1'!C171*1000</f>
        <v>16898596.174145363</v>
      </c>
      <c r="D11" s="210">
        <f>'Workpaper 1'!D171*1000</f>
        <v>18281425.836751401</v>
      </c>
      <c r="E11" s="210">
        <f>'Workpaper 1'!E171*1000</f>
        <v>16418928.25680276</v>
      </c>
      <c r="F11" s="210">
        <f>'Workpaper 1'!F171*1000</f>
        <v>17288752.517243203</v>
      </c>
      <c r="G11" s="210">
        <f>'Workpaper 1'!G171*1000</f>
        <v>20061665.198170915</v>
      </c>
      <c r="H11" s="210">
        <f>'Workpaper 1'!H171*1000</f>
        <v>20603202.325132836</v>
      </c>
      <c r="I11" s="190"/>
      <c r="J11" s="331" t="s">
        <v>265</v>
      </c>
      <c r="K11" s="187">
        <f t="shared" ref="K11:K33" si="1">K10+1</f>
        <v>2</v>
      </c>
    </row>
    <row r="12" spans="1:17" x14ac:dyDescent="0.3">
      <c r="A12" s="187">
        <f t="shared" si="0"/>
        <v>3</v>
      </c>
      <c r="B12" s="190" t="s">
        <v>119</v>
      </c>
      <c r="C12" s="186">
        <v>0</v>
      </c>
      <c r="D12" s="186">
        <f>C12</f>
        <v>0</v>
      </c>
      <c r="E12" s="186">
        <f>D12</f>
        <v>0</v>
      </c>
      <c r="F12" s="186">
        <f>E12</f>
        <v>0</v>
      </c>
      <c r="G12" s="186">
        <f>F12</f>
        <v>0</v>
      </c>
      <c r="H12" s="186">
        <f>G12</f>
        <v>0</v>
      </c>
      <c r="I12" s="190"/>
      <c r="J12" s="331"/>
      <c r="K12" s="187">
        <f t="shared" si="1"/>
        <v>3</v>
      </c>
    </row>
    <row r="13" spans="1:17" ht="19.5" thickBot="1" x14ac:dyDescent="0.35">
      <c r="A13" s="187">
        <f t="shared" si="0"/>
        <v>4</v>
      </c>
      <c r="B13" s="190" t="s">
        <v>120</v>
      </c>
      <c r="C13" s="205">
        <f t="shared" ref="C13:H13" si="2">C11*C12</f>
        <v>0</v>
      </c>
      <c r="D13" s="205">
        <f t="shared" si="2"/>
        <v>0</v>
      </c>
      <c r="E13" s="205">
        <f t="shared" si="2"/>
        <v>0</v>
      </c>
      <c r="F13" s="205">
        <f t="shared" si="2"/>
        <v>0</v>
      </c>
      <c r="G13" s="205">
        <f t="shared" si="2"/>
        <v>0</v>
      </c>
      <c r="H13" s="205">
        <f t="shared" si="2"/>
        <v>0</v>
      </c>
      <c r="I13" s="190"/>
      <c r="J13" s="331" t="s">
        <v>121</v>
      </c>
      <c r="K13" s="187">
        <f t="shared" si="1"/>
        <v>4</v>
      </c>
    </row>
    <row r="14" spans="1:17" ht="19.5" thickTop="1" x14ac:dyDescent="0.3">
      <c r="A14" s="187">
        <f t="shared" si="0"/>
        <v>5</v>
      </c>
      <c r="B14" s="190"/>
      <c r="C14" s="190"/>
      <c r="D14" s="190"/>
      <c r="E14" s="190"/>
      <c r="F14" s="190"/>
      <c r="G14" s="190"/>
      <c r="H14" s="190"/>
      <c r="I14" s="190"/>
      <c r="J14" s="331"/>
      <c r="K14" s="187">
        <f t="shared" si="1"/>
        <v>5</v>
      </c>
    </row>
    <row r="15" spans="1:17" x14ac:dyDescent="0.3">
      <c r="A15" s="187">
        <f t="shared" si="0"/>
        <v>6</v>
      </c>
      <c r="B15" s="199" t="s">
        <v>266</v>
      </c>
      <c r="C15" s="190"/>
      <c r="D15" s="190"/>
      <c r="E15" s="190"/>
      <c r="F15" s="190"/>
      <c r="G15" s="190"/>
      <c r="H15" s="190"/>
      <c r="I15" s="190"/>
      <c r="J15" s="331"/>
      <c r="K15" s="187">
        <f t="shared" si="1"/>
        <v>6</v>
      </c>
    </row>
    <row r="16" spans="1:17" x14ac:dyDescent="0.3">
      <c r="A16" s="187">
        <f t="shared" si="0"/>
        <v>7</v>
      </c>
      <c r="B16" s="190" t="s">
        <v>123</v>
      </c>
      <c r="C16" s="210">
        <f>'Workpaper 1'!C189*1000</f>
        <v>42609.166043362609</v>
      </c>
      <c r="D16" s="210">
        <f>'Workpaper 1'!D189*1000</f>
        <v>46095.918321271733</v>
      </c>
      <c r="E16" s="210">
        <f>'Workpaper 1'!E189*1000</f>
        <v>41399.70167572506</v>
      </c>
      <c r="F16" s="210">
        <f>'Workpaper 1'!F189*1000</f>
        <v>43592.930388909954</v>
      </c>
      <c r="G16" s="210">
        <f>'Workpaper 1'!G189*1000</f>
        <v>50584.724004652126</v>
      </c>
      <c r="H16" s="210">
        <f>'Workpaper 1'!H189*1000</f>
        <v>53140.221441511232</v>
      </c>
      <c r="I16" s="190"/>
      <c r="J16" s="331" t="s">
        <v>267</v>
      </c>
      <c r="K16" s="187">
        <f t="shared" si="1"/>
        <v>7</v>
      </c>
    </row>
    <row r="17" spans="1:11" x14ac:dyDescent="0.3">
      <c r="A17" s="187">
        <f t="shared" si="0"/>
        <v>8</v>
      </c>
      <c r="B17" s="190" t="s">
        <v>125</v>
      </c>
      <c r="C17" s="210">
        <f>'Workpaper 1'!C190*1000</f>
        <v>18672.237690435486</v>
      </c>
      <c r="D17" s="210">
        <f>'Workpaper 1'!D190*1000</f>
        <v>20200.206279037524</v>
      </c>
      <c r="E17" s="210">
        <f>'Workpaper 1'!E190*1000</f>
        <v>18142.22482588757</v>
      </c>
      <c r="F17" s="210">
        <f>'Workpaper 1'!F190*1000</f>
        <v>19103.344032032081</v>
      </c>
      <c r="G17" s="210">
        <f>'Workpaper 1'!G190*1000</f>
        <v>22167.295862085411</v>
      </c>
      <c r="H17" s="210">
        <f>'Workpaper 1'!H190*1000</f>
        <v>21237.326658587564</v>
      </c>
      <c r="I17" s="190"/>
      <c r="J17" s="331" t="s">
        <v>268</v>
      </c>
      <c r="K17" s="187">
        <f t="shared" si="1"/>
        <v>8</v>
      </c>
    </row>
    <row r="18" spans="1:11" x14ac:dyDescent="0.3">
      <c r="A18" s="187">
        <f t="shared" si="0"/>
        <v>9</v>
      </c>
      <c r="B18" s="190" t="s">
        <v>127</v>
      </c>
      <c r="C18" s="210">
        <f>'Workpaper 1'!C191*1000</f>
        <v>0</v>
      </c>
      <c r="D18" s="210">
        <f>'Workpaper 1'!D191*1000</f>
        <v>0</v>
      </c>
      <c r="E18" s="210">
        <f>'Workpaper 1'!E191*1000</f>
        <v>0</v>
      </c>
      <c r="F18" s="210">
        <f>'Workpaper 1'!F191*1000</f>
        <v>0</v>
      </c>
      <c r="G18" s="210">
        <f>'Workpaper 1'!G191*1000</f>
        <v>0</v>
      </c>
      <c r="H18" s="210">
        <f>'Workpaper 1'!H191*1000</f>
        <v>0</v>
      </c>
      <c r="I18" s="190"/>
      <c r="J18" s="331" t="s">
        <v>269</v>
      </c>
      <c r="K18" s="187">
        <f t="shared" si="1"/>
        <v>9</v>
      </c>
    </row>
    <row r="19" spans="1:11" ht="19.5" thickBot="1" x14ac:dyDescent="0.35">
      <c r="A19" s="187">
        <f t="shared" si="0"/>
        <v>10</v>
      </c>
      <c r="B19" s="190" t="s">
        <v>129</v>
      </c>
      <c r="C19" s="209">
        <f t="shared" ref="C19:H19" si="3">SUM(C16:C18)</f>
        <v>61281.403733798099</v>
      </c>
      <c r="D19" s="209">
        <f t="shared" si="3"/>
        <v>66296.124600309253</v>
      </c>
      <c r="E19" s="209">
        <f t="shared" si="3"/>
        <v>59541.92650161263</v>
      </c>
      <c r="F19" s="209">
        <f t="shared" si="3"/>
        <v>62696.274420942034</v>
      </c>
      <c r="G19" s="209">
        <f t="shared" si="3"/>
        <v>72752.019866737537</v>
      </c>
      <c r="H19" s="209">
        <f t="shared" si="3"/>
        <v>74377.548100098793</v>
      </c>
      <c r="I19" s="190"/>
      <c r="J19" s="332" t="s">
        <v>130</v>
      </c>
      <c r="K19" s="187">
        <f t="shared" si="1"/>
        <v>10</v>
      </c>
    </row>
    <row r="20" spans="1:11" ht="20.25" thickTop="1" thickBot="1" x14ac:dyDescent="0.35">
      <c r="A20" s="187">
        <f t="shared" si="0"/>
        <v>11</v>
      </c>
      <c r="B20" s="190" t="s">
        <v>131</v>
      </c>
      <c r="C20" s="195">
        <f>'A-Billing Determinants'!D30</f>
        <v>61281.403733798092</v>
      </c>
      <c r="D20" s="195">
        <f>'A-Billing Determinants'!F30</f>
        <v>66296.124600309253</v>
      </c>
      <c r="E20" s="195">
        <f>'A-Billing Determinants'!H30</f>
        <v>59541.926501612637</v>
      </c>
      <c r="F20" s="195">
        <f>'A-Billing Determinants'!J30</f>
        <v>62696.274420942034</v>
      </c>
      <c r="G20" s="195">
        <f>'A-Billing Determinants'!L30</f>
        <v>72752.019866737523</v>
      </c>
      <c r="H20" s="195">
        <f>'A-Billing Determinants'!N30</f>
        <v>74377.548100098793</v>
      </c>
      <c r="I20" s="190"/>
      <c r="J20" s="331" t="s">
        <v>270</v>
      </c>
      <c r="K20" s="187">
        <f t="shared" si="1"/>
        <v>11</v>
      </c>
    </row>
    <row r="21" spans="1:11" ht="20.25" thickTop="1" thickBot="1" x14ac:dyDescent="0.35">
      <c r="A21" s="187">
        <f t="shared" si="0"/>
        <v>12</v>
      </c>
      <c r="B21" s="190" t="s">
        <v>133</v>
      </c>
      <c r="C21" s="195">
        <f t="shared" ref="C21:H21" si="4">C19-C20</f>
        <v>0</v>
      </c>
      <c r="D21" s="195">
        <f t="shared" si="4"/>
        <v>0</v>
      </c>
      <c r="E21" s="195">
        <f t="shared" si="4"/>
        <v>0</v>
      </c>
      <c r="F21" s="195">
        <f t="shared" si="4"/>
        <v>0</v>
      </c>
      <c r="G21" s="195">
        <f t="shared" si="4"/>
        <v>0</v>
      </c>
      <c r="H21" s="195">
        <f t="shared" si="4"/>
        <v>0</v>
      </c>
      <c r="I21" s="190"/>
      <c r="J21" s="333" t="s">
        <v>134</v>
      </c>
      <c r="K21" s="187">
        <f t="shared" si="1"/>
        <v>12</v>
      </c>
    </row>
    <row r="22" spans="1:11" ht="19.5" thickTop="1" x14ac:dyDescent="0.3">
      <c r="A22" s="187">
        <f t="shared" si="0"/>
        <v>13</v>
      </c>
      <c r="B22" s="190"/>
      <c r="C22" s="192"/>
      <c r="D22" s="192"/>
      <c r="E22" s="192"/>
      <c r="F22" s="192"/>
      <c r="G22" s="192"/>
      <c r="H22" s="192"/>
      <c r="I22" s="190"/>
      <c r="J22" s="333"/>
      <c r="K22" s="187">
        <f t="shared" si="1"/>
        <v>13</v>
      </c>
    </row>
    <row r="23" spans="1:11" x14ac:dyDescent="0.3">
      <c r="A23" s="187">
        <f t="shared" si="0"/>
        <v>14</v>
      </c>
      <c r="B23" s="193" t="s">
        <v>135</v>
      </c>
      <c r="C23" s="192"/>
      <c r="D23" s="192"/>
      <c r="E23" s="192"/>
      <c r="F23" s="192"/>
      <c r="G23" s="192"/>
      <c r="H23" s="192"/>
      <c r="I23" s="190"/>
      <c r="J23" s="333"/>
      <c r="K23" s="187">
        <f t="shared" si="1"/>
        <v>14</v>
      </c>
    </row>
    <row r="24" spans="1:11" x14ac:dyDescent="0.3">
      <c r="A24" s="187">
        <f t="shared" si="0"/>
        <v>15</v>
      </c>
      <c r="B24" s="193" t="s">
        <v>136</v>
      </c>
      <c r="C24" s="190"/>
      <c r="D24" s="190"/>
      <c r="E24" s="190"/>
      <c r="F24" s="190"/>
      <c r="G24" s="190"/>
      <c r="H24" s="190"/>
      <c r="I24" s="190"/>
      <c r="J24" s="331"/>
      <c r="K24" s="187">
        <f t="shared" si="1"/>
        <v>15</v>
      </c>
    </row>
    <row r="25" spans="1:11" x14ac:dyDescent="0.3">
      <c r="A25" s="187">
        <f t="shared" si="0"/>
        <v>16</v>
      </c>
      <c r="B25" s="190" t="s">
        <v>123</v>
      </c>
      <c r="C25" s="194">
        <f>'[2]Transmission Rates Summary'!$F$50</f>
        <v>9.7100000000000009</v>
      </c>
      <c r="D25" s="194">
        <f t="shared" ref="D25:H27" si="5">C25</f>
        <v>9.7100000000000009</v>
      </c>
      <c r="E25" s="194">
        <f t="shared" si="5"/>
        <v>9.7100000000000009</v>
      </c>
      <c r="F25" s="194">
        <f t="shared" si="5"/>
        <v>9.7100000000000009</v>
      </c>
      <c r="G25" s="194">
        <f t="shared" si="5"/>
        <v>9.7100000000000009</v>
      </c>
      <c r="H25" s="194">
        <f t="shared" si="5"/>
        <v>9.7100000000000009</v>
      </c>
      <c r="I25" s="190"/>
      <c r="J25" s="331" t="s">
        <v>271</v>
      </c>
      <c r="K25" s="187">
        <f t="shared" si="1"/>
        <v>16</v>
      </c>
    </row>
    <row r="26" spans="1:11" x14ac:dyDescent="0.3">
      <c r="A26" s="187">
        <f t="shared" si="0"/>
        <v>17</v>
      </c>
      <c r="B26" s="190" t="s">
        <v>138</v>
      </c>
      <c r="C26" s="194">
        <f>'[2]Transmission Rates Summary'!$E$50</f>
        <v>9.3699999999999992</v>
      </c>
      <c r="D26" s="194">
        <f t="shared" si="5"/>
        <v>9.3699999999999992</v>
      </c>
      <c r="E26" s="194">
        <f t="shared" si="5"/>
        <v>9.3699999999999992</v>
      </c>
      <c r="F26" s="194">
        <f t="shared" si="5"/>
        <v>9.3699999999999992</v>
      </c>
      <c r="G26" s="194">
        <f t="shared" si="5"/>
        <v>9.3699999999999992</v>
      </c>
      <c r="H26" s="194">
        <f t="shared" si="5"/>
        <v>9.3699999999999992</v>
      </c>
      <c r="I26" s="190"/>
      <c r="J26" s="331" t="s">
        <v>272</v>
      </c>
      <c r="K26" s="187">
        <f t="shared" si="1"/>
        <v>17</v>
      </c>
    </row>
    <row r="27" spans="1:11" x14ac:dyDescent="0.3">
      <c r="A27" s="187">
        <f t="shared" si="0"/>
        <v>18</v>
      </c>
      <c r="B27" s="190" t="s">
        <v>127</v>
      </c>
      <c r="C27" s="208">
        <f>'[2]Transmission Rates Summary'!$D$50</f>
        <v>9.33</v>
      </c>
      <c r="D27" s="208">
        <f t="shared" si="5"/>
        <v>9.33</v>
      </c>
      <c r="E27" s="208">
        <f t="shared" si="5"/>
        <v>9.33</v>
      </c>
      <c r="F27" s="208">
        <f t="shared" si="5"/>
        <v>9.33</v>
      </c>
      <c r="G27" s="208">
        <f t="shared" si="5"/>
        <v>9.33</v>
      </c>
      <c r="H27" s="208">
        <f t="shared" si="5"/>
        <v>9.33</v>
      </c>
      <c r="I27" s="190"/>
      <c r="J27" s="331" t="s">
        <v>273</v>
      </c>
      <c r="K27" s="187">
        <f t="shared" si="1"/>
        <v>18</v>
      </c>
    </row>
    <row r="28" spans="1:11" x14ac:dyDescent="0.3">
      <c r="A28" s="187">
        <f t="shared" si="0"/>
        <v>19</v>
      </c>
      <c r="B28" s="193" t="s">
        <v>141</v>
      </c>
      <c r="C28" s="194"/>
      <c r="D28" s="207"/>
      <c r="E28" s="207"/>
      <c r="F28" s="207"/>
      <c r="G28" s="207"/>
      <c r="H28" s="207"/>
      <c r="I28" s="190"/>
      <c r="J28" s="331"/>
      <c r="K28" s="187">
        <f t="shared" si="1"/>
        <v>19</v>
      </c>
    </row>
    <row r="29" spans="1:11" x14ac:dyDescent="0.3">
      <c r="A29" s="187">
        <f t="shared" si="0"/>
        <v>20</v>
      </c>
      <c r="B29" s="193" t="s">
        <v>142</v>
      </c>
      <c r="C29" s="192"/>
      <c r="D29" s="192"/>
      <c r="E29" s="192"/>
      <c r="F29" s="192"/>
      <c r="G29" s="192"/>
      <c r="H29" s="192"/>
      <c r="I29" s="190"/>
      <c r="J29" s="333"/>
      <c r="K29" s="187">
        <f t="shared" si="1"/>
        <v>20</v>
      </c>
    </row>
    <row r="30" spans="1:11" x14ac:dyDescent="0.3">
      <c r="A30" s="187">
        <f t="shared" si="0"/>
        <v>21</v>
      </c>
      <c r="B30" s="190" t="s">
        <v>123</v>
      </c>
      <c r="C30" s="206">
        <f>C25*C16</f>
        <v>413735.00228105095</v>
      </c>
      <c r="D30" s="206">
        <f t="shared" ref="C30:H32" si="6">D25*D16</f>
        <v>447591.36689954856</v>
      </c>
      <c r="E30" s="206">
        <f t="shared" si="6"/>
        <v>401991.10327129037</v>
      </c>
      <c r="F30" s="206">
        <f t="shared" si="6"/>
        <v>423287.35407631571</v>
      </c>
      <c r="G30" s="206">
        <f t="shared" si="6"/>
        <v>491177.67008517217</v>
      </c>
      <c r="H30" s="206">
        <f t="shared" si="6"/>
        <v>515991.55019707413</v>
      </c>
      <c r="I30" s="190"/>
      <c r="J30" s="333" t="s">
        <v>143</v>
      </c>
      <c r="K30" s="187">
        <f t="shared" si="1"/>
        <v>21</v>
      </c>
    </row>
    <row r="31" spans="1:11" x14ac:dyDescent="0.3">
      <c r="A31" s="187">
        <f t="shared" si="0"/>
        <v>22</v>
      </c>
      <c r="B31" s="190" t="s">
        <v>125</v>
      </c>
      <c r="C31" s="192">
        <f t="shared" si="6"/>
        <v>174958.86715938049</v>
      </c>
      <c r="D31" s="192">
        <f t="shared" si="6"/>
        <v>189275.93283458159</v>
      </c>
      <c r="E31" s="192">
        <f t="shared" si="6"/>
        <v>169992.6466185665</v>
      </c>
      <c r="F31" s="192">
        <f t="shared" si="6"/>
        <v>178998.33358014058</v>
      </c>
      <c r="G31" s="192">
        <f t="shared" si="6"/>
        <v>207707.5622277403</v>
      </c>
      <c r="H31" s="192">
        <f t="shared" si="6"/>
        <v>198993.75079096545</v>
      </c>
      <c r="I31" s="190"/>
      <c r="J31" s="333" t="s">
        <v>144</v>
      </c>
      <c r="K31" s="187">
        <f t="shared" si="1"/>
        <v>22</v>
      </c>
    </row>
    <row r="32" spans="1:11" x14ac:dyDescent="0.3">
      <c r="A32" s="187">
        <f t="shared" si="0"/>
        <v>23</v>
      </c>
      <c r="B32" s="190" t="s">
        <v>127</v>
      </c>
      <c r="C32" s="192">
        <f t="shared" si="6"/>
        <v>0</v>
      </c>
      <c r="D32" s="192">
        <f t="shared" si="6"/>
        <v>0</v>
      </c>
      <c r="E32" s="192">
        <f t="shared" si="6"/>
        <v>0</v>
      </c>
      <c r="F32" s="192">
        <f t="shared" si="6"/>
        <v>0</v>
      </c>
      <c r="G32" s="192">
        <f t="shared" si="6"/>
        <v>0</v>
      </c>
      <c r="H32" s="192">
        <f t="shared" si="6"/>
        <v>0</v>
      </c>
      <c r="I32" s="190"/>
      <c r="J32" s="333" t="s">
        <v>145</v>
      </c>
      <c r="K32" s="187">
        <f t="shared" si="1"/>
        <v>23</v>
      </c>
    </row>
    <row r="33" spans="1:17" ht="19.5" thickBot="1" x14ac:dyDescent="0.35">
      <c r="A33" s="187">
        <f t="shared" si="0"/>
        <v>24</v>
      </c>
      <c r="B33" s="190" t="s">
        <v>146</v>
      </c>
      <c r="C33" s="205">
        <f t="shared" ref="C33:H33" si="7">SUM(C30:C32)</f>
        <v>588693.86944043147</v>
      </c>
      <c r="D33" s="205">
        <f t="shared" si="7"/>
        <v>636867.29973413015</v>
      </c>
      <c r="E33" s="205">
        <f t="shared" si="7"/>
        <v>571983.7498898569</v>
      </c>
      <c r="F33" s="205">
        <f t="shared" si="7"/>
        <v>602285.68765645626</v>
      </c>
      <c r="G33" s="205">
        <f t="shared" si="7"/>
        <v>698885.23231291247</v>
      </c>
      <c r="H33" s="205">
        <f t="shared" si="7"/>
        <v>714985.30098803958</v>
      </c>
      <c r="I33" s="190"/>
      <c r="J33" s="332" t="s">
        <v>147</v>
      </c>
      <c r="K33" s="187">
        <f t="shared" si="1"/>
        <v>24</v>
      </c>
    </row>
    <row r="34" spans="1:17" ht="19.5" thickTop="1" x14ac:dyDescent="0.3">
      <c r="A34" s="184"/>
      <c r="B34" s="186"/>
      <c r="C34" s="186"/>
      <c r="D34" s="186"/>
      <c r="E34" s="186"/>
      <c r="F34" s="186"/>
      <c r="G34" s="186"/>
      <c r="H34" s="186"/>
      <c r="I34" s="186"/>
      <c r="J34" s="334"/>
      <c r="K34" s="184"/>
    </row>
    <row r="35" spans="1:17" x14ac:dyDescent="0.3">
      <c r="A35" s="180"/>
      <c r="J35" s="335"/>
      <c r="O35" s="183"/>
      <c r="P35" s="180"/>
      <c r="Q35" s="180"/>
    </row>
    <row r="36" spans="1:17" x14ac:dyDescent="0.3">
      <c r="A36" s="203" t="s">
        <v>8</v>
      </c>
      <c r="B36" s="204"/>
      <c r="C36" s="203" t="str">
        <f t="shared" ref="C36:I36" si="8">C7</f>
        <v>(A)</v>
      </c>
      <c r="D36" s="203" t="str">
        <f t="shared" si="8"/>
        <v>(B)</v>
      </c>
      <c r="E36" s="203" t="str">
        <f t="shared" si="8"/>
        <v>(C)</v>
      </c>
      <c r="F36" s="203" t="str">
        <f t="shared" si="8"/>
        <v>(D)</v>
      </c>
      <c r="G36" s="203" t="str">
        <f t="shared" si="8"/>
        <v>(E)</v>
      </c>
      <c r="H36" s="203" t="str">
        <f t="shared" si="8"/>
        <v>(F)</v>
      </c>
      <c r="I36" s="203" t="str">
        <f t="shared" si="8"/>
        <v>(G)</v>
      </c>
      <c r="J36" s="336"/>
      <c r="K36" s="203" t="s">
        <v>8</v>
      </c>
      <c r="O36" s="183"/>
      <c r="P36" s="180"/>
      <c r="Q36" s="180"/>
    </row>
    <row r="37" spans="1:17" ht="22.5" x14ac:dyDescent="0.3">
      <c r="A37" s="184" t="s">
        <v>10</v>
      </c>
      <c r="B37" s="184" t="s">
        <v>114</v>
      </c>
      <c r="C37" s="29">
        <f>'Summary of Revs @ Changed Rates'!C30</f>
        <v>45839</v>
      </c>
      <c r="D37" s="29">
        <f>'Summary of Revs @ Changed Rates'!D30</f>
        <v>45870</v>
      </c>
      <c r="E37" s="29">
        <f>'Summary of Revs @ Changed Rates'!E30</f>
        <v>45901</v>
      </c>
      <c r="F37" s="29">
        <f>'Summary of Revs @ Changed Rates'!F30</f>
        <v>45931</v>
      </c>
      <c r="G37" s="29">
        <f>'Summary of Revs @ Changed Rates'!G30</f>
        <v>45962</v>
      </c>
      <c r="H37" s="29">
        <f>'Summary of Revs @ Changed Rates'!H30</f>
        <v>45992</v>
      </c>
      <c r="I37" s="202" t="s">
        <v>61</v>
      </c>
      <c r="J37" s="201" t="s">
        <v>249</v>
      </c>
      <c r="K37" s="184" t="s">
        <v>10</v>
      </c>
      <c r="O37" s="183"/>
      <c r="P37" s="180"/>
      <c r="Q37" s="180"/>
    </row>
    <row r="38" spans="1:17" x14ac:dyDescent="0.3">
      <c r="A38" s="187"/>
      <c r="B38" s="190"/>
      <c r="C38" s="200"/>
      <c r="D38" s="200"/>
      <c r="E38" s="200"/>
      <c r="F38" s="200"/>
      <c r="G38" s="200"/>
      <c r="H38" s="200"/>
      <c r="I38" s="187"/>
      <c r="J38" s="331"/>
      <c r="K38" s="187"/>
      <c r="O38" s="183"/>
      <c r="P38" s="180"/>
      <c r="Q38" s="180"/>
    </row>
    <row r="39" spans="1:17" x14ac:dyDescent="0.3">
      <c r="A39" s="187">
        <f>A33+1</f>
        <v>25</v>
      </c>
      <c r="B39" s="193" t="s">
        <v>116</v>
      </c>
      <c r="C39" s="190"/>
      <c r="D39" s="190"/>
      <c r="E39" s="190"/>
      <c r="F39" s="190"/>
      <c r="G39" s="190"/>
      <c r="H39" s="190"/>
      <c r="I39" s="190"/>
      <c r="J39" s="331"/>
      <c r="K39" s="187">
        <f>K33+1</f>
        <v>25</v>
      </c>
      <c r="O39" s="183"/>
      <c r="P39" s="180"/>
      <c r="Q39" s="180"/>
    </row>
    <row r="40" spans="1:17" x14ac:dyDescent="0.3">
      <c r="A40" s="187">
        <f t="shared" ref="A40:A62" si="9">A39+1</f>
        <v>26</v>
      </c>
      <c r="B40" s="190" t="s">
        <v>117</v>
      </c>
      <c r="C40" s="210">
        <f>'Workpaper 1'!I171*1000</f>
        <v>23004135.715861753</v>
      </c>
      <c r="D40" s="210">
        <f>'Workpaper 1'!J171*1000</f>
        <v>22863150.521633886</v>
      </c>
      <c r="E40" s="210">
        <f>'Workpaper 1'!K171*1000</f>
        <v>21957609.857486788</v>
      </c>
      <c r="F40" s="210">
        <f>'Workpaper 1'!L171*1000</f>
        <v>21563167.661901116</v>
      </c>
      <c r="G40" s="210">
        <f>'Workpaper 1'!M171*1000</f>
        <v>18985959.067639023</v>
      </c>
      <c r="H40" s="210">
        <f>'Workpaper 1'!N171*1000</f>
        <v>18145457.05354834</v>
      </c>
      <c r="I40" s="192">
        <f>SUM(C11:H11,C40:H40)</f>
        <v>236072050.18631738</v>
      </c>
      <c r="J40" s="331" t="str">
        <f>J11</f>
        <v>(Page BG-21.4, Line 169) x 1000</v>
      </c>
      <c r="K40" s="187">
        <f t="shared" ref="K40:K62" si="10">K39+1</f>
        <v>26</v>
      </c>
      <c r="O40" s="183"/>
      <c r="P40" s="180"/>
      <c r="Q40" s="180"/>
    </row>
    <row r="41" spans="1:17" x14ac:dyDescent="0.3">
      <c r="A41" s="187">
        <f t="shared" si="9"/>
        <v>27</v>
      </c>
      <c r="B41" s="190" t="s">
        <v>119</v>
      </c>
      <c r="C41" s="186">
        <f>H12</f>
        <v>0</v>
      </c>
      <c r="D41" s="186">
        <f>C41</f>
        <v>0</v>
      </c>
      <c r="E41" s="186">
        <f>D41</f>
        <v>0</v>
      </c>
      <c r="F41" s="186">
        <f>E41</f>
        <v>0</v>
      </c>
      <c r="G41" s="186">
        <f>F41</f>
        <v>0</v>
      </c>
      <c r="H41" s="186">
        <f>G41</f>
        <v>0</v>
      </c>
      <c r="I41" s="192">
        <f>SUM(C12:H12,C41:H41)</f>
        <v>0</v>
      </c>
      <c r="J41" s="331"/>
      <c r="K41" s="187">
        <f t="shared" si="10"/>
        <v>27</v>
      </c>
      <c r="O41" s="183"/>
      <c r="P41" s="180"/>
      <c r="Q41" s="180"/>
    </row>
    <row r="42" spans="1:17" ht="19.5" thickBot="1" x14ac:dyDescent="0.35">
      <c r="A42" s="187">
        <f t="shared" si="9"/>
        <v>28</v>
      </c>
      <c r="B42" s="190"/>
      <c r="C42" s="189">
        <f t="shared" ref="C42:H42" si="11">C40*C41</f>
        <v>0</v>
      </c>
      <c r="D42" s="189">
        <f t="shared" si="11"/>
        <v>0</v>
      </c>
      <c r="E42" s="189">
        <f t="shared" si="11"/>
        <v>0</v>
      </c>
      <c r="F42" s="189">
        <f t="shared" si="11"/>
        <v>0</v>
      </c>
      <c r="G42" s="189">
        <f t="shared" si="11"/>
        <v>0</v>
      </c>
      <c r="H42" s="189">
        <f t="shared" si="11"/>
        <v>0</v>
      </c>
      <c r="I42" s="189">
        <f>SUM(C13:H13,C42:H42)</f>
        <v>0</v>
      </c>
      <c r="J42" s="331" t="s">
        <v>148</v>
      </c>
      <c r="K42" s="187">
        <f t="shared" si="10"/>
        <v>28</v>
      </c>
      <c r="O42" s="183"/>
      <c r="P42" s="180"/>
      <c r="Q42" s="180"/>
    </row>
    <row r="43" spans="1:17" ht="19.5" thickTop="1" x14ac:dyDescent="0.3">
      <c r="A43" s="187">
        <f t="shared" si="9"/>
        <v>29</v>
      </c>
      <c r="B43" s="190"/>
      <c r="C43" s="190"/>
      <c r="D43" s="190"/>
      <c r="E43" s="190"/>
      <c r="F43" s="190"/>
      <c r="G43" s="190"/>
      <c r="H43" s="190"/>
      <c r="I43" s="190"/>
      <c r="J43" s="331"/>
      <c r="K43" s="187">
        <f t="shared" si="10"/>
        <v>29</v>
      </c>
      <c r="O43" s="183"/>
      <c r="P43" s="180"/>
      <c r="Q43" s="180"/>
    </row>
    <row r="44" spans="1:17" x14ac:dyDescent="0.3">
      <c r="A44" s="187">
        <f t="shared" si="9"/>
        <v>30</v>
      </c>
      <c r="B44" s="199" t="s">
        <v>266</v>
      </c>
      <c r="C44" s="190"/>
      <c r="D44" s="190"/>
      <c r="E44" s="190"/>
      <c r="F44" s="190"/>
      <c r="G44" s="190"/>
      <c r="H44" s="190"/>
      <c r="I44" s="190"/>
      <c r="J44" s="331"/>
      <c r="K44" s="187">
        <f t="shared" si="10"/>
        <v>30</v>
      </c>
      <c r="O44" s="183"/>
      <c r="P44" s="180"/>
      <c r="Q44" s="180"/>
    </row>
    <row r="45" spans="1:17" x14ac:dyDescent="0.3">
      <c r="A45" s="187">
        <f t="shared" si="9"/>
        <v>31</v>
      </c>
      <c r="B45" s="190" t="s">
        <v>123</v>
      </c>
      <c r="C45" s="198">
        <f>'Workpaper 1'!I189*1000</f>
        <v>59332.760350572818</v>
      </c>
      <c r="D45" s="198">
        <f>'Workpaper 1'!J189*1000</f>
        <v>58969.128313037349</v>
      </c>
      <c r="E45" s="198">
        <f>'Workpaper 1'!K189*1000</f>
        <v>56633.538405328203</v>
      </c>
      <c r="F45" s="198">
        <f>'Workpaper 1'!L189*1000</f>
        <v>55616.184632428078</v>
      </c>
      <c r="G45" s="198">
        <f>'Workpaper 1'!M189*1000</f>
        <v>47872.372004678102</v>
      </c>
      <c r="H45" s="198">
        <f>'Workpaper 1'!N189*1000</f>
        <v>45753.078217838927</v>
      </c>
      <c r="I45" s="192">
        <f>SUM(C16:H16,C45:H45)</f>
        <v>601599.72379931621</v>
      </c>
      <c r="J45" s="331" t="str">
        <f>J16</f>
        <v>(Page BG-21.4, Line 187) x 1000</v>
      </c>
      <c r="K45" s="187">
        <f t="shared" si="10"/>
        <v>31</v>
      </c>
      <c r="O45" s="183"/>
      <c r="P45" s="180"/>
      <c r="Q45" s="180"/>
    </row>
    <row r="46" spans="1:17" x14ac:dyDescent="0.3">
      <c r="A46" s="187">
        <f t="shared" si="9"/>
        <v>32</v>
      </c>
      <c r="B46" s="190" t="s">
        <v>125</v>
      </c>
      <c r="C46" s="198">
        <f>'Workpaper 1'!I190*1000</f>
        <v>23712.155857455396</v>
      </c>
      <c r="D46" s="198">
        <f>'Workpaper 1'!J190*1000</f>
        <v>23566.831427952064</v>
      </c>
      <c r="E46" s="198">
        <f>'Workpaper 1'!K190*1000</f>
        <v>22633.420078413114</v>
      </c>
      <c r="F46" s="198">
        <f>'Workpaper 1'!L190*1000</f>
        <v>22226.837760606875</v>
      </c>
      <c r="G46" s="198">
        <f>'Workpaper 1'!M190*1000</f>
        <v>20978.685852865758</v>
      </c>
      <c r="H46" s="198">
        <f>'Workpaper 1'!N190*1000</f>
        <v>20049.96649507658</v>
      </c>
      <c r="I46" s="192">
        <f>SUM(C17:H17,C46:H46)</f>
        <v>252690.53282043544</v>
      </c>
      <c r="J46" s="331" t="str">
        <f>J17</f>
        <v>(Page BG-21.4, Line 188) x 1000</v>
      </c>
      <c r="K46" s="187">
        <f t="shared" si="10"/>
        <v>32</v>
      </c>
      <c r="O46" s="183"/>
      <c r="P46" s="180"/>
      <c r="Q46" s="180"/>
    </row>
    <row r="47" spans="1:17" x14ac:dyDescent="0.3">
      <c r="A47" s="187">
        <f t="shared" si="9"/>
        <v>33</v>
      </c>
      <c r="B47" s="190" t="s">
        <v>127</v>
      </c>
      <c r="C47" s="198">
        <f>'Workpaper 1'!I191*1000</f>
        <v>0</v>
      </c>
      <c r="D47" s="198">
        <f>'Workpaper 1'!J191*1000</f>
        <v>0</v>
      </c>
      <c r="E47" s="198">
        <f>'Workpaper 1'!K191*1000</f>
        <v>0</v>
      </c>
      <c r="F47" s="198">
        <f>'Workpaper 1'!L191*1000</f>
        <v>0</v>
      </c>
      <c r="G47" s="198">
        <f>'Workpaper 1'!M191*1000</f>
        <v>0</v>
      </c>
      <c r="H47" s="198">
        <f>'Workpaper 1'!N191*1000</f>
        <v>0</v>
      </c>
      <c r="I47" s="192">
        <f>SUM(C18:H18,C47:H47)</f>
        <v>0</v>
      </c>
      <c r="J47" s="331" t="str">
        <f>J18</f>
        <v>(Page BG-21.4, Line 189) x 1000</v>
      </c>
      <c r="K47" s="187">
        <f t="shared" si="10"/>
        <v>33</v>
      </c>
      <c r="O47" s="183"/>
      <c r="P47" s="180"/>
      <c r="Q47" s="180"/>
    </row>
    <row r="48" spans="1:17" ht="19.5" thickBot="1" x14ac:dyDescent="0.35">
      <c r="A48" s="187">
        <f t="shared" si="9"/>
        <v>34</v>
      </c>
      <c r="B48" s="190" t="s">
        <v>129</v>
      </c>
      <c r="C48" s="197">
        <f t="shared" ref="C48:I48" si="12">SUM(C45:C47)</f>
        <v>83044.916208028211</v>
      </c>
      <c r="D48" s="197">
        <f t="shared" si="12"/>
        <v>82535.959740989405</v>
      </c>
      <c r="E48" s="197">
        <f t="shared" si="12"/>
        <v>79266.958483741313</v>
      </c>
      <c r="F48" s="197">
        <f t="shared" si="12"/>
        <v>77843.022393034946</v>
      </c>
      <c r="G48" s="197">
        <f t="shared" si="12"/>
        <v>68851.057857543856</v>
      </c>
      <c r="H48" s="197">
        <f t="shared" si="12"/>
        <v>65803.044712915507</v>
      </c>
      <c r="I48" s="196">
        <f t="shared" si="12"/>
        <v>854290.25661975169</v>
      </c>
      <c r="J48" s="332" t="s">
        <v>149</v>
      </c>
      <c r="K48" s="187">
        <f t="shared" si="10"/>
        <v>34</v>
      </c>
      <c r="O48" s="183"/>
      <c r="P48" s="180"/>
      <c r="Q48" s="180"/>
    </row>
    <row r="49" spans="1:17" ht="20.25" thickTop="1" thickBot="1" x14ac:dyDescent="0.35">
      <c r="A49" s="187">
        <f t="shared" si="9"/>
        <v>35</v>
      </c>
      <c r="B49" s="190" t="s">
        <v>131</v>
      </c>
      <c r="C49" s="195">
        <f>'B-Billing Determinants'!D30</f>
        <v>83044.916208028211</v>
      </c>
      <c r="D49" s="195">
        <f>'B-Billing Determinants'!F30</f>
        <v>82535.959740989405</v>
      </c>
      <c r="E49" s="195">
        <f>'B-Billing Determinants'!H30</f>
        <v>79266.958483741313</v>
      </c>
      <c r="F49" s="195">
        <f>'B-Billing Determinants'!J30</f>
        <v>77843.02239303496</v>
      </c>
      <c r="G49" s="195">
        <f>'B-Billing Determinants'!L30</f>
        <v>68851.05785754387</v>
      </c>
      <c r="H49" s="195">
        <f>'B-Billing Determinants'!N30</f>
        <v>65803.044712915507</v>
      </c>
      <c r="I49" s="192">
        <f>SUM(C20:H20,C49:H49)</f>
        <v>854290.25661975169</v>
      </c>
      <c r="J49" s="331" t="s">
        <v>274</v>
      </c>
      <c r="K49" s="187">
        <f t="shared" si="10"/>
        <v>35</v>
      </c>
      <c r="O49" s="183"/>
      <c r="P49" s="180"/>
      <c r="Q49" s="180"/>
    </row>
    <row r="50" spans="1:17" ht="20.25" thickTop="1" thickBot="1" x14ac:dyDescent="0.35">
      <c r="A50" s="187">
        <f t="shared" si="9"/>
        <v>36</v>
      </c>
      <c r="B50" s="190" t="s">
        <v>133</v>
      </c>
      <c r="C50" s="195">
        <f t="shared" ref="C50:I50" si="13">C48-C49</f>
        <v>0</v>
      </c>
      <c r="D50" s="195">
        <f t="shared" si="13"/>
        <v>0</v>
      </c>
      <c r="E50" s="195">
        <f t="shared" si="13"/>
        <v>0</v>
      </c>
      <c r="F50" s="195">
        <f t="shared" si="13"/>
        <v>0</v>
      </c>
      <c r="G50" s="195">
        <f t="shared" si="13"/>
        <v>0</v>
      </c>
      <c r="H50" s="195">
        <f t="shared" si="13"/>
        <v>0</v>
      </c>
      <c r="I50" s="195">
        <f t="shared" si="13"/>
        <v>0</v>
      </c>
      <c r="J50" s="333" t="s">
        <v>151</v>
      </c>
      <c r="K50" s="187">
        <f t="shared" si="10"/>
        <v>36</v>
      </c>
      <c r="O50" s="183"/>
      <c r="P50" s="180"/>
      <c r="Q50" s="180"/>
    </row>
    <row r="51" spans="1:17" ht="19.5" thickTop="1" x14ac:dyDescent="0.3">
      <c r="A51" s="187">
        <f t="shared" si="9"/>
        <v>37</v>
      </c>
      <c r="B51" s="187"/>
      <c r="C51" s="192"/>
      <c r="D51" s="192"/>
      <c r="E51" s="192"/>
      <c r="F51" s="192"/>
      <c r="G51" s="192"/>
      <c r="H51" s="192"/>
      <c r="I51" s="192"/>
      <c r="J51" s="333"/>
      <c r="K51" s="187">
        <f t="shared" si="10"/>
        <v>37</v>
      </c>
      <c r="O51" s="183"/>
      <c r="P51" s="180"/>
      <c r="Q51" s="180"/>
    </row>
    <row r="52" spans="1:17" x14ac:dyDescent="0.3">
      <c r="A52" s="187">
        <f t="shared" si="9"/>
        <v>38</v>
      </c>
      <c r="B52" s="193" t="s">
        <v>135</v>
      </c>
      <c r="C52" s="192"/>
      <c r="D52" s="192"/>
      <c r="E52" s="192"/>
      <c r="F52" s="192"/>
      <c r="G52" s="192"/>
      <c r="H52" s="192"/>
      <c r="I52" s="192"/>
      <c r="J52" s="333"/>
      <c r="K52" s="187">
        <f t="shared" si="10"/>
        <v>38</v>
      </c>
      <c r="O52" s="183"/>
      <c r="P52" s="180"/>
      <c r="Q52" s="180"/>
    </row>
    <row r="53" spans="1:17" x14ac:dyDescent="0.3">
      <c r="A53" s="187">
        <f t="shared" si="9"/>
        <v>39</v>
      </c>
      <c r="B53" s="193" t="s">
        <v>136</v>
      </c>
      <c r="C53" s="190"/>
      <c r="D53" s="190"/>
      <c r="E53" s="190"/>
      <c r="F53" s="190"/>
      <c r="G53" s="190"/>
      <c r="H53" s="190"/>
      <c r="I53" s="190"/>
      <c r="J53" s="331"/>
      <c r="K53" s="187">
        <f t="shared" si="10"/>
        <v>39</v>
      </c>
      <c r="O53" s="183"/>
      <c r="P53" s="180"/>
      <c r="Q53" s="180"/>
    </row>
    <row r="54" spans="1:17" x14ac:dyDescent="0.3">
      <c r="A54" s="187">
        <f t="shared" si="9"/>
        <v>40</v>
      </c>
      <c r="B54" s="190" t="s">
        <v>123</v>
      </c>
      <c r="C54" s="194">
        <f>H25</f>
        <v>9.7100000000000009</v>
      </c>
      <c r="D54" s="194">
        <f t="shared" ref="D54:H56" si="14">C54</f>
        <v>9.7100000000000009</v>
      </c>
      <c r="E54" s="194">
        <f t="shared" si="14"/>
        <v>9.7100000000000009</v>
      </c>
      <c r="F54" s="194">
        <f t="shared" si="14"/>
        <v>9.7100000000000009</v>
      </c>
      <c r="G54" s="194">
        <f t="shared" si="14"/>
        <v>9.7100000000000009</v>
      </c>
      <c r="H54" s="194">
        <f t="shared" si="14"/>
        <v>9.7100000000000009</v>
      </c>
      <c r="I54" s="190"/>
      <c r="J54" s="331" t="str">
        <f>J25</f>
        <v>Statement BL, Page BL-1, Line 37, Col. D</v>
      </c>
      <c r="K54" s="187">
        <f t="shared" si="10"/>
        <v>40</v>
      </c>
      <c r="O54" s="183"/>
      <c r="P54" s="180"/>
      <c r="Q54" s="180"/>
    </row>
    <row r="55" spans="1:17" x14ac:dyDescent="0.3">
      <c r="A55" s="187">
        <f t="shared" si="9"/>
        <v>41</v>
      </c>
      <c r="B55" s="190" t="s">
        <v>138</v>
      </c>
      <c r="C55" s="194">
        <f>H26</f>
        <v>9.3699999999999992</v>
      </c>
      <c r="D55" s="194">
        <f t="shared" si="14"/>
        <v>9.3699999999999992</v>
      </c>
      <c r="E55" s="194">
        <f t="shared" si="14"/>
        <v>9.3699999999999992</v>
      </c>
      <c r="F55" s="194">
        <f t="shared" si="14"/>
        <v>9.3699999999999992</v>
      </c>
      <c r="G55" s="194">
        <f t="shared" si="14"/>
        <v>9.3699999999999992</v>
      </c>
      <c r="H55" s="194">
        <f t="shared" si="14"/>
        <v>9.3699999999999992</v>
      </c>
      <c r="I55" s="190"/>
      <c r="J55" s="331" t="str">
        <f>J26</f>
        <v>Statement BL, Page BL-1, Line 37, Col. C</v>
      </c>
      <c r="K55" s="187">
        <f t="shared" si="10"/>
        <v>41</v>
      </c>
      <c r="O55" s="183"/>
      <c r="P55" s="180"/>
      <c r="Q55" s="180"/>
    </row>
    <row r="56" spans="1:17" x14ac:dyDescent="0.3">
      <c r="A56" s="187">
        <f t="shared" si="9"/>
        <v>42</v>
      </c>
      <c r="B56" s="190" t="s">
        <v>127</v>
      </c>
      <c r="C56" s="194">
        <f>H27</f>
        <v>9.33</v>
      </c>
      <c r="D56" s="194">
        <f t="shared" si="14"/>
        <v>9.33</v>
      </c>
      <c r="E56" s="194">
        <f t="shared" si="14"/>
        <v>9.33</v>
      </c>
      <c r="F56" s="194">
        <f t="shared" si="14"/>
        <v>9.33</v>
      </c>
      <c r="G56" s="194">
        <f t="shared" si="14"/>
        <v>9.33</v>
      </c>
      <c r="H56" s="194">
        <f t="shared" si="14"/>
        <v>9.33</v>
      </c>
      <c r="I56" s="190"/>
      <c r="J56" s="331" t="str">
        <f>J27</f>
        <v>Statement BL, Page BL-1, Line 37, Col. B</v>
      </c>
      <c r="K56" s="187">
        <f t="shared" si="10"/>
        <v>42</v>
      </c>
      <c r="O56" s="183"/>
      <c r="P56" s="180"/>
      <c r="Q56" s="180"/>
    </row>
    <row r="57" spans="1:17" x14ac:dyDescent="0.3">
      <c r="A57" s="187">
        <f t="shared" si="9"/>
        <v>43</v>
      </c>
      <c r="B57" s="193" t="s">
        <v>141</v>
      </c>
      <c r="C57" s="194"/>
      <c r="D57" s="194"/>
      <c r="E57" s="194"/>
      <c r="F57" s="194"/>
      <c r="G57" s="194"/>
      <c r="H57" s="194"/>
      <c r="I57" s="190"/>
      <c r="J57" s="338"/>
      <c r="K57" s="187">
        <f t="shared" si="10"/>
        <v>43</v>
      </c>
      <c r="O57" s="183"/>
      <c r="P57" s="180"/>
      <c r="Q57" s="180"/>
    </row>
    <row r="58" spans="1:17" x14ac:dyDescent="0.3">
      <c r="A58" s="187">
        <f t="shared" si="9"/>
        <v>44</v>
      </c>
      <c r="B58" s="193" t="s">
        <v>142</v>
      </c>
      <c r="C58" s="192"/>
      <c r="D58" s="192"/>
      <c r="E58" s="192"/>
      <c r="F58" s="192"/>
      <c r="G58" s="192"/>
      <c r="H58" s="192"/>
      <c r="I58" s="192"/>
      <c r="J58" s="339"/>
      <c r="K58" s="187">
        <f t="shared" si="10"/>
        <v>44</v>
      </c>
      <c r="O58" s="183"/>
      <c r="P58" s="180"/>
      <c r="Q58" s="180"/>
    </row>
    <row r="59" spans="1:17" x14ac:dyDescent="0.3">
      <c r="A59" s="187">
        <f t="shared" si="9"/>
        <v>45</v>
      </c>
      <c r="B59" s="190" t="s">
        <v>123</v>
      </c>
      <c r="C59" s="191">
        <f t="shared" ref="C59:H61" si="15">C54*C45</f>
        <v>576121.10300406208</v>
      </c>
      <c r="D59" s="191">
        <f t="shared" si="15"/>
        <v>572590.23591959267</v>
      </c>
      <c r="E59" s="191">
        <f t="shared" si="15"/>
        <v>549911.6579157369</v>
      </c>
      <c r="F59" s="191">
        <f t="shared" si="15"/>
        <v>540033.15278087673</v>
      </c>
      <c r="G59" s="191">
        <f t="shared" si="15"/>
        <v>464840.73216542439</v>
      </c>
      <c r="H59" s="191">
        <f t="shared" si="15"/>
        <v>444262.38949521602</v>
      </c>
      <c r="I59" s="191">
        <f>SUM(C30:H30,C59:H59)</f>
        <v>5841533.3180913599</v>
      </c>
      <c r="J59" s="339" t="s">
        <v>152</v>
      </c>
      <c r="K59" s="187">
        <f t="shared" si="10"/>
        <v>45</v>
      </c>
      <c r="O59" s="183"/>
      <c r="P59" s="180"/>
      <c r="Q59" s="180"/>
    </row>
    <row r="60" spans="1:17" x14ac:dyDescent="0.3">
      <c r="A60" s="187">
        <f t="shared" si="9"/>
        <v>46</v>
      </c>
      <c r="B60" s="190" t="s">
        <v>125</v>
      </c>
      <c r="C60" s="192">
        <f t="shared" si="15"/>
        <v>222182.90038435705</v>
      </c>
      <c r="D60" s="192">
        <f t="shared" si="15"/>
        <v>220821.21047991081</v>
      </c>
      <c r="E60" s="192">
        <f t="shared" si="15"/>
        <v>212075.14613473087</v>
      </c>
      <c r="F60" s="192">
        <f t="shared" si="15"/>
        <v>208265.46981688641</v>
      </c>
      <c r="G60" s="192">
        <f t="shared" si="15"/>
        <v>196570.28644135213</v>
      </c>
      <c r="H60" s="192">
        <f t="shared" si="15"/>
        <v>187868.18605886755</v>
      </c>
      <c r="I60" s="191">
        <f>SUM(C31:H31,C60:H60)</f>
        <v>2367710.2925274796</v>
      </c>
      <c r="J60" s="339" t="s">
        <v>153</v>
      </c>
      <c r="K60" s="187">
        <f t="shared" si="10"/>
        <v>46</v>
      </c>
      <c r="O60" s="183"/>
      <c r="P60" s="180"/>
      <c r="Q60" s="180"/>
    </row>
    <row r="61" spans="1:17" x14ac:dyDescent="0.3">
      <c r="A61" s="187">
        <f t="shared" si="9"/>
        <v>47</v>
      </c>
      <c r="B61" s="190" t="s">
        <v>127</v>
      </c>
      <c r="C61" s="192">
        <f t="shared" si="15"/>
        <v>0</v>
      </c>
      <c r="D61" s="192">
        <f t="shared" si="15"/>
        <v>0</v>
      </c>
      <c r="E61" s="192">
        <f t="shared" si="15"/>
        <v>0</v>
      </c>
      <c r="F61" s="192">
        <f t="shared" si="15"/>
        <v>0</v>
      </c>
      <c r="G61" s="192">
        <f t="shared" si="15"/>
        <v>0</v>
      </c>
      <c r="H61" s="192">
        <f t="shared" si="15"/>
        <v>0</v>
      </c>
      <c r="I61" s="191">
        <f>SUM(C32:H32,C61:H61)</f>
        <v>0</v>
      </c>
      <c r="J61" s="339" t="s">
        <v>154</v>
      </c>
      <c r="K61" s="187">
        <f t="shared" si="10"/>
        <v>47</v>
      </c>
      <c r="O61" s="183"/>
      <c r="P61" s="180"/>
      <c r="Q61" s="180"/>
    </row>
    <row r="62" spans="1:17" ht="19.5" thickBot="1" x14ac:dyDescent="0.35">
      <c r="A62" s="187">
        <f t="shared" si="9"/>
        <v>48</v>
      </c>
      <c r="B62" s="38" t="s">
        <v>155</v>
      </c>
      <c r="C62" s="189">
        <f t="shared" ref="C62:I62" si="16">SUM(C59:C61)</f>
        <v>798304.00338841917</v>
      </c>
      <c r="D62" s="189">
        <f t="shared" si="16"/>
        <v>793411.4463995035</v>
      </c>
      <c r="E62" s="189">
        <f t="shared" si="16"/>
        <v>761986.80405046779</v>
      </c>
      <c r="F62" s="189">
        <f t="shared" si="16"/>
        <v>748298.62259776308</v>
      </c>
      <c r="G62" s="189">
        <f t="shared" si="16"/>
        <v>661411.01860677649</v>
      </c>
      <c r="H62" s="189">
        <f t="shared" si="16"/>
        <v>632130.57555408357</v>
      </c>
      <c r="I62" s="189">
        <f t="shared" si="16"/>
        <v>8209243.610618839</v>
      </c>
      <c r="J62" s="332" t="s">
        <v>156</v>
      </c>
      <c r="K62" s="187">
        <f t="shared" si="10"/>
        <v>48</v>
      </c>
      <c r="O62" s="183"/>
      <c r="P62" s="180"/>
      <c r="Q62" s="180"/>
    </row>
    <row r="63" spans="1:17" ht="19.5" thickTop="1" x14ac:dyDescent="0.3">
      <c r="A63" s="184"/>
      <c r="B63" s="186"/>
      <c r="C63" s="186"/>
      <c r="D63" s="186"/>
      <c r="E63" s="186"/>
      <c r="F63" s="186"/>
      <c r="G63" s="186"/>
      <c r="H63" s="186"/>
      <c r="I63" s="185"/>
      <c r="J63" s="184"/>
      <c r="K63" s="184"/>
      <c r="O63" s="183"/>
      <c r="P63" s="180"/>
      <c r="Q63" s="180"/>
    </row>
    <row r="64" spans="1:17" x14ac:dyDescent="0.3">
      <c r="B64" s="182" t="s">
        <v>46</v>
      </c>
    </row>
    <row r="65" spans="1:2" ht="22.5" x14ac:dyDescent="0.3">
      <c r="A65" s="181">
        <v>1</v>
      </c>
      <c r="B65" s="179" t="s">
        <v>275</v>
      </c>
    </row>
    <row r="66" spans="1:2" ht="22.5" x14ac:dyDescent="0.3">
      <c r="A66" s="181">
        <v>2</v>
      </c>
      <c r="B66" s="179" t="s">
        <v>157</v>
      </c>
    </row>
    <row r="67" spans="1:2" x14ac:dyDescent="0.3">
      <c r="A67" s="180"/>
    </row>
    <row r="68" spans="1:2" x14ac:dyDescent="0.3">
      <c r="A68" s="180"/>
    </row>
    <row r="69" spans="1:2" x14ac:dyDescent="0.3">
      <c r="A69" s="180"/>
    </row>
    <row r="70" spans="1:2" x14ac:dyDescent="0.3">
      <c r="A70" s="180"/>
    </row>
    <row r="71" spans="1:2" x14ac:dyDescent="0.3">
      <c r="A71" s="180"/>
    </row>
    <row r="72" spans="1:2" x14ac:dyDescent="0.3">
      <c r="A72" s="180"/>
    </row>
    <row r="73" spans="1:2" x14ac:dyDescent="0.3">
      <c r="A73" s="180"/>
    </row>
    <row r="74" spans="1:2" x14ac:dyDescent="0.3">
      <c r="A74" s="180"/>
    </row>
    <row r="75" spans="1:2" x14ac:dyDescent="0.3">
      <c r="A75" s="180"/>
    </row>
    <row r="76" spans="1:2" x14ac:dyDescent="0.3">
      <c r="A76" s="180"/>
    </row>
    <row r="77" spans="1:2" x14ac:dyDescent="0.3">
      <c r="A77" s="180"/>
    </row>
    <row r="78" spans="1:2" x14ac:dyDescent="0.3">
      <c r="A78" s="180"/>
    </row>
    <row r="79" spans="1:2" x14ac:dyDescent="0.3">
      <c r="A79" s="180"/>
    </row>
    <row r="80" spans="1:2" x14ac:dyDescent="0.3">
      <c r="A80" s="180"/>
    </row>
    <row r="81" spans="1:1" x14ac:dyDescent="0.3">
      <c r="A81" s="180"/>
    </row>
    <row r="82" spans="1:1" x14ac:dyDescent="0.3">
      <c r="A82" s="180"/>
    </row>
    <row r="83" spans="1:1" x14ac:dyDescent="0.3">
      <c r="A83" s="180"/>
    </row>
    <row r="84" spans="1:1" x14ac:dyDescent="0.3">
      <c r="A84" s="180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BG-Agricultural Customers&amp;C&amp;"Times New Roman,Regular"&amp;9Page BG-&amp;P&amp;12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K61"/>
  <sheetViews>
    <sheetView zoomScale="70" zoomScaleNormal="70" zoomScaleSheetLayoutView="70" workbookViewId="0">
      <selection activeCell="C22" sqref="C22"/>
    </sheetView>
  </sheetViews>
  <sheetFormatPr defaultColWidth="9.140625" defaultRowHeight="18.75" x14ac:dyDescent="0.3"/>
  <cols>
    <col min="1" max="1" width="5.5703125" style="1" bestFit="1" customWidth="1"/>
    <col min="2" max="2" width="32.5703125" style="1" bestFit="1" customWidth="1"/>
    <col min="3" max="8" width="15.5703125" style="1" bestFit="1" customWidth="1"/>
    <col min="9" max="9" width="16.5703125" style="1" bestFit="1" customWidth="1"/>
    <col min="10" max="10" width="53.42578125" style="1" bestFit="1" customWidth="1"/>
    <col min="11" max="11" width="5.5703125" style="1" bestFit="1" customWidth="1"/>
    <col min="12" max="22" width="12.5703125" style="1" customWidth="1"/>
    <col min="23" max="16384" width="9.140625" style="1"/>
  </cols>
  <sheetData>
    <row r="1" spans="1:11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18.75" customHeight="1" x14ac:dyDescent="0.3">
      <c r="A4" s="426" t="s">
        <v>111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</row>
    <row r="5" spans="1:11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</row>
    <row r="6" spans="1:11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1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91">
        <f>'Summary of Revs @ Changed Rates'!H8</f>
        <v>45809</v>
      </c>
      <c r="I8" s="29"/>
      <c r="J8" s="17" t="s">
        <v>115</v>
      </c>
      <c r="K8" s="17" t="s">
        <v>10</v>
      </c>
    </row>
    <row r="9" spans="1:11" x14ac:dyDescent="0.3">
      <c r="A9" s="11"/>
      <c r="B9" s="11"/>
      <c r="C9" s="31"/>
      <c r="D9" s="31"/>
      <c r="E9" s="31"/>
      <c r="F9" s="31"/>
      <c r="G9" s="31"/>
      <c r="H9" s="31"/>
      <c r="I9" s="31"/>
      <c r="J9" s="11"/>
      <c r="K9" s="11"/>
    </row>
    <row r="10" spans="1:11" x14ac:dyDescent="0.3">
      <c r="A10" s="11">
        <v>1</v>
      </c>
      <c r="B10" s="32" t="s">
        <v>276</v>
      </c>
      <c r="C10" s="31"/>
      <c r="D10" s="31"/>
      <c r="E10" s="31"/>
      <c r="F10" s="31"/>
      <c r="G10" s="31"/>
      <c r="H10" s="31"/>
      <c r="I10" s="31"/>
      <c r="J10" s="11"/>
      <c r="K10" s="11">
        <v>1</v>
      </c>
    </row>
    <row r="11" spans="1:11" x14ac:dyDescent="0.3">
      <c r="A11" s="11">
        <f>A10+1</f>
        <v>2</v>
      </c>
      <c r="B11" s="32" t="s">
        <v>277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1" x14ac:dyDescent="0.3">
      <c r="A12" s="11">
        <f t="shared" ref="A12:A31" si="0">A11+1</f>
        <v>3</v>
      </c>
      <c r="B12" s="14" t="s">
        <v>123</v>
      </c>
      <c r="C12" s="18">
        <f>'Workpaper 1'!C199*1000</f>
        <v>6148</v>
      </c>
      <c r="D12" s="18">
        <f>'Workpaper 1'!D199*1000</f>
        <v>6148</v>
      </c>
      <c r="E12" s="18">
        <f>'Workpaper 1'!E199*1000</f>
        <v>6148</v>
      </c>
      <c r="F12" s="18">
        <f>'Workpaper 1'!F199*1000</f>
        <v>6148</v>
      </c>
      <c r="G12" s="18">
        <f>'Workpaper 1'!G199*1000</f>
        <v>6148</v>
      </c>
      <c r="H12" s="18">
        <f>'Workpaper 1'!H199*1000</f>
        <v>6148</v>
      </c>
      <c r="I12" s="18"/>
      <c r="J12" s="11" t="s">
        <v>278</v>
      </c>
      <c r="K12" s="11">
        <f t="shared" ref="K12:K31" si="1">K11+1</f>
        <v>3</v>
      </c>
    </row>
    <row r="13" spans="1:11" x14ac:dyDescent="0.3">
      <c r="A13" s="11">
        <f t="shared" si="0"/>
        <v>4</v>
      </c>
      <c r="B13" s="14" t="s">
        <v>125</v>
      </c>
      <c r="C13" s="18">
        <f>'Workpaper 1'!C200*1000</f>
        <v>84682</v>
      </c>
      <c r="D13" s="18">
        <f>'Workpaper 1'!D200*1000</f>
        <v>84682</v>
      </c>
      <c r="E13" s="18">
        <f>'Workpaper 1'!E200*1000</f>
        <v>84682</v>
      </c>
      <c r="F13" s="18">
        <f>'Workpaper 1'!F200*1000</f>
        <v>84682</v>
      </c>
      <c r="G13" s="18">
        <f>'Workpaper 1'!G200*1000</f>
        <v>84682</v>
      </c>
      <c r="H13" s="18">
        <f>'Workpaper 1'!H200*1000</f>
        <v>84682</v>
      </c>
      <c r="I13" s="18"/>
      <c r="J13" s="11" t="s">
        <v>279</v>
      </c>
      <c r="K13" s="11">
        <f t="shared" si="1"/>
        <v>4</v>
      </c>
    </row>
    <row r="14" spans="1:11" x14ac:dyDescent="0.3">
      <c r="A14" s="11">
        <f t="shared" si="0"/>
        <v>5</v>
      </c>
      <c r="B14" s="14" t="s">
        <v>127</v>
      </c>
      <c r="C14" s="18">
        <f>'Workpaper 1'!C201*1000</f>
        <v>54676</v>
      </c>
      <c r="D14" s="18">
        <f>'Workpaper 1'!D201*1000</f>
        <v>54676</v>
      </c>
      <c r="E14" s="18">
        <f>'Workpaper 1'!E201*1000</f>
        <v>54676</v>
      </c>
      <c r="F14" s="18">
        <f>'Workpaper 1'!F201*1000</f>
        <v>54676</v>
      </c>
      <c r="G14" s="18">
        <f>'Workpaper 1'!G201*1000</f>
        <v>54676</v>
      </c>
      <c r="H14" s="18">
        <f>'Workpaper 1'!H201*1000</f>
        <v>54676</v>
      </c>
      <c r="I14" s="18"/>
      <c r="J14" s="11" t="s">
        <v>280</v>
      </c>
      <c r="K14" s="11">
        <f t="shared" si="1"/>
        <v>5</v>
      </c>
    </row>
    <row r="15" spans="1:11" ht="19.5" thickBot="1" x14ac:dyDescent="0.35">
      <c r="A15" s="11">
        <f t="shared" si="0"/>
        <v>6</v>
      </c>
      <c r="B15" s="14" t="s">
        <v>129</v>
      </c>
      <c r="C15" s="33">
        <f t="shared" ref="C15:H15" si="2">SUM(C12:C14)</f>
        <v>145506</v>
      </c>
      <c r="D15" s="33">
        <f t="shared" si="2"/>
        <v>145506</v>
      </c>
      <c r="E15" s="33">
        <f t="shared" si="2"/>
        <v>145506</v>
      </c>
      <c r="F15" s="33">
        <f t="shared" si="2"/>
        <v>145506</v>
      </c>
      <c r="G15" s="33">
        <f t="shared" si="2"/>
        <v>145506</v>
      </c>
      <c r="H15" s="33">
        <f t="shared" si="2"/>
        <v>145506</v>
      </c>
      <c r="I15" s="18"/>
      <c r="J15" s="34" t="s">
        <v>164</v>
      </c>
      <c r="K15" s="11">
        <f t="shared" si="1"/>
        <v>6</v>
      </c>
    </row>
    <row r="16" spans="1:11" ht="20.25" thickTop="1" thickBot="1" x14ac:dyDescent="0.35">
      <c r="A16" s="11">
        <f t="shared" si="0"/>
        <v>7</v>
      </c>
      <c r="B16" s="14" t="s">
        <v>131</v>
      </c>
      <c r="C16" s="35">
        <f>'A-Billing Determinants'!D36</f>
        <v>145506</v>
      </c>
      <c r="D16" s="35">
        <f>'A-Billing Determinants'!F36</f>
        <v>145506</v>
      </c>
      <c r="E16" s="35">
        <f>'A-Billing Determinants'!H36</f>
        <v>145506</v>
      </c>
      <c r="F16" s="35">
        <f>'A-Billing Determinants'!J36</f>
        <v>145506</v>
      </c>
      <c r="G16" s="35">
        <f>'A-Billing Determinants'!L36</f>
        <v>145506</v>
      </c>
      <c r="H16" s="35">
        <f>'A-Billing Determinants'!N36</f>
        <v>145506</v>
      </c>
      <c r="I16" s="37"/>
      <c r="J16" s="11" t="s">
        <v>281</v>
      </c>
      <c r="K16" s="11">
        <f t="shared" si="1"/>
        <v>7</v>
      </c>
    </row>
    <row r="17" spans="1:11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37"/>
      <c r="J17" s="36" t="s">
        <v>166</v>
      </c>
      <c r="K17" s="11">
        <f t="shared" si="1"/>
        <v>8</v>
      </c>
    </row>
    <row r="18" spans="1:11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37"/>
      <c r="J18" s="36"/>
      <c r="K18" s="11">
        <f t="shared" si="1"/>
        <v>9</v>
      </c>
    </row>
    <row r="19" spans="1:11" x14ac:dyDescent="0.3">
      <c r="A19" s="11">
        <f t="shared" si="0"/>
        <v>10</v>
      </c>
      <c r="B19" s="38" t="s">
        <v>282</v>
      </c>
      <c r="C19" s="14"/>
      <c r="D19" s="14"/>
      <c r="E19" s="14"/>
      <c r="F19" s="14"/>
      <c r="G19" s="14"/>
      <c r="H19" s="14"/>
      <c r="I19" s="14"/>
      <c r="J19" s="11"/>
      <c r="K19" s="11">
        <f t="shared" si="1"/>
        <v>10</v>
      </c>
    </row>
    <row r="20" spans="1:11" x14ac:dyDescent="0.3">
      <c r="A20" s="11">
        <f t="shared" si="0"/>
        <v>11</v>
      </c>
      <c r="B20" s="14" t="s">
        <v>123</v>
      </c>
      <c r="C20" s="51">
        <f>'[2]Transmission Rates Summary'!$F$54</f>
        <v>6.82</v>
      </c>
      <c r="D20" s="51">
        <f t="shared" ref="D20:H22" si="4">C20</f>
        <v>6.82</v>
      </c>
      <c r="E20" s="51">
        <f t="shared" si="4"/>
        <v>6.82</v>
      </c>
      <c r="F20" s="51">
        <f t="shared" si="4"/>
        <v>6.82</v>
      </c>
      <c r="G20" s="51">
        <f t="shared" si="4"/>
        <v>6.82</v>
      </c>
      <c r="H20" s="51">
        <f t="shared" si="4"/>
        <v>6.82</v>
      </c>
      <c r="I20" s="51"/>
      <c r="J20" s="11" t="s">
        <v>283</v>
      </c>
      <c r="K20" s="11">
        <f t="shared" si="1"/>
        <v>11</v>
      </c>
    </row>
    <row r="21" spans="1:11" x14ac:dyDescent="0.3">
      <c r="A21" s="11">
        <f t="shared" si="0"/>
        <v>12</v>
      </c>
      <c r="B21" s="14" t="s">
        <v>138</v>
      </c>
      <c r="C21" s="51">
        <f>'[2]Transmission Rates Summary'!$E$54</f>
        <v>6.6</v>
      </c>
      <c r="D21" s="51">
        <f t="shared" si="4"/>
        <v>6.6</v>
      </c>
      <c r="E21" s="51">
        <f t="shared" si="4"/>
        <v>6.6</v>
      </c>
      <c r="F21" s="51">
        <f t="shared" si="4"/>
        <v>6.6</v>
      </c>
      <c r="G21" s="51">
        <f t="shared" si="4"/>
        <v>6.6</v>
      </c>
      <c r="H21" s="51">
        <f t="shared" si="4"/>
        <v>6.6</v>
      </c>
      <c r="I21" s="51"/>
      <c r="J21" s="11" t="s">
        <v>284</v>
      </c>
      <c r="K21" s="11">
        <f t="shared" si="1"/>
        <v>12</v>
      </c>
    </row>
    <row r="22" spans="1:11" x14ac:dyDescent="0.3">
      <c r="A22" s="11">
        <f t="shared" si="0"/>
        <v>13</v>
      </c>
      <c r="B22" s="14" t="s">
        <v>127</v>
      </c>
      <c r="C22" s="51">
        <f>'[2]Transmission Rates Summary'!$D$54</f>
        <v>6.57</v>
      </c>
      <c r="D22" s="51">
        <f t="shared" si="4"/>
        <v>6.57</v>
      </c>
      <c r="E22" s="51">
        <f t="shared" si="4"/>
        <v>6.57</v>
      </c>
      <c r="F22" s="51">
        <f t="shared" si="4"/>
        <v>6.57</v>
      </c>
      <c r="G22" s="51">
        <f t="shared" si="4"/>
        <v>6.57</v>
      </c>
      <c r="H22" s="51">
        <f t="shared" si="4"/>
        <v>6.57</v>
      </c>
      <c r="I22" s="51"/>
      <c r="J22" s="11" t="s">
        <v>285</v>
      </c>
      <c r="K22" s="11">
        <f t="shared" si="1"/>
        <v>13</v>
      </c>
    </row>
    <row r="23" spans="1:11" x14ac:dyDescent="0.3">
      <c r="A23" s="11">
        <f t="shared" si="0"/>
        <v>14</v>
      </c>
      <c r="B23" s="14"/>
      <c r="C23" s="14"/>
      <c r="D23" s="14"/>
      <c r="E23" s="14"/>
      <c r="F23" s="14"/>
      <c r="G23" s="14"/>
      <c r="H23" s="14"/>
      <c r="I23" s="14"/>
      <c r="J23" s="11"/>
      <c r="K23" s="11">
        <f t="shared" si="1"/>
        <v>14</v>
      </c>
    </row>
    <row r="24" spans="1:11" x14ac:dyDescent="0.3">
      <c r="A24" s="11">
        <f t="shared" si="0"/>
        <v>15</v>
      </c>
      <c r="B24" s="32" t="s">
        <v>142</v>
      </c>
      <c r="C24" s="14"/>
      <c r="D24" s="14"/>
      <c r="E24" s="14"/>
      <c r="F24" s="14"/>
      <c r="G24" s="14"/>
      <c r="H24" s="14"/>
      <c r="I24" s="14"/>
      <c r="J24" s="11"/>
      <c r="K24" s="11">
        <f t="shared" si="1"/>
        <v>15</v>
      </c>
    </row>
    <row r="25" spans="1:11" x14ac:dyDescent="0.3">
      <c r="A25" s="11">
        <f t="shared" si="0"/>
        <v>16</v>
      </c>
      <c r="B25" s="14" t="s">
        <v>123</v>
      </c>
      <c r="C25" s="53">
        <f t="shared" ref="C25:H27" si="5">ROUND(C12*C20,0)</f>
        <v>41929</v>
      </c>
      <c r="D25" s="53">
        <f t="shared" si="5"/>
        <v>41929</v>
      </c>
      <c r="E25" s="53">
        <f t="shared" si="5"/>
        <v>41929</v>
      </c>
      <c r="F25" s="53">
        <f t="shared" si="5"/>
        <v>41929</v>
      </c>
      <c r="G25" s="53">
        <f t="shared" si="5"/>
        <v>41929</v>
      </c>
      <c r="H25" s="53">
        <f t="shared" si="5"/>
        <v>41929</v>
      </c>
      <c r="I25" s="53"/>
      <c r="J25" s="41" t="s">
        <v>286</v>
      </c>
      <c r="K25" s="11">
        <f t="shared" si="1"/>
        <v>16</v>
      </c>
    </row>
    <row r="26" spans="1:11" x14ac:dyDescent="0.3">
      <c r="A26" s="11">
        <f t="shared" si="0"/>
        <v>17</v>
      </c>
      <c r="B26" s="14" t="s">
        <v>125</v>
      </c>
      <c r="C26" s="47">
        <f t="shared" si="5"/>
        <v>558901</v>
      </c>
      <c r="D26" s="47">
        <f t="shared" si="5"/>
        <v>558901</v>
      </c>
      <c r="E26" s="47">
        <f t="shared" si="5"/>
        <v>558901</v>
      </c>
      <c r="F26" s="47">
        <f t="shared" si="5"/>
        <v>558901</v>
      </c>
      <c r="G26" s="47">
        <f t="shared" si="5"/>
        <v>558901</v>
      </c>
      <c r="H26" s="47">
        <f t="shared" si="5"/>
        <v>558901</v>
      </c>
      <c r="I26" s="47"/>
      <c r="J26" s="41" t="s">
        <v>287</v>
      </c>
      <c r="K26" s="11">
        <f t="shared" si="1"/>
        <v>17</v>
      </c>
    </row>
    <row r="27" spans="1:11" x14ac:dyDescent="0.3">
      <c r="A27" s="11">
        <f t="shared" si="0"/>
        <v>18</v>
      </c>
      <c r="B27" s="14" t="s">
        <v>127</v>
      </c>
      <c r="C27" s="47">
        <f t="shared" si="5"/>
        <v>359221</v>
      </c>
      <c r="D27" s="47">
        <f t="shared" si="5"/>
        <v>359221</v>
      </c>
      <c r="E27" s="47">
        <f t="shared" si="5"/>
        <v>359221</v>
      </c>
      <c r="F27" s="47">
        <f t="shared" si="5"/>
        <v>359221</v>
      </c>
      <c r="G27" s="47">
        <f t="shared" si="5"/>
        <v>359221</v>
      </c>
      <c r="H27" s="47">
        <f t="shared" si="5"/>
        <v>359221</v>
      </c>
      <c r="I27" s="47"/>
      <c r="J27" s="41" t="s">
        <v>288</v>
      </c>
      <c r="K27" s="11">
        <f t="shared" si="1"/>
        <v>18</v>
      </c>
    </row>
    <row r="28" spans="1:11" ht="19.5" thickBot="1" x14ac:dyDescent="0.35">
      <c r="A28" s="11">
        <f t="shared" si="0"/>
        <v>19</v>
      </c>
      <c r="B28" s="14" t="s">
        <v>221</v>
      </c>
      <c r="C28" s="54">
        <f t="shared" ref="C28:H28" si="6">SUM(C25:C27)</f>
        <v>960051</v>
      </c>
      <c r="D28" s="54">
        <f t="shared" si="6"/>
        <v>960051</v>
      </c>
      <c r="E28" s="54">
        <f t="shared" si="6"/>
        <v>960051</v>
      </c>
      <c r="F28" s="54">
        <f t="shared" si="6"/>
        <v>960051</v>
      </c>
      <c r="G28" s="54">
        <f t="shared" si="6"/>
        <v>960051</v>
      </c>
      <c r="H28" s="54">
        <f t="shared" si="6"/>
        <v>960051</v>
      </c>
      <c r="I28" s="53"/>
      <c r="J28" s="55" t="s">
        <v>289</v>
      </c>
      <c r="K28" s="11">
        <f t="shared" si="1"/>
        <v>19</v>
      </c>
    </row>
    <row r="29" spans="1:11" ht="19.5" thickTop="1" x14ac:dyDescent="0.3">
      <c r="A29" s="11">
        <f t="shared" si="0"/>
        <v>20</v>
      </c>
      <c r="B29" s="14"/>
      <c r="C29" s="53"/>
      <c r="D29" s="53"/>
      <c r="E29" s="53"/>
      <c r="F29" s="53"/>
      <c r="G29" s="53"/>
      <c r="H29" s="53"/>
      <c r="I29" s="53"/>
      <c r="J29" s="55"/>
      <c r="K29" s="11">
        <f t="shared" si="1"/>
        <v>20</v>
      </c>
    </row>
    <row r="30" spans="1:11" x14ac:dyDescent="0.3">
      <c r="A30" s="11">
        <f t="shared" si="0"/>
        <v>21</v>
      </c>
      <c r="B30" s="38" t="s">
        <v>258</v>
      </c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1" ht="19.5" thickBot="1" x14ac:dyDescent="0.35">
      <c r="A31" s="11">
        <f t="shared" si="0"/>
        <v>22</v>
      </c>
      <c r="B31" s="38" t="s">
        <v>290</v>
      </c>
      <c r="C31" s="45">
        <f t="shared" ref="C31:H31" si="7">C28</f>
        <v>960051</v>
      </c>
      <c r="D31" s="45">
        <f t="shared" si="7"/>
        <v>960051</v>
      </c>
      <c r="E31" s="45">
        <f t="shared" si="7"/>
        <v>960051</v>
      </c>
      <c r="F31" s="45">
        <f t="shared" si="7"/>
        <v>960051</v>
      </c>
      <c r="G31" s="45">
        <f t="shared" si="7"/>
        <v>960051</v>
      </c>
      <c r="H31" s="45">
        <f t="shared" si="7"/>
        <v>960051</v>
      </c>
      <c r="I31" s="44"/>
      <c r="J31" s="41" t="s">
        <v>291</v>
      </c>
      <c r="K31" s="11">
        <f t="shared" si="1"/>
        <v>22</v>
      </c>
    </row>
    <row r="32" spans="1:11" ht="19.5" thickTop="1" x14ac:dyDescent="0.3">
      <c r="A32" s="17"/>
      <c r="B32" s="24"/>
      <c r="C32" s="24"/>
      <c r="D32" s="24"/>
      <c r="E32" s="24"/>
      <c r="F32" s="24"/>
      <c r="G32" s="24"/>
      <c r="H32" s="24"/>
      <c r="I32" s="24"/>
      <c r="J32" s="17"/>
      <c r="K32" s="17"/>
    </row>
    <row r="33" spans="1:11" x14ac:dyDescent="0.3">
      <c r="A33" s="7"/>
    </row>
    <row r="34" spans="1:11" x14ac:dyDescent="0.3">
      <c r="A34" s="8" t="s">
        <v>8</v>
      </c>
      <c r="B34" s="28"/>
      <c r="C34" s="8" t="str">
        <f>C7</f>
        <v>(A)</v>
      </c>
      <c r="D34" s="8" t="str">
        <f t="shared" ref="D34:I34" si="8">D7</f>
        <v>(B)</v>
      </c>
      <c r="E34" s="8" t="str">
        <f t="shared" si="8"/>
        <v>(C)</v>
      </c>
      <c r="F34" s="8" t="str">
        <f t="shared" si="8"/>
        <v>(D)</v>
      </c>
      <c r="G34" s="8" t="str">
        <f t="shared" si="8"/>
        <v>(E)</v>
      </c>
      <c r="H34" s="8" t="str">
        <f t="shared" si="8"/>
        <v>(F)</v>
      </c>
      <c r="I34" s="8" t="str">
        <f t="shared" si="8"/>
        <v>(G)</v>
      </c>
      <c r="J34" s="28"/>
      <c r="K34" s="8" t="s">
        <v>8</v>
      </c>
    </row>
    <row r="35" spans="1:11" ht="22.5" x14ac:dyDescent="0.3">
      <c r="A35" s="17" t="s">
        <v>10</v>
      </c>
      <c r="B35" s="17" t="s">
        <v>114</v>
      </c>
      <c r="C35" s="29">
        <f>'Summary of Revs @ Changed Rates'!C30</f>
        <v>45839</v>
      </c>
      <c r="D35" s="29">
        <f>'Summary of Revs @ Changed Rates'!D30</f>
        <v>45870</v>
      </c>
      <c r="E35" s="29">
        <f>'Summary of Revs @ Changed Rates'!E30</f>
        <v>45901</v>
      </c>
      <c r="F35" s="29">
        <f>'Summary of Revs @ Changed Rates'!F30</f>
        <v>45931</v>
      </c>
      <c r="G35" s="29">
        <f>'Summary of Revs @ Changed Rates'!G30</f>
        <v>45962</v>
      </c>
      <c r="H35" s="29">
        <f>'Summary of Revs @ Changed Rates'!H30</f>
        <v>45992</v>
      </c>
      <c r="I35" s="30" t="s">
        <v>61</v>
      </c>
      <c r="J35" s="17" t="s">
        <v>115</v>
      </c>
      <c r="K35" s="17" t="s">
        <v>10</v>
      </c>
    </row>
    <row r="36" spans="1:11" x14ac:dyDescent="0.3">
      <c r="A36" s="11"/>
      <c r="B36" s="11"/>
      <c r="C36" s="31"/>
      <c r="D36" s="31"/>
      <c r="E36" s="31"/>
      <c r="F36" s="31"/>
      <c r="G36" s="31"/>
      <c r="H36" s="31"/>
      <c r="I36" s="90"/>
      <c r="J36" s="11"/>
      <c r="K36" s="11"/>
    </row>
    <row r="37" spans="1:11" x14ac:dyDescent="0.3">
      <c r="A37" s="11">
        <f>A31+1</f>
        <v>23</v>
      </c>
      <c r="B37" s="32" t="s">
        <v>276</v>
      </c>
      <c r="C37" s="31"/>
      <c r="D37" s="31"/>
      <c r="E37" s="31"/>
      <c r="F37" s="31"/>
      <c r="G37" s="31"/>
      <c r="H37" s="31"/>
      <c r="I37" s="11"/>
      <c r="J37" s="11"/>
      <c r="K37" s="11">
        <f>K31+1</f>
        <v>23</v>
      </c>
    </row>
    <row r="38" spans="1:11" x14ac:dyDescent="0.3">
      <c r="A38" s="11">
        <f>A37+1</f>
        <v>24</v>
      </c>
      <c r="B38" s="32" t="s">
        <v>277</v>
      </c>
      <c r="C38" s="14"/>
      <c r="D38" s="14"/>
      <c r="E38" s="14"/>
      <c r="F38" s="14"/>
      <c r="G38" s="14"/>
      <c r="H38" s="14"/>
      <c r="I38" s="14"/>
      <c r="J38" s="11"/>
      <c r="K38" s="11">
        <f>K37+1</f>
        <v>24</v>
      </c>
    </row>
    <row r="39" spans="1:11" x14ac:dyDescent="0.3">
      <c r="A39" s="11">
        <f t="shared" ref="A39:A58" si="9">A38+1</f>
        <v>25</v>
      </c>
      <c r="B39" s="14" t="s">
        <v>123</v>
      </c>
      <c r="C39" s="47">
        <f>'Workpaper 1'!I199*1000</f>
        <v>6148</v>
      </c>
      <c r="D39" s="47">
        <f>'Workpaper 1'!J199*1000</f>
        <v>6148</v>
      </c>
      <c r="E39" s="47">
        <f>'Workpaper 1'!K199*1000</f>
        <v>6148</v>
      </c>
      <c r="F39" s="47">
        <f>'Workpaper 1'!L199*1000</f>
        <v>6148</v>
      </c>
      <c r="G39" s="47">
        <f>'Workpaper 1'!M199*1000</f>
        <v>6148</v>
      </c>
      <c r="H39" s="47">
        <f>'Workpaper 1'!N199*1000</f>
        <v>6148</v>
      </c>
      <c r="I39" s="47">
        <f>SUM(C12:H12,C39:H39)</f>
        <v>73776</v>
      </c>
      <c r="J39" s="11" t="str">
        <f>J12</f>
        <v>(Page BG-21.4, Line 197) x 1000</v>
      </c>
      <c r="K39" s="11">
        <f t="shared" ref="K39:K58" si="10">K38+1</f>
        <v>25</v>
      </c>
    </row>
    <row r="40" spans="1:11" x14ac:dyDescent="0.3">
      <c r="A40" s="11">
        <f t="shared" si="9"/>
        <v>26</v>
      </c>
      <c r="B40" s="14" t="s">
        <v>125</v>
      </c>
      <c r="C40" s="47">
        <f>'Workpaper 1'!I200*1000</f>
        <v>84682</v>
      </c>
      <c r="D40" s="47">
        <f>'Workpaper 1'!J200*1000</f>
        <v>84682</v>
      </c>
      <c r="E40" s="47">
        <f>'Workpaper 1'!K200*1000</f>
        <v>84682</v>
      </c>
      <c r="F40" s="47">
        <f>'Workpaper 1'!L200*1000</f>
        <v>84682</v>
      </c>
      <c r="G40" s="47">
        <f>'Workpaper 1'!M200*1000</f>
        <v>84682</v>
      </c>
      <c r="H40" s="47">
        <f>'Workpaper 1'!N200*1000</f>
        <v>84682</v>
      </c>
      <c r="I40" s="47">
        <f>SUM(C13:H13,C40:H40)</f>
        <v>1016184</v>
      </c>
      <c r="J40" s="11" t="str">
        <f>J13</f>
        <v>(Page BG-21.4, Line 198) x 1000</v>
      </c>
      <c r="K40" s="11">
        <f t="shared" si="10"/>
        <v>26</v>
      </c>
    </row>
    <row r="41" spans="1:11" x14ac:dyDescent="0.3">
      <c r="A41" s="11">
        <f t="shared" si="9"/>
        <v>27</v>
      </c>
      <c r="B41" s="14" t="s">
        <v>127</v>
      </c>
      <c r="C41" s="47">
        <f>'Workpaper 1'!I201*1000</f>
        <v>54676</v>
      </c>
      <c r="D41" s="47">
        <f>'Workpaper 1'!J201*1000</f>
        <v>54676</v>
      </c>
      <c r="E41" s="47">
        <f>'Workpaper 1'!K201*1000</f>
        <v>54676</v>
      </c>
      <c r="F41" s="47">
        <f>'Workpaper 1'!L201*1000</f>
        <v>54676</v>
      </c>
      <c r="G41" s="47">
        <f>'Workpaper 1'!M201*1000</f>
        <v>54676</v>
      </c>
      <c r="H41" s="47">
        <f>'Workpaper 1'!N201*1000</f>
        <v>54676</v>
      </c>
      <c r="I41" s="47">
        <f>SUM(C14:H14,C41:H41)</f>
        <v>656112</v>
      </c>
      <c r="J41" s="11" t="str">
        <f>J14</f>
        <v>(Page BG-21.4, Line 199) x 1000</v>
      </c>
      <c r="K41" s="11">
        <f t="shared" si="10"/>
        <v>27</v>
      </c>
    </row>
    <row r="42" spans="1:11" ht="19.5" thickBot="1" x14ac:dyDescent="0.35">
      <c r="A42" s="11">
        <f t="shared" si="9"/>
        <v>28</v>
      </c>
      <c r="B42" s="14"/>
      <c r="C42" s="48">
        <f t="shared" ref="C42:I42" si="11">SUM(C39:C41)</f>
        <v>145506</v>
      </c>
      <c r="D42" s="48">
        <f t="shared" si="11"/>
        <v>145506</v>
      </c>
      <c r="E42" s="48">
        <f t="shared" si="11"/>
        <v>145506</v>
      </c>
      <c r="F42" s="48">
        <f t="shared" si="11"/>
        <v>145506</v>
      </c>
      <c r="G42" s="48">
        <f t="shared" si="11"/>
        <v>145506</v>
      </c>
      <c r="H42" s="48">
        <f t="shared" si="11"/>
        <v>145506</v>
      </c>
      <c r="I42" s="48">
        <f t="shared" si="11"/>
        <v>1746072</v>
      </c>
      <c r="J42" s="50" t="s">
        <v>292</v>
      </c>
      <c r="K42" s="11">
        <f t="shared" si="10"/>
        <v>28</v>
      </c>
    </row>
    <row r="43" spans="1:11" ht="20.25" thickTop="1" thickBot="1" x14ac:dyDescent="0.35">
      <c r="A43" s="11">
        <f t="shared" si="9"/>
        <v>29</v>
      </c>
      <c r="B43" s="14" t="s">
        <v>131</v>
      </c>
      <c r="C43" s="35">
        <f>'B-Billing Determinants'!D36</f>
        <v>145506</v>
      </c>
      <c r="D43" s="35">
        <f>'B-Billing Determinants'!F36</f>
        <v>145506</v>
      </c>
      <c r="E43" s="35">
        <f>'B-Billing Determinants'!H36</f>
        <v>145506</v>
      </c>
      <c r="F43" s="35">
        <f>'B-Billing Determinants'!J36</f>
        <v>145506</v>
      </c>
      <c r="G43" s="35">
        <f>'B-Billing Determinants'!L36</f>
        <v>145506</v>
      </c>
      <c r="H43" s="35">
        <f>'B-Billing Determinants'!N36</f>
        <v>145506</v>
      </c>
      <c r="I43" s="35">
        <f>SUM(C16:H16,C43:H43)</f>
        <v>1746072</v>
      </c>
      <c r="J43" s="11" t="s">
        <v>293</v>
      </c>
      <c r="K43" s="11">
        <f t="shared" si="10"/>
        <v>29</v>
      </c>
    </row>
    <row r="44" spans="1:11" ht="20.25" thickTop="1" thickBot="1" x14ac:dyDescent="0.35">
      <c r="A44" s="11">
        <f t="shared" si="9"/>
        <v>30</v>
      </c>
      <c r="B44" s="14" t="s">
        <v>133</v>
      </c>
      <c r="C44" s="35">
        <f t="shared" ref="C44:I44" si="12">C42-C43</f>
        <v>0</v>
      </c>
      <c r="D44" s="35">
        <f t="shared" si="12"/>
        <v>0</v>
      </c>
      <c r="E44" s="35">
        <f t="shared" si="12"/>
        <v>0</v>
      </c>
      <c r="F44" s="35">
        <f t="shared" si="12"/>
        <v>0</v>
      </c>
      <c r="G44" s="35">
        <f t="shared" si="12"/>
        <v>0</v>
      </c>
      <c r="H44" s="35">
        <f t="shared" si="12"/>
        <v>0</v>
      </c>
      <c r="I44" s="35">
        <f t="shared" si="12"/>
        <v>0</v>
      </c>
      <c r="J44" s="36" t="s">
        <v>294</v>
      </c>
      <c r="K44" s="11">
        <f t="shared" si="10"/>
        <v>30</v>
      </c>
    </row>
    <row r="45" spans="1:11" ht="19.5" thickTop="1" x14ac:dyDescent="0.3">
      <c r="A45" s="11">
        <f t="shared" si="9"/>
        <v>31</v>
      </c>
      <c r="B45" s="11"/>
      <c r="C45" s="37"/>
      <c r="D45" s="37"/>
      <c r="E45" s="37"/>
      <c r="F45" s="37"/>
      <c r="G45" s="37"/>
      <c r="H45" s="37"/>
      <c r="I45" s="37"/>
      <c r="J45" s="36"/>
      <c r="K45" s="11">
        <f t="shared" si="10"/>
        <v>31</v>
      </c>
    </row>
    <row r="46" spans="1:11" x14ac:dyDescent="0.3">
      <c r="A46" s="11">
        <f t="shared" si="9"/>
        <v>32</v>
      </c>
      <c r="B46" s="38" t="s">
        <v>282</v>
      </c>
      <c r="C46" s="14"/>
      <c r="D46" s="14"/>
      <c r="E46" s="14"/>
      <c r="F46" s="14"/>
      <c r="G46" s="14"/>
      <c r="H46" s="14"/>
      <c r="I46" s="14"/>
      <c r="J46" s="11"/>
      <c r="K46" s="11">
        <f t="shared" si="10"/>
        <v>32</v>
      </c>
    </row>
    <row r="47" spans="1:11" x14ac:dyDescent="0.3">
      <c r="A47" s="11">
        <f t="shared" si="9"/>
        <v>33</v>
      </c>
      <c r="B47" s="14" t="s">
        <v>123</v>
      </c>
      <c r="C47" s="51">
        <f>H20</f>
        <v>6.82</v>
      </c>
      <c r="D47" s="51">
        <f t="shared" ref="D47:H49" si="13">C47</f>
        <v>6.82</v>
      </c>
      <c r="E47" s="51">
        <f t="shared" si="13"/>
        <v>6.82</v>
      </c>
      <c r="F47" s="51">
        <f t="shared" si="13"/>
        <v>6.82</v>
      </c>
      <c r="G47" s="51">
        <f t="shared" si="13"/>
        <v>6.82</v>
      </c>
      <c r="H47" s="51">
        <f t="shared" si="13"/>
        <v>6.82</v>
      </c>
      <c r="I47" s="14"/>
      <c r="J47" s="11" t="str">
        <f>J20</f>
        <v>Statement BL, Page BL-1, Line 41, Col. D</v>
      </c>
      <c r="K47" s="11">
        <f t="shared" si="10"/>
        <v>33</v>
      </c>
    </row>
    <row r="48" spans="1:11" x14ac:dyDescent="0.3">
      <c r="A48" s="11">
        <f t="shared" si="9"/>
        <v>34</v>
      </c>
      <c r="B48" s="14" t="s">
        <v>138</v>
      </c>
      <c r="C48" s="51">
        <f>H21</f>
        <v>6.6</v>
      </c>
      <c r="D48" s="51">
        <f t="shared" si="13"/>
        <v>6.6</v>
      </c>
      <c r="E48" s="51">
        <f t="shared" si="13"/>
        <v>6.6</v>
      </c>
      <c r="F48" s="51">
        <f t="shared" si="13"/>
        <v>6.6</v>
      </c>
      <c r="G48" s="51">
        <f t="shared" si="13"/>
        <v>6.6</v>
      </c>
      <c r="H48" s="51">
        <f t="shared" si="13"/>
        <v>6.6</v>
      </c>
      <c r="I48" s="14"/>
      <c r="J48" s="11" t="str">
        <f>J21</f>
        <v>Statement BL, Page BL-1, Line 41, Col. C</v>
      </c>
      <c r="K48" s="11">
        <f t="shared" si="10"/>
        <v>34</v>
      </c>
    </row>
    <row r="49" spans="1:11" x14ac:dyDescent="0.3">
      <c r="A49" s="11">
        <f t="shared" si="9"/>
        <v>35</v>
      </c>
      <c r="B49" s="14" t="s">
        <v>127</v>
      </c>
      <c r="C49" s="51">
        <f>H22</f>
        <v>6.57</v>
      </c>
      <c r="D49" s="51">
        <f t="shared" si="13"/>
        <v>6.57</v>
      </c>
      <c r="E49" s="51">
        <f t="shared" si="13"/>
        <v>6.57</v>
      </c>
      <c r="F49" s="51">
        <f t="shared" si="13"/>
        <v>6.57</v>
      </c>
      <c r="G49" s="51">
        <f t="shared" si="13"/>
        <v>6.57</v>
      </c>
      <c r="H49" s="51">
        <f t="shared" si="13"/>
        <v>6.57</v>
      </c>
      <c r="I49" s="14"/>
      <c r="J49" s="11" t="str">
        <f>J22</f>
        <v>Statement BL, Page BL-1, Line 41, Col. B</v>
      </c>
      <c r="K49" s="11">
        <f t="shared" si="10"/>
        <v>35</v>
      </c>
    </row>
    <row r="50" spans="1:11" x14ac:dyDescent="0.3">
      <c r="A50" s="11">
        <f t="shared" si="9"/>
        <v>36</v>
      </c>
      <c r="B50" s="14"/>
      <c r="C50" s="14"/>
      <c r="D50" s="14"/>
      <c r="E50" s="14"/>
      <c r="F50" s="14"/>
      <c r="G50" s="14"/>
      <c r="H50" s="14"/>
      <c r="I50" s="14"/>
      <c r="J50" s="11"/>
      <c r="K50" s="11">
        <f t="shared" si="10"/>
        <v>36</v>
      </c>
    </row>
    <row r="51" spans="1:11" x14ac:dyDescent="0.3">
      <c r="A51" s="11">
        <f t="shared" si="9"/>
        <v>37</v>
      </c>
      <c r="B51" s="32" t="s">
        <v>142</v>
      </c>
      <c r="C51" s="14"/>
      <c r="D51" s="14"/>
      <c r="E51" s="14"/>
      <c r="F51" s="14"/>
      <c r="G51" s="14"/>
      <c r="H51" s="14"/>
      <c r="I51" s="14"/>
      <c r="J51" s="11"/>
      <c r="K51" s="11">
        <f t="shared" si="10"/>
        <v>37</v>
      </c>
    </row>
    <row r="52" spans="1:11" x14ac:dyDescent="0.3">
      <c r="A52" s="11">
        <f t="shared" si="9"/>
        <v>38</v>
      </c>
      <c r="B52" s="14" t="s">
        <v>123</v>
      </c>
      <c r="C52" s="40">
        <f t="shared" ref="C52:H52" si="14">ROUND(C39*C47,0)</f>
        <v>41929</v>
      </c>
      <c r="D52" s="40">
        <f t="shared" si="14"/>
        <v>41929</v>
      </c>
      <c r="E52" s="40">
        <f t="shared" si="14"/>
        <v>41929</v>
      </c>
      <c r="F52" s="40">
        <f t="shared" si="14"/>
        <v>41929</v>
      </c>
      <c r="G52" s="40">
        <f t="shared" si="14"/>
        <v>41929</v>
      </c>
      <c r="H52" s="40">
        <f t="shared" si="14"/>
        <v>41929</v>
      </c>
      <c r="I52" s="40">
        <f>SUM(C25:H25,C52:H52)</f>
        <v>503148</v>
      </c>
      <c r="J52" s="41" t="s">
        <v>295</v>
      </c>
      <c r="K52" s="11">
        <f t="shared" si="10"/>
        <v>38</v>
      </c>
    </row>
    <row r="53" spans="1:11" x14ac:dyDescent="0.3">
      <c r="A53" s="11">
        <f t="shared" si="9"/>
        <v>39</v>
      </c>
      <c r="B53" s="14" t="s">
        <v>125</v>
      </c>
      <c r="C53" s="18">
        <f t="shared" ref="C53:H53" si="15">ROUND(C40*C48,0)</f>
        <v>558901</v>
      </c>
      <c r="D53" s="18">
        <f t="shared" si="15"/>
        <v>558901</v>
      </c>
      <c r="E53" s="18">
        <f t="shared" si="15"/>
        <v>558901</v>
      </c>
      <c r="F53" s="18">
        <f t="shared" si="15"/>
        <v>558901</v>
      </c>
      <c r="G53" s="18">
        <f t="shared" si="15"/>
        <v>558901</v>
      </c>
      <c r="H53" s="18">
        <f t="shared" si="15"/>
        <v>558901</v>
      </c>
      <c r="I53" s="40">
        <f>SUM(C26:H26,C53:H53)</f>
        <v>6706812</v>
      </c>
      <c r="J53" s="41" t="s">
        <v>296</v>
      </c>
      <c r="K53" s="11">
        <f t="shared" si="10"/>
        <v>39</v>
      </c>
    </row>
    <row r="54" spans="1:11" x14ac:dyDescent="0.3">
      <c r="A54" s="11">
        <f t="shared" si="9"/>
        <v>40</v>
      </c>
      <c r="B54" s="14" t="s">
        <v>127</v>
      </c>
      <c r="C54" s="18">
        <f t="shared" ref="C54:H54" si="16">ROUND(C41*C49,0)</f>
        <v>359221</v>
      </c>
      <c r="D54" s="18">
        <f t="shared" si="16"/>
        <v>359221</v>
      </c>
      <c r="E54" s="18">
        <f t="shared" si="16"/>
        <v>359221</v>
      </c>
      <c r="F54" s="18">
        <f t="shared" si="16"/>
        <v>359221</v>
      </c>
      <c r="G54" s="18">
        <f t="shared" si="16"/>
        <v>359221</v>
      </c>
      <c r="H54" s="18">
        <f t="shared" si="16"/>
        <v>359221</v>
      </c>
      <c r="I54" s="40">
        <f>SUM(C27:H27,C54:H54)</f>
        <v>4310652</v>
      </c>
      <c r="J54" s="41" t="s">
        <v>297</v>
      </c>
      <c r="K54" s="11">
        <f t="shared" si="10"/>
        <v>40</v>
      </c>
    </row>
    <row r="55" spans="1:11" ht="19.5" thickBot="1" x14ac:dyDescent="0.35">
      <c r="A55" s="11">
        <f t="shared" si="9"/>
        <v>41</v>
      </c>
      <c r="B55" s="14" t="s">
        <v>221</v>
      </c>
      <c r="C55" s="42">
        <f t="shared" ref="C55:I55" si="17">SUM(C52:C54)</f>
        <v>960051</v>
      </c>
      <c r="D55" s="42">
        <f t="shared" si="17"/>
        <v>960051</v>
      </c>
      <c r="E55" s="42">
        <f t="shared" si="17"/>
        <v>960051</v>
      </c>
      <c r="F55" s="42">
        <f t="shared" si="17"/>
        <v>960051</v>
      </c>
      <c r="G55" s="42">
        <f t="shared" si="17"/>
        <v>960051</v>
      </c>
      <c r="H55" s="42">
        <f t="shared" si="17"/>
        <v>960051</v>
      </c>
      <c r="I55" s="42">
        <f t="shared" si="17"/>
        <v>11520612</v>
      </c>
      <c r="J55" s="43" t="s">
        <v>298</v>
      </c>
      <c r="K55" s="11">
        <f t="shared" si="10"/>
        <v>41</v>
      </c>
    </row>
    <row r="56" spans="1:11" ht="19.5" thickTop="1" x14ac:dyDescent="0.3">
      <c r="A56" s="11">
        <f t="shared" si="9"/>
        <v>42</v>
      </c>
      <c r="B56" s="14"/>
      <c r="C56" s="40"/>
      <c r="D56" s="40"/>
      <c r="E56" s="40"/>
      <c r="F56" s="40"/>
      <c r="G56" s="40"/>
      <c r="H56" s="40"/>
      <c r="I56" s="40"/>
      <c r="J56" s="43"/>
      <c r="K56" s="11">
        <f t="shared" si="10"/>
        <v>42</v>
      </c>
    </row>
    <row r="57" spans="1:11" x14ac:dyDescent="0.3">
      <c r="A57" s="11">
        <f t="shared" si="9"/>
        <v>43</v>
      </c>
      <c r="B57" s="38" t="s">
        <v>258</v>
      </c>
      <c r="C57" s="14"/>
      <c r="D57" s="14"/>
      <c r="E57" s="14"/>
      <c r="F57" s="14"/>
      <c r="G57" s="14"/>
      <c r="H57" s="14"/>
      <c r="I57" s="44"/>
      <c r="J57" s="11"/>
      <c r="K57" s="11">
        <f t="shared" si="10"/>
        <v>43</v>
      </c>
    </row>
    <row r="58" spans="1:11" ht="19.5" thickBot="1" x14ac:dyDescent="0.35">
      <c r="A58" s="11">
        <f t="shared" si="9"/>
        <v>44</v>
      </c>
      <c r="B58" s="38" t="s">
        <v>290</v>
      </c>
      <c r="C58" s="45">
        <f t="shared" ref="C58:H58" si="18">C55</f>
        <v>960051</v>
      </c>
      <c r="D58" s="45">
        <f t="shared" si="18"/>
        <v>960051</v>
      </c>
      <c r="E58" s="45">
        <f t="shared" si="18"/>
        <v>960051</v>
      </c>
      <c r="F58" s="45">
        <f t="shared" si="18"/>
        <v>960051</v>
      </c>
      <c r="G58" s="45">
        <f t="shared" si="18"/>
        <v>960051</v>
      </c>
      <c r="H58" s="45">
        <f t="shared" si="18"/>
        <v>960051</v>
      </c>
      <c r="I58" s="45">
        <f>SUM(C31:H31,C58:H58)</f>
        <v>11520612</v>
      </c>
      <c r="J58" s="41" t="s">
        <v>299</v>
      </c>
      <c r="K58" s="11">
        <f t="shared" si="10"/>
        <v>44</v>
      </c>
    </row>
    <row r="59" spans="1:11" ht="19.5" thickTop="1" x14ac:dyDescent="0.3">
      <c r="A59" s="17"/>
      <c r="B59" s="24"/>
      <c r="C59" s="24"/>
      <c r="D59" s="24"/>
      <c r="E59" s="24"/>
      <c r="F59" s="24"/>
      <c r="G59" s="24"/>
      <c r="H59" s="24"/>
      <c r="I59" s="24"/>
      <c r="J59" s="17"/>
      <c r="K59" s="17"/>
    </row>
    <row r="60" spans="1:11" x14ac:dyDescent="0.3">
      <c r="B60" s="25" t="s">
        <v>46</v>
      </c>
    </row>
    <row r="61" spans="1:11" ht="22.5" x14ac:dyDescent="0.3">
      <c r="A61" s="77">
        <v>1</v>
      </c>
      <c r="B61" s="1" t="s">
        <v>157</v>
      </c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50" orientation="portrait" r:id="rId1"/>
  <headerFooter scaleWithDoc="0">
    <oddFooter xml:space="preserve">&amp;L&amp;"Times New Roman,Regular"&amp;9Statement BG-Standby Customers&amp;C&amp;"Times New Roman,Regular"&amp;9Page BG-&amp;P&amp;12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33"/>
  <sheetViews>
    <sheetView zoomScale="75" zoomScaleNormal="75" zoomScaleSheetLayoutView="70" workbookViewId="0">
      <selection activeCell="K14" sqref="K14"/>
    </sheetView>
  </sheetViews>
  <sheetFormatPr defaultColWidth="8.5703125" defaultRowHeight="18.75" x14ac:dyDescent="0.3"/>
  <cols>
    <col min="1" max="1" width="5.5703125" style="179" customWidth="1"/>
    <col min="2" max="2" width="60.5703125" style="296" customWidth="1"/>
    <col min="3" max="4" width="18.5703125" style="179" customWidth="1"/>
    <col min="5" max="5" width="20" style="179" bestFit="1" customWidth="1"/>
    <col min="6" max="6" width="69.5703125" style="179" bestFit="1" customWidth="1"/>
    <col min="7" max="7" width="5.5703125" style="179" customWidth="1"/>
    <col min="8" max="9" width="15.5703125" style="179" customWidth="1"/>
    <col min="10" max="16384" width="8.5703125" style="179"/>
  </cols>
  <sheetData>
    <row r="2" spans="1:9" x14ac:dyDescent="0.3">
      <c r="B2" s="321" t="s">
        <v>300</v>
      </c>
      <c r="C2" s="212"/>
      <c r="D2" s="212"/>
      <c r="E2" s="212"/>
      <c r="F2" s="212"/>
    </row>
    <row r="3" spans="1:9" x14ac:dyDescent="0.3">
      <c r="B3" s="321" t="s">
        <v>301</v>
      </c>
      <c r="C3" s="212"/>
      <c r="D3" s="212"/>
      <c r="E3" s="212"/>
      <c r="F3" s="212"/>
    </row>
    <row r="4" spans="1:9" x14ac:dyDescent="0.3">
      <c r="B4" s="321" t="s">
        <v>302</v>
      </c>
      <c r="C4" s="212"/>
      <c r="D4" s="212"/>
      <c r="E4" s="212"/>
      <c r="F4" s="212"/>
    </row>
    <row r="5" spans="1:9" x14ac:dyDescent="0.3">
      <c r="B5" s="321" t="s">
        <v>461</v>
      </c>
      <c r="C5" s="212"/>
      <c r="D5" s="212"/>
      <c r="E5" s="212"/>
      <c r="F5" s="212"/>
    </row>
    <row r="6" spans="1:9" x14ac:dyDescent="0.3">
      <c r="B6" s="321" t="s">
        <v>303</v>
      </c>
      <c r="C6" s="212"/>
      <c r="D6" s="212"/>
      <c r="E6" s="212"/>
      <c r="F6" s="212"/>
    </row>
    <row r="7" spans="1:9" x14ac:dyDescent="0.3">
      <c r="B7" s="297"/>
      <c r="C7" s="297"/>
      <c r="D7" s="297"/>
      <c r="E7" s="297"/>
      <c r="F7" s="297"/>
    </row>
    <row r="8" spans="1:9" x14ac:dyDescent="0.3">
      <c r="A8" s="204"/>
      <c r="B8" s="298"/>
      <c r="C8" s="299" t="s">
        <v>304</v>
      </c>
      <c r="D8" s="300" t="s">
        <v>305</v>
      </c>
      <c r="E8" s="300" t="s">
        <v>306</v>
      </c>
      <c r="F8" s="203"/>
      <c r="G8" s="204"/>
    </row>
    <row r="9" spans="1:9" x14ac:dyDescent="0.3">
      <c r="A9" s="190"/>
      <c r="B9" s="301"/>
      <c r="C9" s="187"/>
      <c r="D9" s="302"/>
      <c r="E9" s="302"/>
      <c r="F9" s="187"/>
      <c r="G9" s="190"/>
    </row>
    <row r="10" spans="1:9" x14ac:dyDescent="0.3">
      <c r="A10" s="187"/>
      <c r="B10" s="301"/>
      <c r="C10" s="303" t="s">
        <v>307</v>
      </c>
      <c r="D10" s="303" t="s">
        <v>308</v>
      </c>
      <c r="E10" s="303" t="s">
        <v>309</v>
      </c>
      <c r="F10" s="304"/>
      <c r="G10" s="187"/>
    </row>
    <row r="11" spans="1:9" x14ac:dyDescent="0.3">
      <c r="A11" s="187" t="s">
        <v>8</v>
      </c>
      <c r="B11" s="187"/>
      <c r="C11" s="304" t="s">
        <v>310</v>
      </c>
      <c r="D11" s="305" t="s">
        <v>310</v>
      </c>
      <c r="E11" s="305" t="s">
        <v>310</v>
      </c>
      <c r="F11" s="304"/>
      <c r="G11" s="187" t="s">
        <v>8</v>
      </c>
    </row>
    <row r="12" spans="1:9" x14ac:dyDescent="0.3">
      <c r="A12" s="184" t="s">
        <v>10</v>
      </c>
      <c r="B12" s="184" t="s">
        <v>311</v>
      </c>
      <c r="C12" s="306"/>
      <c r="D12" s="306"/>
      <c r="E12" s="306"/>
      <c r="F12" s="306" t="s">
        <v>312</v>
      </c>
      <c r="G12" s="184" t="s">
        <v>10</v>
      </c>
    </row>
    <row r="13" spans="1:9" x14ac:dyDescent="0.3">
      <c r="A13" s="204"/>
      <c r="B13" s="307"/>
      <c r="C13" s="204"/>
      <c r="D13" s="204"/>
      <c r="E13" s="204"/>
      <c r="F13" s="203"/>
      <c r="G13" s="204"/>
    </row>
    <row r="14" spans="1:9" x14ac:dyDescent="0.3">
      <c r="A14" s="187">
        <v>1</v>
      </c>
      <c r="B14" s="301" t="s">
        <v>313</v>
      </c>
      <c r="C14" s="377">
        <v>548750581.27083647</v>
      </c>
      <c r="D14" s="377">
        <v>583839566.69567847</v>
      </c>
      <c r="E14" s="377">
        <f>C14+D14</f>
        <v>1132590147.9665151</v>
      </c>
      <c r="F14" s="188" t="s">
        <v>314</v>
      </c>
      <c r="G14" s="187">
        <v>1</v>
      </c>
    </row>
    <row r="15" spans="1:9" x14ac:dyDescent="0.3">
      <c r="A15" s="187">
        <f>A14+1</f>
        <v>2</v>
      </c>
      <c r="B15" s="301"/>
      <c r="C15" s="408"/>
      <c r="D15" s="408"/>
      <c r="E15" s="408"/>
      <c r="F15" s="187"/>
      <c r="G15" s="187">
        <f>G14+1</f>
        <v>2</v>
      </c>
    </row>
    <row r="16" spans="1:9" ht="21.75" x14ac:dyDescent="0.3">
      <c r="A16" s="187">
        <f t="shared" ref="A16:A24" si="0">A15+1</f>
        <v>3</v>
      </c>
      <c r="B16" s="301" t="s">
        <v>315</v>
      </c>
      <c r="C16" s="377">
        <v>-39987951.142981112</v>
      </c>
      <c r="D16" s="377">
        <v>-760645.09800900775</v>
      </c>
      <c r="E16" s="377">
        <f>C16+D16</f>
        <v>-40748596.240990117</v>
      </c>
      <c r="F16" s="188" t="s">
        <v>316</v>
      </c>
      <c r="G16" s="187">
        <f t="shared" ref="G16:G24" si="1">G15+1</f>
        <v>3</v>
      </c>
      <c r="I16" s="411"/>
    </row>
    <row r="17" spans="1:9" x14ac:dyDescent="0.3">
      <c r="A17" s="187">
        <f t="shared" si="0"/>
        <v>4</v>
      </c>
      <c r="B17" s="301"/>
      <c r="C17" s="358"/>
      <c r="D17" s="358"/>
      <c r="E17" s="358"/>
      <c r="F17" s="187"/>
      <c r="G17" s="187">
        <f t="shared" si="1"/>
        <v>4</v>
      </c>
    </row>
    <row r="18" spans="1:9" x14ac:dyDescent="0.3">
      <c r="A18" s="187">
        <f t="shared" si="0"/>
        <v>5</v>
      </c>
      <c r="B18" s="301" t="s">
        <v>317</v>
      </c>
      <c r="C18" s="409">
        <v>-5581845</v>
      </c>
      <c r="D18" s="409">
        <v>-5938767</v>
      </c>
      <c r="E18" s="409">
        <f>C18+D18</f>
        <v>-11520612</v>
      </c>
      <c r="F18" s="188" t="s">
        <v>318</v>
      </c>
      <c r="G18" s="187">
        <f t="shared" si="1"/>
        <v>5</v>
      </c>
    </row>
    <row r="19" spans="1:9" x14ac:dyDescent="0.3">
      <c r="A19" s="187">
        <f t="shared" si="0"/>
        <v>6</v>
      </c>
      <c r="B19" s="190"/>
      <c r="C19" s="410"/>
      <c r="D19" s="410"/>
      <c r="E19" s="410"/>
      <c r="F19" s="308"/>
      <c r="G19" s="187">
        <f t="shared" si="1"/>
        <v>6</v>
      </c>
    </row>
    <row r="20" spans="1:9" x14ac:dyDescent="0.3">
      <c r="A20" s="187">
        <f t="shared" si="0"/>
        <v>7</v>
      </c>
      <c r="B20" s="301" t="s">
        <v>319</v>
      </c>
      <c r="C20" s="377">
        <f>SUM(C14:C18)</f>
        <v>503180785.12785536</v>
      </c>
      <c r="D20" s="377">
        <f t="shared" ref="D20:E20" si="2">SUM(D14:D18)</f>
        <v>577140154.59766948</v>
      </c>
      <c r="E20" s="377">
        <f t="shared" si="2"/>
        <v>1080320939.7255249</v>
      </c>
      <c r="F20" s="309" t="s">
        <v>320</v>
      </c>
      <c r="G20" s="187">
        <f t="shared" si="1"/>
        <v>7</v>
      </c>
      <c r="I20" s="411"/>
    </row>
    <row r="21" spans="1:9" x14ac:dyDescent="0.3">
      <c r="A21" s="187">
        <f t="shared" si="0"/>
        <v>8</v>
      </c>
      <c r="B21" s="301"/>
      <c r="C21" s="358"/>
      <c r="D21" s="358"/>
      <c r="E21" s="358"/>
      <c r="F21" s="310"/>
      <c r="G21" s="187">
        <f t="shared" si="1"/>
        <v>8</v>
      </c>
    </row>
    <row r="22" spans="1:9" x14ac:dyDescent="0.3">
      <c r="A22" s="187">
        <f t="shared" si="0"/>
        <v>9</v>
      </c>
      <c r="B22" s="301" t="s">
        <v>321</v>
      </c>
      <c r="C22" s="421">
        <v>19047571.255543213</v>
      </c>
      <c r="D22" s="421">
        <f>C22</f>
        <v>19047571.255543213</v>
      </c>
      <c r="E22" s="412">
        <f>C22</f>
        <v>19047571.255543213</v>
      </c>
      <c r="F22" s="188" t="s">
        <v>322</v>
      </c>
      <c r="G22" s="187">
        <f t="shared" si="1"/>
        <v>9</v>
      </c>
    </row>
    <row r="23" spans="1:9" x14ac:dyDescent="0.3">
      <c r="A23" s="187">
        <f t="shared" si="0"/>
        <v>10</v>
      </c>
      <c r="B23" s="301"/>
      <c r="C23" s="358"/>
      <c r="D23" s="358"/>
      <c r="E23" s="358"/>
      <c r="F23" s="310"/>
      <c r="G23" s="187">
        <f t="shared" si="1"/>
        <v>10</v>
      </c>
    </row>
    <row r="24" spans="1:9" ht="19.5" thickBot="1" x14ac:dyDescent="0.35">
      <c r="A24" s="187">
        <f t="shared" si="0"/>
        <v>11</v>
      </c>
      <c r="B24" s="301" t="s">
        <v>323</v>
      </c>
      <c r="C24" s="415">
        <f>C20/C22</f>
        <v>26.417057501828218</v>
      </c>
      <c r="D24" s="415">
        <f t="shared" ref="D24:E24" si="3">D20/D22</f>
        <v>30.299934141457037</v>
      </c>
      <c r="E24" s="415">
        <f t="shared" si="3"/>
        <v>56.716991643285255</v>
      </c>
      <c r="F24" s="309" t="s">
        <v>324</v>
      </c>
      <c r="G24" s="187">
        <f t="shared" si="1"/>
        <v>11</v>
      </c>
      <c r="I24" s="411"/>
    </row>
    <row r="25" spans="1:9" ht="19.5" thickTop="1" x14ac:dyDescent="0.3">
      <c r="A25" s="186"/>
      <c r="B25" s="186"/>
      <c r="C25" s="186"/>
      <c r="D25" s="186"/>
      <c r="E25" s="186"/>
      <c r="F25" s="186"/>
      <c r="G25" s="186"/>
    </row>
    <row r="26" spans="1:9" x14ac:dyDescent="0.3">
      <c r="B26" s="179"/>
    </row>
    <row r="27" spans="1:9" x14ac:dyDescent="0.3">
      <c r="B27" s="311" t="s">
        <v>46</v>
      </c>
    </row>
    <row r="28" spans="1:9" ht="21.75" x14ac:dyDescent="0.3">
      <c r="A28" s="312">
        <v>1</v>
      </c>
      <c r="B28" s="422" t="s">
        <v>477</v>
      </c>
      <c r="C28" s="335"/>
      <c r="D28" s="335"/>
      <c r="E28" s="335"/>
      <c r="F28" s="335"/>
      <c r="G28" s="335"/>
      <c r="H28" s="335"/>
    </row>
    <row r="29" spans="1:9" ht="22.5" x14ac:dyDescent="0.3">
      <c r="A29" s="181"/>
      <c r="B29"/>
      <c r="C29"/>
      <c r="D29"/>
      <c r="E29"/>
      <c r="F29"/>
      <c r="G29" s="335"/>
      <c r="H29" s="335"/>
      <c r="I29" s="411"/>
    </row>
    <row r="30" spans="1:9" ht="22.5" x14ac:dyDescent="0.3">
      <c r="A30" s="181"/>
    </row>
    <row r="31" spans="1:9" ht="22.5" x14ac:dyDescent="0.3">
      <c r="A31" s="181"/>
    </row>
    <row r="32" spans="1:9" ht="22.5" x14ac:dyDescent="0.3">
      <c r="A32" s="181"/>
    </row>
    <row r="33" spans="1:1" ht="22.5" x14ac:dyDescent="0.3">
      <c r="A33" s="181"/>
    </row>
  </sheetData>
  <printOptions horizontalCentered="1"/>
  <pageMargins left="0.25" right="0.25" top="0.5" bottom="0.5" header="0.25" footer="0.25"/>
  <pageSetup scale="68" orientation="landscape" r:id="rId1"/>
  <headerFooter scaleWithDoc="0">
    <oddFooter xml:space="preserve">&amp;L&amp;"Times New Roman,Regular"&amp;9Statement BG-CAISO TAC Rates&amp;C&amp;"Times New Roman,Regular"&amp;9Page BG-&amp;P&amp;12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136"/>
  <sheetViews>
    <sheetView zoomScale="75" zoomScaleNormal="75" zoomScaleSheetLayoutView="80" workbookViewId="0">
      <selection activeCell="P29" sqref="P29"/>
    </sheetView>
  </sheetViews>
  <sheetFormatPr defaultColWidth="9.28515625" defaultRowHeight="12.75" x14ac:dyDescent="0.2"/>
  <cols>
    <col min="1" max="1" width="5.5703125" style="254" customWidth="1"/>
    <col min="2" max="2" width="35.5703125" style="254" customWidth="1"/>
    <col min="3" max="15" width="12.5703125" style="254" customWidth="1"/>
    <col min="16" max="16" width="45.5703125" style="254" customWidth="1"/>
    <col min="17" max="17" width="5.5703125" style="254" customWidth="1"/>
    <col min="18" max="16384" width="9.28515625" style="254"/>
  </cols>
  <sheetData>
    <row r="1" spans="1:18" ht="15.75" x14ac:dyDescent="0.2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3"/>
    </row>
    <row r="2" spans="1:18" ht="15.75" x14ac:dyDescent="0.2">
      <c r="A2" s="251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</row>
    <row r="3" spans="1:18" ht="15.75" x14ac:dyDescent="0.2">
      <c r="A3" s="251" t="s">
        <v>325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3"/>
    </row>
    <row r="4" spans="1:18" ht="15.75" x14ac:dyDescent="0.2">
      <c r="A4" s="322" t="s">
        <v>462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3"/>
    </row>
    <row r="5" spans="1:18" ht="15.75" x14ac:dyDescent="0.2">
      <c r="A5" s="251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</row>
    <row r="6" spans="1:18" x14ac:dyDescent="0.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18" ht="15.75" x14ac:dyDescent="0.25">
      <c r="A7" s="257"/>
      <c r="B7" s="257"/>
      <c r="C7" s="258" t="s">
        <v>4</v>
      </c>
      <c r="D7" s="259" t="s">
        <v>5</v>
      </c>
      <c r="E7" s="258" t="s">
        <v>48</v>
      </c>
      <c r="F7" s="259" t="s">
        <v>49</v>
      </c>
      <c r="G7" s="258" t="s">
        <v>50</v>
      </c>
      <c r="H7" s="259" t="s">
        <v>51</v>
      </c>
      <c r="I7" s="258" t="s">
        <v>52</v>
      </c>
      <c r="J7" s="259" t="s">
        <v>103</v>
      </c>
      <c r="K7" s="258" t="s">
        <v>105</v>
      </c>
      <c r="L7" s="259" t="s">
        <v>106</v>
      </c>
      <c r="M7" s="258" t="s">
        <v>107</v>
      </c>
      <c r="N7" s="259" t="s">
        <v>108</v>
      </c>
      <c r="O7" s="260" t="s">
        <v>109</v>
      </c>
      <c r="P7" s="260" t="s">
        <v>326</v>
      </c>
      <c r="Q7" s="257"/>
    </row>
    <row r="8" spans="1:18" ht="15.75" x14ac:dyDescent="0.25">
      <c r="A8" s="261"/>
      <c r="B8" s="261"/>
      <c r="C8" s="262"/>
      <c r="D8" s="263"/>
      <c r="E8" s="262"/>
      <c r="F8" s="263"/>
      <c r="G8" s="262"/>
      <c r="H8" s="263"/>
      <c r="I8" s="262"/>
      <c r="J8" s="263"/>
      <c r="K8" s="262"/>
      <c r="L8" s="263"/>
      <c r="M8" s="262"/>
      <c r="N8" s="263"/>
      <c r="O8" s="263"/>
      <c r="P8" s="263"/>
      <c r="Q8" s="261"/>
    </row>
    <row r="9" spans="1:18" ht="15.75" x14ac:dyDescent="0.25">
      <c r="A9" s="261" t="s">
        <v>8</v>
      </c>
      <c r="B9" s="261" t="s">
        <v>327</v>
      </c>
      <c r="C9" s="323">
        <v>45658</v>
      </c>
      <c r="D9" s="323">
        <v>45689</v>
      </c>
      <c r="E9" s="323">
        <v>45717</v>
      </c>
      <c r="F9" s="323">
        <v>45748</v>
      </c>
      <c r="G9" s="323">
        <v>45778</v>
      </c>
      <c r="H9" s="323">
        <v>45809</v>
      </c>
      <c r="I9" s="323">
        <v>45839</v>
      </c>
      <c r="J9" s="323">
        <v>45870</v>
      </c>
      <c r="K9" s="323">
        <v>45901</v>
      </c>
      <c r="L9" s="323">
        <v>45931</v>
      </c>
      <c r="M9" s="323">
        <v>45962</v>
      </c>
      <c r="N9" s="323">
        <v>45992</v>
      </c>
      <c r="O9" s="264" t="s">
        <v>61</v>
      </c>
      <c r="P9" s="264" t="s">
        <v>328</v>
      </c>
      <c r="Q9" s="261" t="s">
        <v>8</v>
      </c>
    </row>
    <row r="10" spans="1:18" ht="15.75" x14ac:dyDescent="0.25">
      <c r="A10" s="265" t="s">
        <v>10</v>
      </c>
      <c r="B10" s="266"/>
      <c r="C10" s="267"/>
      <c r="D10" s="268"/>
      <c r="E10" s="267"/>
      <c r="F10" s="268"/>
      <c r="G10" s="267"/>
      <c r="H10" s="268"/>
      <c r="I10" s="267"/>
      <c r="J10" s="268"/>
      <c r="K10" s="267"/>
      <c r="L10" s="268"/>
      <c r="M10" s="267"/>
      <c r="N10" s="268"/>
      <c r="O10" s="263"/>
      <c r="P10" s="263"/>
      <c r="Q10" s="265" t="s">
        <v>10</v>
      </c>
    </row>
    <row r="11" spans="1:18" ht="15.75" x14ac:dyDescent="0.25">
      <c r="A11" s="257"/>
      <c r="B11" s="269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</row>
    <row r="12" spans="1:18" ht="15.75" x14ac:dyDescent="0.25">
      <c r="A12" s="261">
        <v>1</v>
      </c>
      <c r="B12" s="266" t="s">
        <v>329</v>
      </c>
      <c r="C12" s="406">
        <f>'[3]Filing Copy-2025 Forecast'!C15*1000</f>
        <v>7563.5555555555557</v>
      </c>
      <c r="D12" s="406">
        <f>'[3]Filing Copy-2025 Forecast'!D15*1000</f>
        <v>7563.5555555555557</v>
      </c>
      <c r="E12" s="406">
        <f>'[3]Filing Copy-2025 Forecast'!E15*1000</f>
        <v>7563.5555555555557</v>
      </c>
      <c r="F12" s="406">
        <f>'[3]Filing Copy-2025 Forecast'!F15*1000</f>
        <v>7563.5555555555557</v>
      </c>
      <c r="G12" s="406">
        <f>'[3]Filing Copy-2025 Forecast'!G15*1000</f>
        <v>7563.5555555555557</v>
      </c>
      <c r="H12" s="406">
        <f>'[3]Filing Copy-2025 Forecast'!H15*1000</f>
        <v>7563.5555555555557</v>
      </c>
      <c r="I12" s="406">
        <f>'[3]Filing Copy-2025 Forecast'!I15*1000</f>
        <v>7563.5555555555557</v>
      </c>
      <c r="J12" s="406">
        <f>'[3]Filing Copy-2025 Forecast'!J15*1000</f>
        <v>7563.5555555555557</v>
      </c>
      <c r="K12" s="406">
        <f>'[3]Filing Copy-2025 Forecast'!K15*1000</f>
        <v>7563.5555555555557</v>
      </c>
      <c r="L12" s="406">
        <f>'[3]Filing Copy-2025 Forecast'!L15*1000</f>
        <v>7563.5555555555557</v>
      </c>
      <c r="M12" s="406">
        <f>'[3]Filing Copy-2025 Forecast'!M15*1000</f>
        <v>7563.5555555555557</v>
      </c>
      <c r="N12" s="406">
        <f>'[3]Filing Copy-2025 Forecast'!N15*1000</f>
        <v>7563.5555555555557</v>
      </c>
      <c r="O12" s="406">
        <f>SUM(C12:N12)</f>
        <v>90762.666666666686</v>
      </c>
      <c r="P12" s="270" t="s">
        <v>439</v>
      </c>
      <c r="Q12" s="261">
        <v>1</v>
      </c>
      <c r="R12" s="395"/>
    </row>
    <row r="13" spans="1:18" ht="15.75" x14ac:dyDescent="0.25">
      <c r="A13" s="261">
        <f>A12+1</f>
        <v>2</v>
      </c>
      <c r="B13" s="271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272"/>
      <c r="Q13" s="261">
        <f>Q12+1</f>
        <v>2</v>
      </c>
      <c r="R13" s="395"/>
    </row>
    <row r="14" spans="1:18" ht="16.5" thickBot="1" x14ac:dyDescent="0.3">
      <c r="A14" s="261">
        <f t="shared" ref="A14:A24" si="0">A13+1</f>
        <v>3</v>
      </c>
      <c r="B14" s="273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274"/>
      <c r="Q14" s="261">
        <f t="shared" ref="Q14:Q24" si="1">Q13+1</f>
        <v>3</v>
      </c>
      <c r="R14" s="395"/>
    </row>
    <row r="15" spans="1:18" ht="18.75" x14ac:dyDescent="0.25">
      <c r="A15" s="261">
        <f t="shared" si="0"/>
        <v>4</v>
      </c>
      <c r="B15" s="275" t="s">
        <v>330</v>
      </c>
      <c r="C15" s="423">
        <v>1.353E-2</v>
      </c>
      <c r="D15" s="424">
        <f>$C$15</f>
        <v>1.353E-2</v>
      </c>
      <c r="E15" s="424">
        <f t="shared" ref="E15:N15" si="2">$C$15</f>
        <v>1.353E-2</v>
      </c>
      <c r="F15" s="424">
        <f t="shared" si="2"/>
        <v>1.353E-2</v>
      </c>
      <c r="G15" s="424">
        <f t="shared" si="2"/>
        <v>1.353E-2</v>
      </c>
      <c r="H15" s="424">
        <f t="shared" si="2"/>
        <v>1.353E-2</v>
      </c>
      <c r="I15" s="424">
        <f t="shared" si="2"/>
        <v>1.353E-2</v>
      </c>
      <c r="J15" s="424">
        <f t="shared" si="2"/>
        <v>1.353E-2</v>
      </c>
      <c r="K15" s="424">
        <f t="shared" si="2"/>
        <v>1.353E-2</v>
      </c>
      <c r="L15" s="424">
        <f t="shared" si="2"/>
        <v>1.353E-2</v>
      </c>
      <c r="M15" s="424">
        <f t="shared" si="2"/>
        <v>1.353E-2</v>
      </c>
      <c r="N15" s="424">
        <f t="shared" si="2"/>
        <v>1.353E-2</v>
      </c>
      <c r="O15" s="398"/>
      <c r="P15" s="276" t="s">
        <v>331</v>
      </c>
      <c r="Q15" s="261">
        <f t="shared" si="1"/>
        <v>4</v>
      </c>
    </row>
    <row r="16" spans="1:18" ht="15.75" x14ac:dyDescent="0.25">
      <c r="A16" s="261">
        <f t="shared" si="0"/>
        <v>5</v>
      </c>
      <c r="B16" s="273"/>
      <c r="C16" s="399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1"/>
      <c r="P16" s="276"/>
      <c r="Q16" s="261">
        <f t="shared" si="1"/>
        <v>5</v>
      </c>
    </row>
    <row r="17" spans="1:18" ht="16.5" thickBot="1" x14ac:dyDescent="0.3">
      <c r="A17" s="261">
        <f t="shared" si="0"/>
        <v>6</v>
      </c>
      <c r="B17" s="275" t="s">
        <v>332</v>
      </c>
      <c r="C17" s="403">
        <f>'Wholesale TAC Rates'!D24/1000</f>
        <v>3.0299934141457038E-2</v>
      </c>
      <c r="D17" s="404">
        <f>$C$17</f>
        <v>3.0299934141457038E-2</v>
      </c>
      <c r="E17" s="404">
        <f t="shared" ref="E17:N17" si="3">$C$17</f>
        <v>3.0299934141457038E-2</v>
      </c>
      <c r="F17" s="404">
        <f t="shared" si="3"/>
        <v>3.0299934141457038E-2</v>
      </c>
      <c r="G17" s="404">
        <f t="shared" si="3"/>
        <v>3.0299934141457038E-2</v>
      </c>
      <c r="H17" s="404">
        <f t="shared" si="3"/>
        <v>3.0299934141457038E-2</v>
      </c>
      <c r="I17" s="404">
        <f t="shared" si="3"/>
        <v>3.0299934141457038E-2</v>
      </c>
      <c r="J17" s="404">
        <f t="shared" si="3"/>
        <v>3.0299934141457038E-2</v>
      </c>
      <c r="K17" s="404">
        <f t="shared" si="3"/>
        <v>3.0299934141457038E-2</v>
      </c>
      <c r="L17" s="404">
        <f t="shared" si="3"/>
        <v>3.0299934141457038E-2</v>
      </c>
      <c r="M17" s="404">
        <f t="shared" si="3"/>
        <v>3.0299934141457038E-2</v>
      </c>
      <c r="N17" s="404">
        <f t="shared" si="3"/>
        <v>3.0299934141457038E-2</v>
      </c>
      <c r="O17" s="402"/>
      <c r="P17" s="418" t="s">
        <v>452</v>
      </c>
      <c r="Q17" s="261">
        <f t="shared" si="1"/>
        <v>6</v>
      </c>
      <c r="R17" s="395"/>
    </row>
    <row r="18" spans="1:18" ht="15.75" x14ac:dyDescent="0.25">
      <c r="A18" s="261">
        <f t="shared" si="0"/>
        <v>7</v>
      </c>
      <c r="B18" s="26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274"/>
      <c r="Q18" s="261">
        <f t="shared" si="1"/>
        <v>7</v>
      </c>
      <c r="R18" s="395"/>
    </row>
    <row r="19" spans="1:18" ht="15.75" x14ac:dyDescent="0.25">
      <c r="A19" s="261">
        <f t="shared" si="0"/>
        <v>8</v>
      </c>
      <c r="B19" s="266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274"/>
      <c r="Q19" s="261">
        <f t="shared" si="1"/>
        <v>8</v>
      </c>
    </row>
    <row r="20" spans="1:18" ht="15.75" x14ac:dyDescent="0.25">
      <c r="A20" s="261">
        <f t="shared" si="0"/>
        <v>9</v>
      </c>
      <c r="B20" s="271" t="s">
        <v>333</v>
      </c>
      <c r="C20" s="405">
        <f>C12*C15</f>
        <v>102.33490666666667</v>
      </c>
      <c r="D20" s="405">
        <f t="shared" ref="D20:N20" si="4">D12*D15</f>
        <v>102.33490666666667</v>
      </c>
      <c r="E20" s="405">
        <f t="shared" si="4"/>
        <v>102.33490666666667</v>
      </c>
      <c r="F20" s="405">
        <f t="shared" si="4"/>
        <v>102.33490666666667</v>
      </c>
      <c r="G20" s="405">
        <f t="shared" si="4"/>
        <v>102.33490666666667</v>
      </c>
      <c r="H20" s="405">
        <f t="shared" si="4"/>
        <v>102.33490666666667</v>
      </c>
      <c r="I20" s="405">
        <f t="shared" si="4"/>
        <v>102.33490666666667</v>
      </c>
      <c r="J20" s="405">
        <f t="shared" si="4"/>
        <v>102.33490666666667</v>
      </c>
      <c r="K20" s="405">
        <f t="shared" si="4"/>
        <v>102.33490666666667</v>
      </c>
      <c r="L20" s="405">
        <f t="shared" si="4"/>
        <v>102.33490666666667</v>
      </c>
      <c r="M20" s="405">
        <f t="shared" si="4"/>
        <v>102.33490666666667</v>
      </c>
      <c r="N20" s="405">
        <f t="shared" si="4"/>
        <v>102.33490666666667</v>
      </c>
      <c r="O20" s="405">
        <f>SUM(C20:N20)</f>
        <v>1228.0188800000003</v>
      </c>
      <c r="P20" s="277" t="s">
        <v>334</v>
      </c>
      <c r="Q20" s="261">
        <f t="shared" si="1"/>
        <v>9</v>
      </c>
      <c r="R20" s="395"/>
    </row>
    <row r="21" spans="1:18" ht="15.75" x14ac:dyDescent="0.25">
      <c r="A21" s="261">
        <f t="shared" si="0"/>
        <v>10</v>
      </c>
      <c r="B21" s="271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274"/>
      <c r="Q21" s="261">
        <f t="shared" si="1"/>
        <v>10</v>
      </c>
    </row>
    <row r="22" spans="1:18" ht="15.75" x14ac:dyDescent="0.25">
      <c r="A22" s="261">
        <f t="shared" si="0"/>
        <v>11</v>
      </c>
      <c r="B22" s="271" t="s">
        <v>335</v>
      </c>
      <c r="C22" s="406">
        <f>C12*C17</f>
        <v>229.17523520858484</v>
      </c>
      <c r="D22" s="406">
        <f t="shared" ref="D22:N22" si="5">D12*D17</f>
        <v>229.17523520858484</v>
      </c>
      <c r="E22" s="406">
        <f t="shared" si="5"/>
        <v>229.17523520858484</v>
      </c>
      <c r="F22" s="406">
        <f t="shared" si="5"/>
        <v>229.17523520858484</v>
      </c>
      <c r="G22" s="406">
        <f t="shared" si="5"/>
        <v>229.17523520858484</v>
      </c>
      <c r="H22" s="406">
        <f t="shared" si="5"/>
        <v>229.17523520858484</v>
      </c>
      <c r="I22" s="406">
        <f t="shared" si="5"/>
        <v>229.17523520858484</v>
      </c>
      <c r="J22" s="406">
        <f t="shared" si="5"/>
        <v>229.17523520858484</v>
      </c>
      <c r="K22" s="406">
        <f t="shared" si="5"/>
        <v>229.17523520858484</v>
      </c>
      <c r="L22" s="406">
        <f t="shared" si="5"/>
        <v>229.17523520858484</v>
      </c>
      <c r="M22" s="406">
        <f t="shared" si="5"/>
        <v>229.17523520858484</v>
      </c>
      <c r="N22" s="406">
        <f t="shared" si="5"/>
        <v>229.17523520858484</v>
      </c>
      <c r="O22" s="406">
        <f>SUM(C22:N22)</f>
        <v>2750.1028225030186</v>
      </c>
      <c r="P22" s="274" t="s">
        <v>336</v>
      </c>
      <c r="Q22" s="261">
        <f t="shared" si="1"/>
        <v>11</v>
      </c>
      <c r="R22" s="395"/>
    </row>
    <row r="23" spans="1:18" ht="15.75" customHeight="1" x14ac:dyDescent="0.25">
      <c r="A23" s="261">
        <f t="shared" si="0"/>
        <v>12</v>
      </c>
      <c r="B23" s="266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274"/>
      <c r="Q23" s="261">
        <f t="shared" si="1"/>
        <v>12</v>
      </c>
    </row>
    <row r="24" spans="1:18" ht="16.5" thickBot="1" x14ac:dyDescent="0.3">
      <c r="A24" s="261">
        <f t="shared" si="0"/>
        <v>13</v>
      </c>
      <c r="B24" s="271" t="s">
        <v>337</v>
      </c>
      <c r="C24" s="407">
        <f>C20+C22</f>
        <v>331.51014187525152</v>
      </c>
      <c r="D24" s="407">
        <f t="shared" ref="D24:N24" si="6">D20+D22</f>
        <v>331.51014187525152</v>
      </c>
      <c r="E24" s="407">
        <f t="shared" si="6"/>
        <v>331.51014187525152</v>
      </c>
      <c r="F24" s="407">
        <f t="shared" si="6"/>
        <v>331.51014187525152</v>
      </c>
      <c r="G24" s="407">
        <f t="shared" si="6"/>
        <v>331.51014187525152</v>
      </c>
      <c r="H24" s="407">
        <f t="shared" si="6"/>
        <v>331.51014187525152</v>
      </c>
      <c r="I24" s="407">
        <f t="shared" si="6"/>
        <v>331.51014187525152</v>
      </c>
      <c r="J24" s="407">
        <f t="shared" si="6"/>
        <v>331.51014187525152</v>
      </c>
      <c r="K24" s="407">
        <f t="shared" si="6"/>
        <v>331.51014187525152</v>
      </c>
      <c r="L24" s="407">
        <f t="shared" si="6"/>
        <v>331.51014187525152</v>
      </c>
      <c r="M24" s="407">
        <f t="shared" si="6"/>
        <v>331.51014187525152</v>
      </c>
      <c r="N24" s="407">
        <f t="shared" si="6"/>
        <v>331.51014187525152</v>
      </c>
      <c r="O24" s="407">
        <f>SUM(C24:N24)</f>
        <v>3978.1217025030182</v>
      </c>
      <c r="P24" s="272" t="s">
        <v>338</v>
      </c>
      <c r="Q24" s="261">
        <f t="shared" si="1"/>
        <v>13</v>
      </c>
      <c r="R24" s="395"/>
    </row>
    <row r="25" spans="1:18" ht="16.5" thickTop="1" x14ac:dyDescent="0.25">
      <c r="A25" s="265"/>
      <c r="B25" s="278"/>
      <c r="C25" s="279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1"/>
      <c r="P25" s="281"/>
      <c r="Q25" s="267"/>
    </row>
    <row r="26" spans="1:18" ht="15.75" customHeight="1" x14ac:dyDescent="0.25">
      <c r="A26" s="282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8" ht="15.75" x14ac:dyDescent="0.25">
      <c r="A27" s="313"/>
      <c r="B27" s="314" t="s">
        <v>339</v>
      </c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283"/>
      <c r="Q27" s="283"/>
    </row>
    <row r="28" spans="1:18" ht="18.75" x14ac:dyDescent="0.25">
      <c r="A28" s="315">
        <v>1</v>
      </c>
      <c r="B28" s="314" t="s">
        <v>479</v>
      </c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283"/>
    </row>
    <row r="29" spans="1:18" ht="15.75" customHeight="1" x14ac:dyDescent="0.25">
      <c r="A29" s="316"/>
      <c r="B29" s="314" t="s">
        <v>478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283"/>
    </row>
    <row r="30" spans="1:18" ht="15.75" customHeight="1" x14ac:dyDescent="0.25">
      <c r="A30" s="285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</row>
    <row r="31" spans="1:18" ht="15.75" customHeight="1" x14ac:dyDescent="0.25">
      <c r="A31" s="284"/>
      <c r="B31" s="250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</row>
    <row r="32" spans="1:18" ht="15.75" customHeight="1" x14ac:dyDescent="0.25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</row>
    <row r="33" spans="1:17" ht="15.75" customHeight="1" x14ac:dyDescent="0.2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</row>
    <row r="34" spans="1:17" ht="15.75" customHeight="1" x14ac:dyDescent="0.2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</row>
    <row r="35" spans="1:17" ht="15.75" customHeight="1" x14ac:dyDescent="0.25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</row>
    <row r="36" spans="1:17" ht="15.75" customHeight="1" x14ac:dyDescent="0.25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</row>
    <row r="37" spans="1:17" ht="15.75" customHeight="1" x14ac:dyDescent="0.25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</row>
    <row r="38" spans="1:17" ht="15.75" customHeight="1" x14ac:dyDescent="0.25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</row>
    <row r="39" spans="1:17" ht="15.75" customHeight="1" x14ac:dyDescent="0.25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</row>
    <row r="40" spans="1:17" ht="15.75" customHeight="1" x14ac:dyDescent="0.25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</row>
    <row r="41" spans="1:17" ht="15.75" customHeight="1" x14ac:dyDescent="0.25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</row>
    <row r="42" spans="1:17" ht="15.75" customHeight="1" x14ac:dyDescent="0.25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</row>
    <row r="43" spans="1:17" ht="15.75" customHeight="1" x14ac:dyDescent="0.25">
      <c r="A43" s="282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</row>
    <row r="44" spans="1:17" ht="15.75" customHeight="1" x14ac:dyDescent="0.25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</row>
    <row r="45" spans="1:17" ht="15.75" customHeight="1" x14ac:dyDescent="0.25">
      <c r="A45" s="282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</row>
    <row r="46" spans="1:17" ht="15.75" customHeight="1" x14ac:dyDescent="0.2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</row>
    <row r="47" spans="1:17" ht="15.75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</row>
    <row r="48" spans="1:17" ht="15.75" customHeight="1" x14ac:dyDescent="0.25">
      <c r="A48" s="282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</row>
    <row r="49" spans="1:17" ht="15.75" customHeight="1" x14ac:dyDescent="0.25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</row>
    <row r="50" spans="1:17" ht="15.75" customHeight="1" x14ac:dyDescent="0.25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</row>
    <row r="51" spans="1:17" ht="15.75" customHeight="1" x14ac:dyDescent="0.25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</row>
    <row r="52" spans="1:17" ht="15.75" customHeight="1" x14ac:dyDescent="0.25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</row>
    <row r="53" spans="1:17" ht="15.75" customHeight="1" x14ac:dyDescent="0.25">
      <c r="A53" s="282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</row>
    <row r="54" spans="1:17" ht="15.75" customHeight="1" x14ac:dyDescent="0.25">
      <c r="A54" s="282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</row>
    <row r="55" spans="1:17" ht="15.75" customHeight="1" x14ac:dyDescent="0.25">
      <c r="A55" s="282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</row>
    <row r="56" spans="1:17" ht="15.75" customHeight="1" x14ac:dyDescent="0.25">
      <c r="A56" s="282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</row>
    <row r="57" spans="1:17" ht="15.75" customHeight="1" x14ac:dyDescent="0.25">
      <c r="A57" s="282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</row>
    <row r="58" spans="1:17" ht="15.75" customHeight="1" x14ac:dyDescent="0.25">
      <c r="A58" s="282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</row>
    <row r="59" spans="1:17" ht="15.75" customHeight="1" x14ac:dyDescent="0.25">
      <c r="A59" s="282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</row>
    <row r="60" spans="1:17" ht="15.75" customHeight="1" x14ac:dyDescent="0.25">
      <c r="A60" s="282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</row>
    <row r="61" spans="1:17" ht="15.75" customHeight="1" x14ac:dyDescent="0.25">
      <c r="A61" s="282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</row>
    <row r="62" spans="1:17" ht="15.75" customHeight="1" x14ac:dyDescent="0.25">
      <c r="A62" s="282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</row>
    <row r="63" spans="1:17" ht="15.75" customHeight="1" x14ac:dyDescent="0.25">
      <c r="A63" s="282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</row>
    <row r="64" spans="1:17" ht="15.75" customHeight="1" x14ac:dyDescent="0.25">
      <c r="A64" s="282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</row>
    <row r="65" spans="1:17" ht="15.75" customHeight="1" x14ac:dyDescent="0.25">
      <c r="A65" s="282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</row>
    <row r="66" spans="1:17" ht="15.75" customHeight="1" x14ac:dyDescent="0.25">
      <c r="A66" s="282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</row>
    <row r="67" spans="1:17" ht="15.75" customHeight="1" x14ac:dyDescent="0.25">
      <c r="A67" s="282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</row>
    <row r="68" spans="1:17" ht="15.75" customHeight="1" x14ac:dyDescent="0.25">
      <c r="A68" s="282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</row>
    <row r="69" spans="1:17" ht="15.75" customHeight="1" x14ac:dyDescent="0.25">
      <c r="A69" s="282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</row>
    <row r="70" spans="1:17" ht="15.75" customHeight="1" x14ac:dyDescent="0.25">
      <c r="A70" s="282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</row>
    <row r="71" spans="1:17" ht="15.75" customHeight="1" x14ac:dyDescent="0.25">
      <c r="A71" s="282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</row>
    <row r="72" spans="1:17" ht="15.75" customHeight="1" x14ac:dyDescent="0.25">
      <c r="A72" s="282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</row>
    <row r="73" spans="1:17" ht="15.75" customHeight="1" x14ac:dyDescent="0.25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</row>
    <row r="74" spans="1:17" ht="15.75" customHeight="1" x14ac:dyDescent="0.25">
      <c r="A74" s="282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</row>
    <row r="75" spans="1:17" ht="15.75" customHeight="1" x14ac:dyDescent="0.25">
      <c r="A75" s="282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</row>
    <row r="76" spans="1:17" ht="15.75" customHeight="1" x14ac:dyDescent="0.25">
      <c r="A76" s="282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</row>
    <row r="77" spans="1:17" ht="15.75" customHeight="1" x14ac:dyDescent="0.2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</row>
    <row r="78" spans="1:17" ht="15.75" customHeight="1" x14ac:dyDescent="0.25">
      <c r="A78" s="282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</row>
    <row r="79" spans="1:17" ht="15.75" customHeight="1" x14ac:dyDescent="0.25">
      <c r="A79" s="282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</row>
    <row r="80" spans="1:17" ht="15.75" customHeight="1" x14ac:dyDescent="0.25">
      <c r="A80" s="282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</row>
    <row r="81" spans="1:17" ht="15.75" customHeight="1" x14ac:dyDescent="0.25">
      <c r="A81" s="282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</row>
    <row r="82" spans="1:17" ht="15.75" customHeight="1" x14ac:dyDescent="0.25">
      <c r="A82" s="282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</row>
    <row r="83" spans="1:17" ht="15.75" customHeight="1" x14ac:dyDescent="0.25">
      <c r="A83" s="282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</row>
    <row r="84" spans="1:17" ht="15.75" customHeight="1" x14ac:dyDescent="0.25">
      <c r="A84" s="282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</row>
    <row r="85" spans="1:17" ht="15.75" customHeight="1" x14ac:dyDescent="0.25">
      <c r="A85" s="282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</row>
    <row r="86" spans="1:17" ht="15.75" customHeight="1" x14ac:dyDescent="0.25">
      <c r="A86" s="282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</row>
    <row r="87" spans="1:17" ht="15.75" customHeight="1" x14ac:dyDescent="0.25">
      <c r="A87" s="282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</row>
    <row r="88" spans="1:17" ht="15.75" customHeight="1" x14ac:dyDescent="0.25">
      <c r="A88" s="282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</row>
    <row r="89" spans="1:17" ht="15.75" customHeight="1" x14ac:dyDescent="0.25">
      <c r="A89" s="282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</row>
    <row r="90" spans="1:17" ht="15.75" customHeight="1" x14ac:dyDescent="0.25">
      <c r="A90" s="282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</row>
    <row r="91" spans="1:17" ht="15.75" customHeight="1" x14ac:dyDescent="0.25">
      <c r="A91" s="282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</row>
    <row r="92" spans="1:17" ht="15.75" customHeight="1" x14ac:dyDescent="0.25">
      <c r="A92" s="282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</row>
    <row r="93" spans="1:17" ht="15.75" customHeight="1" x14ac:dyDescent="0.25">
      <c r="A93" s="282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</row>
    <row r="94" spans="1:17" ht="15.75" customHeight="1" x14ac:dyDescent="0.25">
      <c r="A94" s="282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</row>
    <row r="95" spans="1:17" ht="15.75" customHeight="1" x14ac:dyDescent="0.25">
      <c r="A95" s="282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</row>
    <row r="96" spans="1:17" ht="15.75" customHeight="1" x14ac:dyDescent="0.25">
      <c r="A96" s="282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</row>
    <row r="97" spans="1:17" ht="15.75" customHeight="1" x14ac:dyDescent="0.25">
      <c r="A97" s="282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</row>
    <row r="98" spans="1:17" ht="15.75" customHeight="1" x14ac:dyDescent="0.25">
      <c r="A98" s="282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</row>
    <row r="99" spans="1:17" ht="15.75" customHeight="1" x14ac:dyDescent="0.25">
      <c r="A99" s="282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</row>
    <row r="100" spans="1:17" ht="15.75" customHeight="1" x14ac:dyDescent="0.25">
      <c r="A100" s="282"/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</row>
    <row r="101" spans="1:17" ht="15.75" customHeight="1" x14ac:dyDescent="0.25">
      <c r="A101" s="282"/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</row>
    <row r="102" spans="1:17" ht="15.75" customHeight="1" x14ac:dyDescent="0.2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</row>
    <row r="103" spans="1:17" ht="15.75" customHeight="1" x14ac:dyDescent="0.25">
      <c r="A103" s="282"/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</row>
    <row r="104" spans="1:17" ht="15.75" customHeight="1" x14ac:dyDescent="0.25">
      <c r="A104" s="282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</row>
    <row r="105" spans="1:17" ht="15.75" customHeight="1" x14ac:dyDescent="0.25">
      <c r="A105" s="282"/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</row>
    <row r="106" spans="1:17" ht="15.75" customHeight="1" x14ac:dyDescent="0.25">
      <c r="A106" s="282"/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</row>
    <row r="107" spans="1:17" ht="15.75" customHeight="1" x14ac:dyDescent="0.25">
      <c r="A107" s="282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</row>
    <row r="108" spans="1:17" ht="15.75" customHeight="1" x14ac:dyDescent="0.25">
      <c r="A108" s="282"/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</row>
    <row r="109" spans="1:17" ht="15.75" customHeight="1" x14ac:dyDescent="0.25">
      <c r="A109" s="282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</row>
    <row r="110" spans="1:17" ht="15.75" customHeight="1" x14ac:dyDescent="0.25">
      <c r="A110" s="282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</row>
    <row r="111" spans="1:17" ht="15.75" customHeight="1" x14ac:dyDescent="0.25">
      <c r="A111" s="282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</row>
    <row r="112" spans="1:17" ht="15.75" customHeight="1" x14ac:dyDescent="0.25">
      <c r="A112" s="282"/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</row>
    <row r="113" spans="1:17" ht="15.75" customHeight="1" x14ac:dyDescent="0.25">
      <c r="A113" s="282"/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</row>
    <row r="114" spans="1:17" ht="15.75" customHeight="1" x14ac:dyDescent="0.25">
      <c r="A114" s="282"/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</row>
    <row r="115" spans="1:17" ht="15.75" customHeight="1" x14ac:dyDescent="0.25">
      <c r="A115" s="282"/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</row>
    <row r="116" spans="1:17" ht="15.75" customHeight="1" x14ac:dyDescent="0.25">
      <c r="A116" s="282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</row>
    <row r="117" spans="1:17" ht="15.75" customHeight="1" x14ac:dyDescent="0.25">
      <c r="A117" s="282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</row>
    <row r="118" spans="1:17" ht="15.75" customHeight="1" x14ac:dyDescent="0.25">
      <c r="A118" s="282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</row>
    <row r="119" spans="1:17" ht="15.75" customHeight="1" x14ac:dyDescent="0.25">
      <c r="A119" s="282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</row>
    <row r="120" spans="1:17" ht="15.75" customHeight="1" x14ac:dyDescent="0.25">
      <c r="A120" s="282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</row>
    <row r="121" spans="1:17" ht="15.75" customHeight="1" x14ac:dyDescent="0.25">
      <c r="A121" s="283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</row>
    <row r="122" spans="1:17" ht="15.75" customHeight="1" x14ac:dyDescent="0.25">
      <c r="A122" s="283"/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</row>
    <row r="123" spans="1:17" ht="15.75" customHeight="1" x14ac:dyDescent="0.25">
      <c r="A123" s="283"/>
      <c r="B123" s="283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</row>
    <row r="124" spans="1:17" ht="15.75" customHeight="1" x14ac:dyDescent="0.25">
      <c r="A124" s="283"/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</row>
    <row r="125" spans="1:17" ht="15.75" x14ac:dyDescent="0.25">
      <c r="A125" s="28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</row>
    <row r="126" spans="1:17" ht="15.75" x14ac:dyDescent="0.25">
      <c r="A126" s="283"/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</row>
    <row r="127" spans="1:17" ht="15.75" x14ac:dyDescent="0.25">
      <c r="A127" s="28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</row>
    <row r="128" spans="1:17" ht="15.75" x14ac:dyDescent="0.25">
      <c r="A128" s="283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</row>
    <row r="129" spans="1:17" ht="15.75" x14ac:dyDescent="0.25">
      <c r="A129" s="28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</row>
    <row r="130" spans="1:17" ht="15.75" x14ac:dyDescent="0.25">
      <c r="A130" s="283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</row>
    <row r="131" spans="1:17" ht="15.75" x14ac:dyDescent="0.25">
      <c r="A131" s="283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</row>
    <row r="132" spans="1:17" ht="15.75" x14ac:dyDescent="0.25">
      <c r="A132" s="283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</row>
    <row r="133" spans="1:17" ht="15.75" x14ac:dyDescent="0.25">
      <c r="A133" s="283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</row>
    <row r="134" spans="1:17" ht="15.75" x14ac:dyDescent="0.25">
      <c r="A134" s="28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</row>
    <row r="135" spans="1:17" ht="15.75" x14ac:dyDescent="0.25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</row>
    <row r="136" spans="1:17" ht="15.75" x14ac:dyDescent="0.25">
      <c r="A136" s="283"/>
      <c r="B136" s="283"/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</row>
  </sheetData>
  <printOptions horizontalCentered="1"/>
  <pageMargins left="0.25" right="0.25" top="0.5" bottom="0.5" header="0.25" footer="0.25"/>
  <pageSetup scale="53" orientation="landscape" r:id="rId1"/>
  <headerFooter scaleWithDoc="0">
    <oddFooter xml:space="preserve">&amp;L&amp;"Times New Roman,Regular"&amp;9Statement BG-City of Escondido&amp;C&amp;"Times New Roman,Regular"&amp;9Page BG-&amp;P&amp;12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G21"/>
  <sheetViews>
    <sheetView topLeftCell="A2" zoomScale="75" zoomScaleNormal="75" zoomScaleSheetLayoutView="70" workbookViewId="0">
      <selection activeCell="W38" sqref="W38"/>
    </sheetView>
  </sheetViews>
  <sheetFormatPr defaultColWidth="9.140625" defaultRowHeight="18.75" x14ac:dyDescent="0.3"/>
  <cols>
    <col min="1" max="1" width="5.5703125" style="1" bestFit="1" customWidth="1"/>
    <col min="2" max="2" width="40.5703125" style="1" customWidth="1"/>
    <col min="3" max="3" width="28.28515625" style="1" bestFit="1" customWidth="1"/>
    <col min="4" max="6" width="20.5703125" style="1" customWidth="1"/>
    <col min="7" max="7" width="5.5703125" style="1" bestFit="1" customWidth="1"/>
    <col min="8" max="16384" width="9.140625" style="1"/>
  </cols>
  <sheetData>
    <row r="1" spans="1:7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</row>
    <row r="2" spans="1:7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</row>
    <row r="3" spans="1:7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</row>
    <row r="4" spans="1:7" x14ac:dyDescent="0.3">
      <c r="A4" s="426" t="s">
        <v>340</v>
      </c>
      <c r="B4" s="426"/>
      <c r="C4" s="426"/>
      <c r="D4" s="426"/>
      <c r="E4" s="426"/>
      <c r="F4" s="426"/>
      <c r="G4" s="426"/>
    </row>
    <row r="5" spans="1:7" x14ac:dyDescent="0.3">
      <c r="A5" s="425" t="s">
        <v>459</v>
      </c>
      <c r="B5" s="426"/>
      <c r="C5" s="426"/>
      <c r="D5" s="426"/>
      <c r="E5" s="426"/>
      <c r="F5" s="426"/>
      <c r="G5" s="426"/>
    </row>
    <row r="6" spans="1:7" x14ac:dyDescent="0.3">
      <c r="A6" s="6"/>
      <c r="B6" s="6"/>
      <c r="C6" s="111"/>
      <c r="D6" s="111"/>
      <c r="E6" s="6"/>
      <c r="F6" s="6"/>
      <c r="G6" s="6"/>
    </row>
    <row r="7" spans="1:7" x14ac:dyDescent="0.3">
      <c r="A7" s="112"/>
      <c r="B7" s="112"/>
      <c r="C7" s="154" t="s">
        <v>4</v>
      </c>
      <c r="D7" s="155" t="s">
        <v>5</v>
      </c>
      <c r="E7" s="154" t="s">
        <v>48</v>
      </c>
      <c r="F7" s="156" t="s">
        <v>49</v>
      </c>
      <c r="G7" s="112"/>
    </row>
    <row r="8" spans="1:7" x14ac:dyDescent="0.3">
      <c r="A8" s="14"/>
      <c r="B8" s="14"/>
      <c r="C8" s="11" t="s">
        <v>341</v>
      </c>
      <c r="D8" s="96" t="s">
        <v>342</v>
      </c>
      <c r="E8" s="14"/>
      <c r="F8" s="127"/>
      <c r="G8" s="14"/>
    </row>
    <row r="9" spans="1:7" x14ac:dyDescent="0.3">
      <c r="A9" s="11" t="s">
        <v>8</v>
      </c>
      <c r="B9" s="14"/>
      <c r="C9" s="11" t="s">
        <v>343</v>
      </c>
      <c r="D9" s="96" t="s">
        <v>343</v>
      </c>
      <c r="E9" s="11" t="s">
        <v>344</v>
      </c>
      <c r="F9" s="61" t="s">
        <v>344</v>
      </c>
      <c r="G9" s="11" t="s">
        <v>8</v>
      </c>
    </row>
    <row r="10" spans="1:7" x14ac:dyDescent="0.3">
      <c r="A10" s="17" t="s">
        <v>10</v>
      </c>
      <c r="B10" s="17" t="s">
        <v>114</v>
      </c>
      <c r="C10" s="17" t="s">
        <v>345</v>
      </c>
      <c r="D10" s="147" t="s">
        <v>345</v>
      </c>
      <c r="E10" s="17" t="s">
        <v>345</v>
      </c>
      <c r="F10" s="95" t="s">
        <v>346</v>
      </c>
      <c r="G10" s="17" t="s">
        <v>10</v>
      </c>
    </row>
    <row r="11" spans="1:7" x14ac:dyDescent="0.3">
      <c r="A11" s="11"/>
      <c r="B11" s="14"/>
      <c r="C11" s="14"/>
      <c r="D11" s="14"/>
      <c r="E11" s="14"/>
      <c r="F11" s="14"/>
      <c r="G11" s="11"/>
    </row>
    <row r="12" spans="1:7" x14ac:dyDescent="0.3">
      <c r="A12" s="11">
        <v>1</v>
      </c>
      <c r="B12" s="14" t="s">
        <v>347</v>
      </c>
      <c r="C12" s="109">
        <f>C16-C14</f>
        <v>27.427178444296722</v>
      </c>
      <c r="D12" s="108">
        <f>C12</f>
        <v>27.427178444296722</v>
      </c>
      <c r="E12" s="108">
        <f>D12-C12</f>
        <v>0</v>
      </c>
      <c r="F12" s="81">
        <f>E12/C12</f>
        <v>0</v>
      </c>
      <c r="G12" s="11">
        <v>1</v>
      </c>
    </row>
    <row r="13" spans="1:7" x14ac:dyDescent="0.3">
      <c r="A13" s="11">
        <f>+A12+1</f>
        <v>2</v>
      </c>
      <c r="B13" s="14"/>
      <c r="C13" s="108"/>
      <c r="D13" s="108"/>
      <c r="E13" s="108"/>
      <c r="F13" s="14"/>
      <c r="G13" s="11">
        <f>+G12+1</f>
        <v>2</v>
      </c>
    </row>
    <row r="14" spans="1:7" x14ac:dyDescent="0.3">
      <c r="A14" s="11">
        <f>+A13+1</f>
        <v>3</v>
      </c>
      <c r="B14" s="14" t="s">
        <v>348</v>
      </c>
      <c r="C14" s="113">
        <f>'Workpaper 2'!C22</f>
        <v>5.8828215557032806</v>
      </c>
      <c r="D14" s="113">
        <f>'Workpaper 2'!C24</f>
        <v>6.6681727840146143</v>
      </c>
      <c r="E14" s="113">
        <f>D14-C14</f>
        <v>0.78535122831133375</v>
      </c>
      <c r="F14" s="114">
        <f>E14/C14</f>
        <v>0.13349907368003558</v>
      </c>
      <c r="G14" s="11">
        <f>+G13+1</f>
        <v>3</v>
      </c>
    </row>
    <row r="15" spans="1:7" x14ac:dyDescent="0.3">
      <c r="A15" s="11">
        <f>+A14+1</f>
        <v>4</v>
      </c>
      <c r="B15" s="14"/>
      <c r="C15" s="108"/>
      <c r="D15" s="108"/>
      <c r="E15" s="108"/>
      <c r="F15" s="14"/>
      <c r="G15" s="11">
        <f>+G14+1</f>
        <v>4</v>
      </c>
    </row>
    <row r="16" spans="1:7" ht="23.25" thickBot="1" x14ac:dyDescent="0.35">
      <c r="A16" s="11">
        <f>+A15+1</f>
        <v>5</v>
      </c>
      <c r="B16" s="14" t="s">
        <v>349</v>
      </c>
      <c r="C16" s="394">
        <f>'[4]Attachment A'!$I$27</f>
        <v>33.31</v>
      </c>
      <c r="D16" s="115">
        <f>D12+D14</f>
        <v>34.095351228311337</v>
      </c>
      <c r="E16" s="115">
        <f>D16-C16</f>
        <v>0.78535122831133464</v>
      </c>
      <c r="F16" s="116">
        <f>E16/C16</f>
        <v>2.3577040777884556E-2</v>
      </c>
      <c r="G16" s="11">
        <f>+G15+1</f>
        <v>5</v>
      </c>
    </row>
    <row r="17" spans="1:7" ht="19.5" thickTop="1" x14ac:dyDescent="0.3">
      <c r="A17" s="17"/>
      <c r="B17" s="24"/>
      <c r="C17" s="157"/>
      <c r="D17" s="24"/>
      <c r="E17" s="24"/>
      <c r="F17" s="24"/>
      <c r="G17" s="17"/>
    </row>
    <row r="18" spans="1:7" x14ac:dyDescent="0.3">
      <c r="B18" s="1" t="s">
        <v>46</v>
      </c>
      <c r="C18" s="117"/>
    </row>
    <row r="19" spans="1:7" ht="22.5" x14ac:dyDescent="0.3">
      <c r="A19" s="167">
        <v>1</v>
      </c>
      <c r="B19" s="1" t="s">
        <v>464</v>
      </c>
    </row>
    <row r="20" spans="1:7" x14ac:dyDescent="0.3">
      <c r="B20" s="1" t="s">
        <v>465</v>
      </c>
    </row>
    <row r="21" spans="1:7" x14ac:dyDescent="0.3">
      <c r="B21" s="1" t="s">
        <v>350</v>
      </c>
    </row>
  </sheetData>
  <mergeCells count="5">
    <mergeCell ref="A5:G5"/>
    <mergeCell ref="A1:G1"/>
    <mergeCell ref="A2:G2"/>
    <mergeCell ref="A3:G3"/>
    <mergeCell ref="A4:G4"/>
  </mergeCells>
  <phoneticPr fontId="3" type="noConversion"/>
  <printOptions horizontalCentered="1"/>
  <pageMargins left="0.25" right="0.25" top="0.5" bottom="0.5" header="0.25" footer="0.25"/>
  <pageSetup scale="96" orientation="landscape" r:id="rId1"/>
  <headerFooter scaleWithDoc="0">
    <oddFooter xml:space="preserve">&amp;L&amp;"Times New Roman,Regular"&amp;9Statement BG-Total Rate Impact&amp;C&amp;"Times New Roman,Regular"&amp;9Page BG-&amp;P&amp;12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O138"/>
  <sheetViews>
    <sheetView topLeftCell="A14" zoomScale="75" zoomScaleNormal="75" zoomScaleSheetLayoutView="70" zoomScalePageLayoutView="70" workbookViewId="0">
      <selection activeCell="B47" sqref="B47"/>
    </sheetView>
  </sheetViews>
  <sheetFormatPr defaultColWidth="9.140625" defaultRowHeight="18.75" x14ac:dyDescent="0.3"/>
  <cols>
    <col min="1" max="1" width="5.5703125" style="1" bestFit="1" customWidth="1"/>
    <col min="2" max="2" width="86.5703125" style="1" customWidth="1"/>
    <col min="3" max="3" width="20.5703125" style="1" bestFit="1" customWidth="1"/>
    <col min="4" max="4" width="17.140625" style="1" bestFit="1" customWidth="1"/>
    <col min="5" max="5" width="22.5703125" style="1" bestFit="1" customWidth="1"/>
    <col min="6" max="6" width="17.140625" style="1" bestFit="1" customWidth="1"/>
    <col min="7" max="7" width="20.5703125" style="1" bestFit="1" customWidth="1"/>
    <col min="8" max="8" width="17.140625" style="1" bestFit="1" customWidth="1"/>
    <col min="9" max="9" width="20.140625" style="1" bestFit="1" customWidth="1"/>
    <col min="10" max="10" width="17.140625" style="1" bestFit="1" customWidth="1"/>
    <col min="11" max="11" width="20.5703125" style="1" bestFit="1" customWidth="1"/>
    <col min="12" max="12" width="17.140625" style="1" bestFit="1" customWidth="1"/>
    <col min="13" max="13" width="20.140625" style="1" bestFit="1" customWidth="1"/>
    <col min="14" max="14" width="17.140625" style="1" bestFit="1" customWidth="1"/>
    <col min="15" max="15" width="5.5703125" style="1" bestFit="1" customWidth="1"/>
    <col min="16" max="16384" width="9.140625" style="1"/>
  </cols>
  <sheetData>
    <row r="1" spans="1:15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x14ac:dyDescent="0.3">
      <c r="A3" s="425" t="str">
        <f>'Comparison of Revenues'!A3:H3</f>
        <v>Transmission Revenues Data to Reflect Changed Rates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x14ac:dyDescent="0.3">
      <c r="A4" s="425" t="s">
        <v>364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</row>
    <row r="6" spans="1:15" x14ac:dyDescent="0.3">
      <c r="A6" s="7"/>
    </row>
    <row r="7" spans="1:15" x14ac:dyDescent="0.3">
      <c r="A7" s="8"/>
      <c r="B7" s="8"/>
      <c r="C7" s="9" t="s">
        <v>4</v>
      </c>
      <c r="D7" s="10"/>
      <c r="E7" s="9" t="s">
        <v>5</v>
      </c>
      <c r="F7" s="10"/>
      <c r="G7" s="9" t="s">
        <v>48</v>
      </c>
      <c r="H7" s="10"/>
      <c r="I7" s="9" t="s">
        <v>49</v>
      </c>
      <c r="J7" s="10"/>
      <c r="K7" s="9" t="s">
        <v>50</v>
      </c>
      <c r="L7" s="10"/>
      <c r="M7" s="9" t="s">
        <v>51</v>
      </c>
      <c r="N7" s="10"/>
      <c r="O7" s="8"/>
    </row>
    <row r="8" spans="1:15" x14ac:dyDescent="0.3">
      <c r="A8" s="11"/>
      <c r="B8" s="11"/>
      <c r="C8" s="427">
        <v>45658</v>
      </c>
      <c r="D8" s="428"/>
      <c r="E8" s="427">
        <v>45689</v>
      </c>
      <c r="F8" s="428"/>
      <c r="G8" s="427">
        <v>45717</v>
      </c>
      <c r="H8" s="428"/>
      <c r="I8" s="427">
        <v>45748</v>
      </c>
      <c r="J8" s="428"/>
      <c r="K8" s="427">
        <v>45778</v>
      </c>
      <c r="L8" s="428"/>
      <c r="M8" s="427">
        <v>45809</v>
      </c>
      <c r="N8" s="428"/>
      <c r="O8" s="11"/>
    </row>
    <row r="9" spans="1:15" ht="22.5" x14ac:dyDescent="0.3">
      <c r="A9" s="11" t="s">
        <v>8</v>
      </c>
      <c r="B9" s="14"/>
      <c r="C9" s="15" t="s">
        <v>365</v>
      </c>
      <c r="D9" s="16"/>
      <c r="E9" s="15" t="s">
        <v>365</v>
      </c>
      <c r="F9" s="16"/>
      <c r="G9" s="15" t="s">
        <v>365</v>
      </c>
      <c r="H9" s="16"/>
      <c r="I9" s="15" t="s">
        <v>365</v>
      </c>
      <c r="J9" s="16"/>
      <c r="K9" s="15" t="s">
        <v>365</v>
      </c>
      <c r="L9" s="16"/>
      <c r="M9" s="15" t="s">
        <v>365</v>
      </c>
      <c r="N9" s="16"/>
      <c r="O9" s="11" t="s">
        <v>8</v>
      </c>
    </row>
    <row r="10" spans="1:15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69</v>
      </c>
      <c r="F10" s="17" t="s">
        <v>70</v>
      </c>
      <c r="G10" s="17" t="s">
        <v>69</v>
      </c>
      <c r="H10" s="17" t="s">
        <v>70</v>
      </c>
      <c r="I10" s="17" t="s">
        <v>69</v>
      </c>
      <c r="J10" s="17" t="s">
        <v>70</v>
      </c>
      <c r="K10" s="17" t="s">
        <v>69</v>
      </c>
      <c r="L10" s="17" t="s">
        <v>70</v>
      </c>
      <c r="M10" s="17" t="s">
        <v>69</v>
      </c>
      <c r="N10" s="17" t="s">
        <v>70</v>
      </c>
      <c r="O10" s="17" t="s">
        <v>10</v>
      </c>
    </row>
    <row r="11" spans="1:1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2.5" x14ac:dyDescent="0.3">
      <c r="A12" s="11">
        <v>1</v>
      </c>
      <c r="B12" s="14" t="s">
        <v>366</v>
      </c>
      <c r="C12" s="18">
        <f>'Workpaper 1'!C8*1000-'Workpaper 1'!C212*1000</f>
        <v>606008605.56131554</v>
      </c>
      <c r="D12" s="18"/>
      <c r="E12" s="18">
        <f>'Workpaper 1'!D8*1000-'Workpaper 1'!D212*1000</f>
        <v>491733645.21526903</v>
      </c>
      <c r="F12" s="18"/>
      <c r="G12" s="18">
        <f>'Workpaper 1'!E8*1000-'Workpaper 1'!E212*1000</f>
        <v>435908784.73538715</v>
      </c>
      <c r="H12" s="18"/>
      <c r="I12" s="18">
        <f>'Workpaper 1'!F8*1000-'Workpaper 1'!F212*1000</f>
        <v>347205846.80850416</v>
      </c>
      <c r="J12" s="18"/>
      <c r="K12" s="18">
        <f>'Workpaper 1'!G8*1000-'Workpaper 1'!G212*1000</f>
        <v>324909782.65184611</v>
      </c>
      <c r="L12" s="18"/>
      <c r="M12" s="18">
        <f>'Workpaper 1'!H8*1000-'Workpaper 1'!H212*1000</f>
        <v>350624016.67729574</v>
      </c>
      <c r="N12" s="18"/>
      <c r="O12" s="11">
        <v>1</v>
      </c>
    </row>
    <row r="13" spans="1:15" x14ac:dyDescent="0.3">
      <c r="A13" s="11">
        <f>A12+1</f>
        <v>2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1">
        <f>O12+1</f>
        <v>2</v>
      </c>
    </row>
    <row r="14" spans="1:15" x14ac:dyDescent="0.3">
      <c r="A14" s="11">
        <f t="shared" ref="A14:A38" si="0">A13+1</f>
        <v>3</v>
      </c>
      <c r="B14" s="14" t="str">
        <f>'A-Revenues@Changed Rates'!B13</f>
        <v xml:space="preserve">Small Commercial </v>
      </c>
      <c r="C14" s="18">
        <f>'Workpaper 1'!C9*1000</f>
        <v>194287303.97175041</v>
      </c>
      <c r="D14" s="18"/>
      <c r="E14" s="18">
        <f>'Workpaper 1'!D9*1000</f>
        <v>188366210.6613501</v>
      </c>
      <c r="F14" s="18"/>
      <c r="G14" s="18">
        <f>'Workpaper 1'!E9*1000</f>
        <v>187592519.40328324</v>
      </c>
      <c r="H14" s="18"/>
      <c r="I14" s="18">
        <f>'Workpaper 1'!F9*1000</f>
        <v>186126527.48780861</v>
      </c>
      <c r="J14" s="18"/>
      <c r="K14" s="18">
        <f>'Workpaper 1'!G9*1000</f>
        <v>185654634.61696634</v>
      </c>
      <c r="L14" s="18"/>
      <c r="M14" s="18">
        <f>'Workpaper 1'!H9*1000</f>
        <v>194357832.95760828</v>
      </c>
      <c r="N14" s="18"/>
      <c r="O14" s="11">
        <f t="shared" ref="O14:O38" si="1">O13+1</f>
        <v>3</v>
      </c>
    </row>
    <row r="15" spans="1:15" x14ac:dyDescent="0.3">
      <c r="A15" s="11">
        <f t="shared" si="0"/>
        <v>4</v>
      </c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1">
        <f t="shared" si="1"/>
        <v>4</v>
      </c>
    </row>
    <row r="16" spans="1:15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'Workpaper 1'!C147*1000</f>
        <v>751192254.45003653</v>
      </c>
      <c r="D16" s="18"/>
      <c r="E16" s="18">
        <f>'Workpaper 1'!D147*1000</f>
        <v>713531333.69322109</v>
      </c>
      <c r="F16" s="18"/>
      <c r="G16" s="18">
        <f>'Workpaper 1'!E147*1000</f>
        <v>714756631.10825777</v>
      </c>
      <c r="H16" s="18"/>
      <c r="I16" s="18">
        <f>'Workpaper 1'!F147*1000</f>
        <v>718508298.83782351</v>
      </c>
      <c r="J16" s="18"/>
      <c r="K16" s="18">
        <f>'Workpaper 1'!G147*1000</f>
        <v>724916884.54627109</v>
      </c>
      <c r="L16" s="18"/>
      <c r="M16" s="18">
        <f>'Workpaper 1'!H147*1000</f>
        <v>760340001.74391031</v>
      </c>
      <c r="N16" s="18"/>
      <c r="O16" s="11">
        <f t="shared" si="1"/>
        <v>5</v>
      </c>
    </row>
    <row r="17" spans="1:15" x14ac:dyDescent="0.3">
      <c r="A17" s="11">
        <f t="shared" si="0"/>
        <v>6</v>
      </c>
      <c r="B17" s="14" t="s">
        <v>367</v>
      </c>
      <c r="C17" s="18"/>
      <c r="D17" s="47">
        <f>'Workpaper 1'!C48*1000</f>
        <v>0</v>
      </c>
      <c r="E17" s="18"/>
      <c r="F17" s="18">
        <f>'Workpaper 1'!D48*1000</f>
        <v>0</v>
      </c>
      <c r="G17" s="18"/>
      <c r="H17" s="18">
        <f>'Workpaper 1'!E48*1000</f>
        <v>0</v>
      </c>
      <c r="I17" s="18"/>
      <c r="J17" s="18">
        <f>'Workpaper 1'!F48*1000</f>
        <v>0</v>
      </c>
      <c r="K17" s="18"/>
      <c r="L17" s="18">
        <f>'Workpaper 1'!G48*1000</f>
        <v>0</v>
      </c>
      <c r="M17" s="18"/>
      <c r="N17" s="18">
        <f>'Workpaper 1'!H48*1000</f>
        <v>0</v>
      </c>
      <c r="O17" s="11">
        <f t="shared" si="1"/>
        <v>6</v>
      </c>
    </row>
    <row r="18" spans="1:15" ht="22.5" x14ac:dyDescent="0.3">
      <c r="A18" s="11">
        <f t="shared" si="0"/>
        <v>7</v>
      </c>
      <c r="B18" s="14" t="s">
        <v>368</v>
      </c>
      <c r="C18" s="18"/>
      <c r="D18" s="47">
        <f>'Workpaper 1'!C75*1000+'Workpaper 1'!C121*1000</f>
        <v>1810355.3327439302</v>
      </c>
      <c r="E18" s="18"/>
      <c r="F18" s="18">
        <f>'Workpaper 1'!D75*1000+'Workpaper 1'!D121*1000</f>
        <v>1723711.1860439018</v>
      </c>
      <c r="G18" s="18"/>
      <c r="H18" s="18">
        <f>'Workpaper 1'!E75*1000+'Workpaper 1'!E121*1000</f>
        <v>1723748.3299955076</v>
      </c>
      <c r="I18" s="18"/>
      <c r="J18" s="18">
        <f>'Workpaper 1'!F75*1000+'Workpaper 1'!F121*1000</f>
        <v>1730659.7608617519</v>
      </c>
      <c r="K18" s="18"/>
      <c r="L18" s="18">
        <f>'Workpaper 1'!G75*1000+'Workpaper 1'!G121*1000</f>
        <v>1747361.8027425944</v>
      </c>
      <c r="M18" s="18"/>
      <c r="N18" s="18">
        <f>'Workpaper 1'!H75*1000+'Workpaper 1'!H121*1000</f>
        <v>1827640.8598821373</v>
      </c>
      <c r="O18" s="11">
        <f t="shared" si="1"/>
        <v>7</v>
      </c>
    </row>
    <row r="19" spans="1:15" ht="22.5" x14ac:dyDescent="0.3">
      <c r="A19" s="11">
        <f t="shared" si="0"/>
        <v>8</v>
      </c>
      <c r="B19" s="14" t="s">
        <v>369</v>
      </c>
      <c r="C19" s="18"/>
      <c r="D19" s="47">
        <f>'Workpaper 1'!C85*1000</f>
        <v>1610067.4695764172</v>
      </c>
      <c r="E19" s="18"/>
      <c r="F19" s="18">
        <f>'Workpaper 1'!D85*1000</f>
        <v>1546257.589985989</v>
      </c>
      <c r="G19" s="18"/>
      <c r="H19" s="18">
        <f>'Workpaper 1'!E85*1000</f>
        <v>1536909.4091548978</v>
      </c>
      <c r="I19" s="18"/>
      <c r="J19" s="18">
        <f>'Workpaper 1'!F85*1000</f>
        <v>1536203.182593141</v>
      </c>
      <c r="K19" s="18"/>
      <c r="L19" s="18">
        <f>'Workpaper 1'!G85*1000</f>
        <v>1555103.2692308179</v>
      </c>
      <c r="M19" s="18"/>
      <c r="N19" s="18">
        <f>'Workpaper 1'!H85*1000</f>
        <v>1604437.9445532979</v>
      </c>
      <c r="O19" s="11">
        <f t="shared" si="1"/>
        <v>8</v>
      </c>
    </row>
    <row r="20" spans="1:15" ht="22.5" x14ac:dyDescent="0.3">
      <c r="A20" s="11">
        <f t="shared" si="0"/>
        <v>9</v>
      </c>
      <c r="B20" s="19" t="s">
        <v>370</v>
      </c>
      <c r="C20" s="18"/>
      <c r="D20" s="47">
        <f>'Workpaper 1'!C131*1000</f>
        <v>123878.28122411853</v>
      </c>
      <c r="E20" s="18"/>
      <c r="F20" s="18">
        <f>'Workpaper 1'!D131*1000</f>
        <v>107612.3457969195</v>
      </c>
      <c r="G20" s="18"/>
      <c r="H20" s="18">
        <f>'Workpaper 1'!E131*1000</f>
        <v>114934.57811472354</v>
      </c>
      <c r="I20" s="18"/>
      <c r="J20" s="18">
        <f>'Workpaper 1'!F131*1000</f>
        <v>120754.573271323</v>
      </c>
      <c r="K20" s="18"/>
      <c r="L20" s="18">
        <f>'Workpaper 1'!G131*1000</f>
        <v>118740.66681286828</v>
      </c>
      <c r="M20" s="18"/>
      <c r="N20" s="18">
        <f>'Workpaper 1'!H131*1000</f>
        <v>122437.04539795166</v>
      </c>
      <c r="O20" s="11">
        <f t="shared" si="1"/>
        <v>9</v>
      </c>
    </row>
    <row r="21" spans="1:15" ht="22.5" x14ac:dyDescent="0.3">
      <c r="A21" s="11">
        <f t="shared" si="0"/>
        <v>10</v>
      </c>
      <c r="B21" s="14" t="s">
        <v>371</v>
      </c>
      <c r="C21" s="47"/>
      <c r="D21" s="47">
        <f>'Workpaper 1'!C95*1000</f>
        <v>1511239.5169377152</v>
      </c>
      <c r="E21" s="47"/>
      <c r="F21" s="47">
        <f>'Workpaper 1'!D95*1000</f>
        <v>1451346.3674702197</v>
      </c>
      <c r="G21" s="47"/>
      <c r="H21" s="47">
        <f>'Workpaper 1'!E95*1000</f>
        <v>1442571.9896566358</v>
      </c>
      <c r="I21" s="47"/>
      <c r="J21" s="47">
        <f>'Workpaper 1'!F95*1000</f>
        <v>1441909.1121634843</v>
      </c>
      <c r="K21" s="47"/>
      <c r="L21" s="47">
        <f>'Workpaper 1'!G95*1000</f>
        <v>1459649.08787265</v>
      </c>
      <c r="M21" s="47"/>
      <c r="N21" s="47">
        <f>'Workpaper 1'!H95*1000</f>
        <v>1699563.0494699781</v>
      </c>
      <c r="O21" s="11">
        <f t="shared" si="1"/>
        <v>10</v>
      </c>
    </row>
    <row r="22" spans="1:15" ht="22.5" x14ac:dyDescent="0.3">
      <c r="A22" s="11">
        <f t="shared" si="0"/>
        <v>11</v>
      </c>
      <c r="B22" s="19" t="s">
        <v>372</v>
      </c>
      <c r="C22" s="47"/>
      <c r="D22" s="47">
        <f>'Workpaper 1'!C141*1000</f>
        <v>123018.67846980928</v>
      </c>
      <c r="E22" s="47"/>
      <c r="F22" s="47">
        <f>'Workpaper 1'!D141*1000</f>
        <v>106865.61386029089</v>
      </c>
      <c r="G22" s="47"/>
      <c r="H22" s="47">
        <f>'Workpaper 1'!E141*1000</f>
        <v>114137.03653651867</v>
      </c>
      <c r="I22" s="47"/>
      <c r="J22" s="47">
        <f>'Workpaper 1'!F141*1000</f>
        <v>119916.64621297392</v>
      </c>
      <c r="K22" s="47"/>
      <c r="L22" s="47">
        <f>'Workpaper 1'!G141*1000</f>
        <v>117916.71443613006</v>
      </c>
      <c r="M22" s="47"/>
      <c r="N22" s="47">
        <f>'Workpaper 1'!H141*1000</f>
        <v>123818.69062282484</v>
      </c>
      <c r="O22" s="11">
        <f t="shared" si="1"/>
        <v>11</v>
      </c>
    </row>
    <row r="23" spans="1:15" x14ac:dyDescent="0.3">
      <c r="A23" s="11">
        <f t="shared" si="0"/>
        <v>12</v>
      </c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1">
        <f t="shared" si="1"/>
        <v>12</v>
      </c>
    </row>
    <row r="24" spans="1:15" x14ac:dyDescent="0.3">
      <c r="A24" s="11">
        <f t="shared" si="0"/>
        <v>13</v>
      </c>
      <c r="B24" s="127" t="s">
        <v>26</v>
      </c>
      <c r="C24" s="18">
        <f>'Workpaper 1'!C162*1000</f>
        <v>595720</v>
      </c>
      <c r="D24" s="18"/>
      <c r="E24" s="18">
        <f>'Workpaper 1'!D162*1000</f>
        <v>724430</v>
      </c>
      <c r="F24" s="18"/>
      <c r="G24" s="18">
        <f>'Workpaper 1'!E162*1000</f>
        <v>727400</v>
      </c>
      <c r="H24" s="18"/>
      <c r="I24" s="18">
        <f>'Workpaper 1'!F162*1000</f>
        <v>931380</v>
      </c>
      <c r="J24" s="18"/>
      <c r="K24" s="18">
        <f>'Workpaper 1'!G162*1000</f>
        <v>258380</v>
      </c>
      <c r="L24" s="18"/>
      <c r="M24" s="18">
        <f>'Workpaper 1'!H162*1000</f>
        <v>110630</v>
      </c>
      <c r="N24" s="18"/>
      <c r="O24" s="11">
        <f t="shared" si="1"/>
        <v>13</v>
      </c>
    </row>
    <row r="25" spans="1:15" ht="22.5" x14ac:dyDescent="0.3">
      <c r="A25" s="11">
        <f t="shared" si="0"/>
        <v>14</v>
      </c>
      <c r="B25" s="14" t="s">
        <v>368</v>
      </c>
      <c r="C25" s="18"/>
      <c r="D25" s="18">
        <f>'Workpaper 1'!C164*1000</f>
        <v>11856</v>
      </c>
      <c r="E25" s="18"/>
      <c r="F25" s="18">
        <f>'Workpaper 1'!D164*1000</f>
        <v>15980</v>
      </c>
      <c r="G25" s="18"/>
      <c r="H25" s="18">
        <f>'Workpaper 1'!E164*1000</f>
        <v>15650</v>
      </c>
      <c r="I25" s="18"/>
      <c r="J25" s="18">
        <f>'Workpaper 1'!F164*1000</f>
        <v>15840</v>
      </c>
      <c r="K25" s="18"/>
      <c r="L25" s="18">
        <f>'Workpaper 1'!G164*1000</f>
        <v>8780</v>
      </c>
      <c r="M25" s="18"/>
      <c r="N25" s="18">
        <f>'Workpaper 1'!H164*1000</f>
        <v>8690</v>
      </c>
      <c r="O25" s="11">
        <f t="shared" si="1"/>
        <v>14</v>
      </c>
    </row>
    <row r="26" spans="1:15" ht="22.5" x14ac:dyDescent="0.3">
      <c r="A26" s="11">
        <f t="shared" si="0"/>
        <v>15</v>
      </c>
      <c r="B26" s="19" t="s">
        <v>373</v>
      </c>
      <c r="C26" s="18"/>
      <c r="D26" s="18">
        <f>'Workpaper 1'!C166*1000</f>
        <v>0</v>
      </c>
      <c r="E26" s="18"/>
      <c r="F26" s="18">
        <f>'Workpaper 1'!D166*1000</f>
        <v>0</v>
      </c>
      <c r="G26" s="18"/>
      <c r="H26" s="18">
        <f>'Workpaper 1'!E166*1000</f>
        <v>0</v>
      </c>
      <c r="I26" s="18"/>
      <c r="J26" s="18">
        <f>'Workpaper 1'!F166*1000</f>
        <v>0</v>
      </c>
      <c r="K26" s="18"/>
      <c r="L26" s="18">
        <f>'Workpaper 1'!G166*1000</f>
        <v>0</v>
      </c>
      <c r="M26" s="18"/>
      <c r="N26" s="18">
        <f>'Workpaper 1'!H166*1000</f>
        <v>0</v>
      </c>
      <c r="O26" s="11">
        <f t="shared" si="1"/>
        <v>15</v>
      </c>
    </row>
    <row r="27" spans="1:15" x14ac:dyDescent="0.3">
      <c r="A27" s="11">
        <f t="shared" si="0"/>
        <v>16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1">
        <f t="shared" si="1"/>
        <v>16</v>
      </c>
    </row>
    <row r="28" spans="1:15" x14ac:dyDescent="0.3">
      <c r="A28" s="11">
        <f t="shared" si="0"/>
        <v>17</v>
      </c>
      <c r="B28" s="14" t="s">
        <v>78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 t="shared" si="1"/>
        <v>17</v>
      </c>
    </row>
    <row r="29" spans="1:15" x14ac:dyDescent="0.3">
      <c r="A29" s="11">
        <f t="shared" si="0"/>
        <v>18</v>
      </c>
      <c r="B29" s="14" t="s">
        <v>79</v>
      </c>
      <c r="C29" s="18">
        <f>'Workpaper 1'!C14*1000</f>
        <v>5887704.8144613691</v>
      </c>
      <c r="E29" s="18">
        <f>'Workpaper 1'!D14*1000</f>
        <v>6921204.3635153994</v>
      </c>
      <c r="G29" s="18">
        <f>'Workpaper 1'!E14*1000</f>
        <v>6343637.0075090956</v>
      </c>
      <c r="I29" s="18">
        <f>'Workpaper 1'!F14*1000</f>
        <v>7110262.225510261</v>
      </c>
      <c r="K29" s="18">
        <f>'Workpaper 1'!G14*1000</f>
        <v>10185414.184797397</v>
      </c>
      <c r="M29" s="18">
        <f>'Workpaper 1'!H14*1000</f>
        <v>11247957.966117742</v>
      </c>
      <c r="O29" s="11">
        <f t="shared" si="1"/>
        <v>18</v>
      </c>
    </row>
    <row r="30" spans="1:15" ht="22.5" x14ac:dyDescent="0.3">
      <c r="A30" s="11">
        <f t="shared" si="0"/>
        <v>19</v>
      </c>
      <c r="B30" s="14" t="s">
        <v>374</v>
      </c>
      <c r="C30" s="18">
        <f>'Workpaper 1'!C15*1000</f>
        <v>16898596.174145363</v>
      </c>
      <c r="D30" s="18">
        <f>'Workpaper 1'!C192*1000</f>
        <v>61281.403733798092</v>
      </c>
      <c r="E30" s="18">
        <f>'Workpaper 1'!D15*1000</f>
        <v>18281425.836751401</v>
      </c>
      <c r="F30" s="18">
        <f>'Workpaper 1'!D192*1000</f>
        <v>66296.124600309253</v>
      </c>
      <c r="G30" s="18">
        <f>'Workpaper 1'!E15*1000</f>
        <v>16418928.25680276</v>
      </c>
      <c r="H30" s="18">
        <f>'Workpaper 1'!E192*1000</f>
        <v>59541.926501612637</v>
      </c>
      <c r="I30" s="18">
        <f>'Workpaper 1'!F15*1000</f>
        <v>17288752.517243203</v>
      </c>
      <c r="J30" s="18">
        <f>'Workpaper 1'!F192*1000</f>
        <v>62696.274420942034</v>
      </c>
      <c r="K30" s="18">
        <f>'Workpaper 1'!G15*1000</f>
        <v>20061665.198170915</v>
      </c>
      <c r="L30" s="18">
        <f>'Workpaper 1'!G192*1000</f>
        <v>72752.019866737523</v>
      </c>
      <c r="M30" s="18">
        <f>'Workpaper 1'!H15*1000</f>
        <v>20603202.325132836</v>
      </c>
      <c r="N30" s="18">
        <f>'Workpaper 1'!H192*1000</f>
        <v>74377.548100098793</v>
      </c>
      <c r="O30" s="11">
        <f t="shared" si="1"/>
        <v>19</v>
      </c>
    </row>
    <row r="31" spans="1:15" x14ac:dyDescent="0.3">
      <c r="A31" s="11">
        <f t="shared" si="0"/>
        <v>20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1">
        <f t="shared" si="1"/>
        <v>20</v>
      </c>
    </row>
    <row r="32" spans="1:15" x14ac:dyDescent="0.3">
      <c r="A32" s="11">
        <f t="shared" si="0"/>
        <v>21</v>
      </c>
      <c r="B32" s="14" t="str">
        <f>'A-Revenues@Changed Rates'!B29</f>
        <v>Street Lighting</v>
      </c>
      <c r="C32" s="18">
        <f>'Workpaper 1'!C16*1000</f>
        <v>6804681.1748855589</v>
      </c>
      <c r="D32" s="18"/>
      <c r="E32" s="18">
        <f>'Workpaper 1'!D16*1000</f>
        <v>6756007.3419802682</v>
      </c>
      <c r="F32" s="18"/>
      <c r="G32" s="18">
        <f>'Workpaper 1'!E16*1000</f>
        <v>6619387.8228434017</v>
      </c>
      <c r="H32" s="18"/>
      <c r="I32" s="18">
        <f>'Workpaper 1'!F16*1000</f>
        <v>6515491.4020588556</v>
      </c>
      <c r="J32" s="18"/>
      <c r="K32" s="18">
        <f>'Workpaper 1'!G16*1000</f>
        <v>6463029.1984564485</v>
      </c>
      <c r="L32" s="18"/>
      <c r="M32" s="18">
        <f>'Workpaper 1'!H16*1000</f>
        <v>6515925.7018801039</v>
      </c>
      <c r="N32" s="18"/>
      <c r="O32" s="11">
        <f t="shared" si="1"/>
        <v>21</v>
      </c>
    </row>
    <row r="33" spans="1:15" x14ac:dyDescent="0.3">
      <c r="A33" s="11">
        <f t="shared" si="0"/>
        <v>22</v>
      </c>
      <c r="B33" s="14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1">
        <f t="shared" si="1"/>
        <v>22</v>
      </c>
    </row>
    <row r="34" spans="1:15" x14ac:dyDescent="0.3">
      <c r="A34" s="11">
        <f t="shared" si="0"/>
        <v>23</v>
      </c>
      <c r="B34" s="14" t="s">
        <v>375</v>
      </c>
      <c r="C34" s="18">
        <f>'Workpaper 1'!C17*1000</f>
        <v>7563.5555555555557</v>
      </c>
      <c r="D34" s="18"/>
      <c r="E34" s="18">
        <f>'Workpaper 1'!D17*1000</f>
        <v>7563.5555555555557</v>
      </c>
      <c r="F34" s="18"/>
      <c r="G34" s="18">
        <f>'Workpaper 1'!E17*1000</f>
        <v>7563.5555555555557</v>
      </c>
      <c r="H34" s="18"/>
      <c r="I34" s="18">
        <f>'Workpaper 1'!F17*1000</f>
        <v>7563.5555555555557</v>
      </c>
      <c r="J34" s="18"/>
      <c r="K34" s="18">
        <f>'Workpaper 1'!G17*1000</f>
        <v>7563.5555555555557</v>
      </c>
      <c r="L34" s="18"/>
      <c r="M34" s="18">
        <f>'Workpaper 1'!H17*1000</f>
        <v>7563.5555555555557</v>
      </c>
      <c r="N34" s="18"/>
      <c r="O34" s="11">
        <f t="shared" si="1"/>
        <v>23</v>
      </c>
    </row>
    <row r="35" spans="1:15" x14ac:dyDescent="0.3">
      <c r="A35" s="11">
        <f t="shared" si="0"/>
        <v>24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1">
        <f t="shared" si="1"/>
        <v>24</v>
      </c>
    </row>
    <row r="36" spans="1:15" x14ac:dyDescent="0.3">
      <c r="A36" s="11">
        <f t="shared" si="0"/>
        <v>25</v>
      </c>
      <c r="B36" s="14" t="str">
        <f>'A-Revenues@Changed Rates'!B31</f>
        <v>Standby</v>
      </c>
      <c r="C36" s="22"/>
      <c r="D36" s="22">
        <f>'Workpaper 1'!C202*1000</f>
        <v>145506</v>
      </c>
      <c r="E36" s="22"/>
      <c r="F36" s="22">
        <f>'Workpaper 1'!D202*1000</f>
        <v>145506</v>
      </c>
      <c r="G36" s="22"/>
      <c r="H36" s="22">
        <f>'Workpaper 1'!E202*1000</f>
        <v>145506</v>
      </c>
      <c r="I36" s="22"/>
      <c r="J36" s="22">
        <f>'Workpaper 1'!F202*1000</f>
        <v>145506</v>
      </c>
      <c r="K36" s="22"/>
      <c r="L36" s="22">
        <f>'Workpaper 1'!G202*1000</f>
        <v>145506</v>
      </c>
      <c r="M36" s="22"/>
      <c r="N36" s="22">
        <f>'Workpaper 1'!H202*1000</f>
        <v>145506</v>
      </c>
      <c r="O36" s="11">
        <f t="shared" si="1"/>
        <v>25</v>
      </c>
    </row>
    <row r="37" spans="1:15" x14ac:dyDescent="0.3">
      <c r="A37" s="11">
        <f t="shared" si="0"/>
        <v>26</v>
      </c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1">
        <f t="shared" si="1"/>
        <v>26</v>
      </c>
    </row>
    <row r="38" spans="1:15" ht="19.5" thickBot="1" x14ac:dyDescent="0.35">
      <c r="A38" s="11">
        <f t="shared" si="0"/>
        <v>27</v>
      </c>
      <c r="B38" s="19" t="s">
        <v>60</v>
      </c>
      <c r="C38" s="23">
        <f>SUM(C12:C36)</f>
        <v>1581682429.7021503</v>
      </c>
      <c r="D38" s="23"/>
      <c r="E38" s="23">
        <f>SUM(E12:E36)</f>
        <v>1426321820.6676428</v>
      </c>
      <c r="F38" s="23"/>
      <c r="G38" s="23">
        <f>SUM(G12:G36)</f>
        <v>1368374851.8896389</v>
      </c>
      <c r="H38" s="23"/>
      <c r="I38" s="23">
        <f>SUM(I12:I36)</f>
        <v>1283694122.8345041</v>
      </c>
      <c r="J38" s="23"/>
      <c r="K38" s="23">
        <f>SUM(K12:K36)</f>
        <v>1272457353.9520638</v>
      </c>
      <c r="L38" s="23"/>
      <c r="M38" s="23">
        <f>SUM(M12:M36)</f>
        <v>1343807130.9275007</v>
      </c>
      <c r="N38" s="23"/>
      <c r="O38" s="11">
        <f t="shared" si="1"/>
        <v>27</v>
      </c>
    </row>
    <row r="39" spans="1:15" ht="19.5" thickTop="1" x14ac:dyDescent="0.3">
      <c r="A39" s="17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4"/>
    </row>
    <row r="40" spans="1:15" x14ac:dyDescent="0.3">
      <c r="B40" s="25" t="s">
        <v>46</v>
      </c>
      <c r="C40" s="216"/>
      <c r="E40" s="216"/>
      <c r="G40" s="216"/>
      <c r="I40" s="216"/>
      <c r="K40" s="216"/>
      <c r="M40" s="216"/>
    </row>
    <row r="41" spans="1:15" ht="22.5" x14ac:dyDescent="0.3">
      <c r="A41" s="77">
        <v>1</v>
      </c>
      <c r="B41" s="1" t="s">
        <v>275</v>
      </c>
    </row>
    <row r="42" spans="1:15" ht="22.5" x14ac:dyDescent="0.3">
      <c r="A42" s="77">
        <v>2</v>
      </c>
      <c r="B42" s="1" t="s">
        <v>376</v>
      </c>
    </row>
    <row r="43" spans="1:15" ht="22.5" x14ac:dyDescent="0.3">
      <c r="A43" s="77">
        <v>3</v>
      </c>
      <c r="B43" s="1" t="s">
        <v>377</v>
      </c>
    </row>
    <row r="44" spans="1:15" ht="22.5" x14ac:dyDescent="0.3">
      <c r="A44" s="77"/>
      <c r="B44" s="1" t="s">
        <v>378</v>
      </c>
    </row>
    <row r="45" spans="1:15" ht="22.5" x14ac:dyDescent="0.3">
      <c r="A45" s="77">
        <v>4</v>
      </c>
      <c r="B45" s="1" t="s">
        <v>457</v>
      </c>
    </row>
    <row r="46" spans="1:15" ht="22.5" x14ac:dyDescent="0.3">
      <c r="A46" s="77"/>
      <c r="B46" s="1" t="s">
        <v>458</v>
      </c>
    </row>
    <row r="47" spans="1:15" ht="22.5" x14ac:dyDescent="0.3">
      <c r="A47" s="77">
        <v>5</v>
      </c>
      <c r="B47" s="1" t="s">
        <v>451</v>
      </c>
      <c r="F47" s="391"/>
    </row>
    <row r="48" spans="1:15" ht="22.5" x14ac:dyDescent="0.3">
      <c r="A48" s="77">
        <v>6</v>
      </c>
      <c r="B48" s="1" t="s">
        <v>379</v>
      </c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</sheetData>
  <mergeCells count="11">
    <mergeCell ref="M8:N8"/>
    <mergeCell ref="C8:D8"/>
    <mergeCell ref="E8:F8"/>
    <mergeCell ref="G8:H8"/>
    <mergeCell ref="I8:J8"/>
    <mergeCell ref="K8:L8"/>
    <mergeCell ref="A1:O1"/>
    <mergeCell ref="A2:O2"/>
    <mergeCell ref="A3:O3"/>
    <mergeCell ref="A5:O5"/>
    <mergeCell ref="A4:O4"/>
  </mergeCells>
  <phoneticPr fontId="0" type="noConversion"/>
  <printOptions horizontalCentered="1"/>
  <pageMargins left="0.25" right="0.25" top="0.5" bottom="0.5" header="0.25" footer="0.25"/>
  <pageSetup scale="42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Q136"/>
  <sheetViews>
    <sheetView showWhiteSpace="0" zoomScale="75" zoomScaleNormal="75" zoomScaleSheetLayoutView="70" zoomScalePageLayoutView="40" workbookViewId="0">
      <selection activeCell="G12" sqref="G12"/>
    </sheetView>
  </sheetViews>
  <sheetFormatPr defaultColWidth="9.140625" defaultRowHeight="18.75" x14ac:dyDescent="0.3"/>
  <cols>
    <col min="1" max="1" width="5.5703125" style="1" bestFit="1" customWidth="1"/>
    <col min="2" max="2" width="86.5703125" style="1" customWidth="1"/>
    <col min="3" max="4" width="20.5703125" style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19.140625" style="1" bestFit="1" customWidth="1"/>
    <col min="12" max="12" width="17.140625" style="1" bestFit="1" customWidth="1"/>
    <col min="13" max="13" width="19.140625" style="1" bestFit="1" customWidth="1"/>
    <col min="14" max="14" width="17.140625" style="1" bestFit="1" customWidth="1"/>
    <col min="15" max="15" width="5.5703125" style="1" bestFit="1" customWidth="1"/>
    <col min="16" max="16" width="9.140625" style="1"/>
    <col min="17" max="17" width="24.5703125" style="1" bestFit="1" customWidth="1"/>
    <col min="18" max="16384" width="9.140625" style="1"/>
  </cols>
  <sheetData>
    <row r="1" spans="1:15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x14ac:dyDescent="0.3">
      <c r="A3" s="425" t="str">
        <f>'Comparison of Revenues'!A3:H3</f>
        <v>Transmission Revenues Data to Reflect Changed Rates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ht="18.75" customHeight="1" x14ac:dyDescent="0.3">
      <c r="A4" s="425" t="str">
        <f>'A-Billing Determinants'!A4:O4</f>
        <v>Billing Determinants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x14ac:dyDescent="0.3">
      <c r="A5" s="425" t="s">
        <v>463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</row>
    <row r="6" spans="1:15" x14ac:dyDescent="0.3">
      <c r="A6" s="7"/>
    </row>
    <row r="7" spans="1:15" x14ac:dyDescent="0.3">
      <c r="A7" s="8"/>
      <c r="B7" s="8"/>
      <c r="C7" s="9" t="s">
        <v>52</v>
      </c>
      <c r="D7" s="10"/>
      <c r="E7" s="9" t="s">
        <v>103</v>
      </c>
      <c r="F7" s="10"/>
      <c r="G7" s="9" t="s">
        <v>105</v>
      </c>
      <c r="H7" s="10"/>
      <c r="I7" s="9" t="s">
        <v>106</v>
      </c>
      <c r="J7" s="10"/>
      <c r="K7" s="9" t="s">
        <v>107</v>
      </c>
      <c r="L7" s="10"/>
      <c r="M7" s="9" t="s">
        <v>108</v>
      </c>
      <c r="N7" s="10"/>
      <c r="O7" s="8"/>
    </row>
    <row r="8" spans="1:15" x14ac:dyDescent="0.3">
      <c r="A8" s="11"/>
      <c r="B8" s="11"/>
      <c r="C8" s="427">
        <v>45839</v>
      </c>
      <c r="D8" s="428"/>
      <c r="E8" s="427">
        <v>45870</v>
      </c>
      <c r="F8" s="428"/>
      <c r="G8" s="427">
        <v>45901</v>
      </c>
      <c r="H8" s="428"/>
      <c r="I8" s="427">
        <v>45931</v>
      </c>
      <c r="J8" s="428"/>
      <c r="K8" s="427">
        <v>45962</v>
      </c>
      <c r="L8" s="428"/>
      <c r="M8" s="427">
        <v>45992</v>
      </c>
      <c r="N8" s="428"/>
      <c r="O8" s="11"/>
    </row>
    <row r="9" spans="1:15" ht="22.5" x14ac:dyDescent="0.3">
      <c r="A9" s="11" t="s">
        <v>8</v>
      </c>
      <c r="B9" s="14"/>
      <c r="C9" s="15" t="s">
        <v>365</v>
      </c>
      <c r="D9" s="16"/>
      <c r="E9" s="15" t="s">
        <v>365</v>
      </c>
      <c r="F9" s="16"/>
      <c r="G9" s="15" t="s">
        <v>365</v>
      </c>
      <c r="H9" s="16"/>
      <c r="I9" s="15" t="s">
        <v>365</v>
      </c>
      <c r="J9" s="16"/>
      <c r="K9" s="15" t="s">
        <v>365</v>
      </c>
      <c r="L9" s="16"/>
      <c r="M9" s="15" t="s">
        <v>365</v>
      </c>
      <c r="N9" s="16"/>
      <c r="O9" s="11" t="s">
        <v>8</v>
      </c>
    </row>
    <row r="10" spans="1:15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69</v>
      </c>
      <c r="F10" s="17" t="s">
        <v>70</v>
      </c>
      <c r="G10" s="17" t="s">
        <v>69</v>
      </c>
      <c r="H10" s="17" t="s">
        <v>70</v>
      </c>
      <c r="I10" s="17" t="s">
        <v>69</v>
      </c>
      <c r="J10" s="17" t="s">
        <v>70</v>
      </c>
      <c r="K10" s="17" t="s">
        <v>69</v>
      </c>
      <c r="L10" s="17" t="s">
        <v>70</v>
      </c>
      <c r="M10" s="17" t="s">
        <v>69</v>
      </c>
      <c r="N10" s="17" t="s">
        <v>70</v>
      </c>
      <c r="O10" s="17" t="s">
        <v>10</v>
      </c>
    </row>
    <row r="11" spans="1:1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2.5" x14ac:dyDescent="0.3">
      <c r="A12" s="11">
        <v>1</v>
      </c>
      <c r="B12" s="14" t="s">
        <v>366</v>
      </c>
      <c r="C12" s="18">
        <f>'Workpaper 1'!I8*1000-'Workpaper 1'!I212*1000</f>
        <v>437849308.7170797</v>
      </c>
      <c r="D12" s="18"/>
      <c r="E12" s="18">
        <f>'Workpaper 1'!J8*1000-'Workpaper 1'!J212*1000</f>
        <v>603748647.70622778</v>
      </c>
      <c r="F12" s="18"/>
      <c r="G12" s="18">
        <f>'Workpaper 1'!K8*1000-'Workpaper 1'!K212*1000</f>
        <v>696891131.78545249</v>
      </c>
      <c r="H12" s="18"/>
      <c r="I12" s="18">
        <f>'Workpaper 1'!L8*1000-'Workpaper 1'!L212*1000</f>
        <v>503976555.51533151</v>
      </c>
      <c r="J12" s="18"/>
      <c r="K12" s="18">
        <f>'Workpaper 1'!M8*1000-'Workpaper 1'!M212*1000</f>
        <v>424076250.71392423</v>
      </c>
      <c r="L12" s="18"/>
      <c r="M12" s="18">
        <f>'Workpaper 1'!N8*1000-'Workpaper 1'!N212*1000</f>
        <v>539694366.65000427</v>
      </c>
      <c r="N12" s="18"/>
      <c r="O12" s="11">
        <v>1</v>
      </c>
    </row>
    <row r="13" spans="1:15" x14ac:dyDescent="0.3">
      <c r="A13" s="11">
        <f>A12+1</f>
        <v>2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1">
        <f>O12+1</f>
        <v>2</v>
      </c>
    </row>
    <row r="14" spans="1:15" x14ac:dyDescent="0.3">
      <c r="A14" s="11">
        <f t="shared" ref="A14:A38" si="0">A13+1</f>
        <v>3</v>
      </c>
      <c r="B14" s="14" t="str">
        <f>'A-Revenues@Changed Rates'!B13</f>
        <v xml:space="preserve">Small Commercial </v>
      </c>
      <c r="C14" s="18">
        <f>'Workpaper 1'!I9*1000</f>
        <v>217705905.33345446</v>
      </c>
      <c r="D14" s="18"/>
      <c r="E14" s="18">
        <f>'Workpaper 1'!J9*1000</f>
        <v>229919024.856437</v>
      </c>
      <c r="F14" s="18"/>
      <c r="G14" s="18">
        <f>'Workpaper 1'!K9*1000</f>
        <v>241455993.41200775</v>
      </c>
      <c r="H14" s="18"/>
      <c r="I14" s="18">
        <f>'Workpaper 1'!L9*1000</f>
        <v>214159409.97047323</v>
      </c>
      <c r="J14" s="18"/>
      <c r="K14" s="18">
        <f>'Workpaper 1'!M9*1000</f>
        <v>197828256.87204242</v>
      </c>
      <c r="L14" s="18"/>
      <c r="M14" s="18">
        <f>'Workpaper 1'!N9*1000</f>
        <v>190835621.55890608</v>
      </c>
      <c r="N14" s="18"/>
      <c r="O14" s="11">
        <f t="shared" ref="O14:O38" si="1">O13+1</f>
        <v>3</v>
      </c>
    </row>
    <row r="15" spans="1:15" x14ac:dyDescent="0.3">
      <c r="A15" s="11">
        <f t="shared" si="0"/>
        <v>4</v>
      </c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1">
        <f t="shared" si="1"/>
        <v>4</v>
      </c>
    </row>
    <row r="16" spans="1:15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'Workpaper 1'!I147*1000</f>
        <v>838846181.36289918</v>
      </c>
      <c r="D16" s="18"/>
      <c r="E16" s="18">
        <f>'Workpaper 1'!J147*1000</f>
        <v>875481607.36812794</v>
      </c>
      <c r="F16" s="18"/>
      <c r="G16" s="18">
        <f>'Workpaper 1'!K147*1000</f>
        <v>915168821.98981917</v>
      </c>
      <c r="H16" s="18"/>
      <c r="I16" s="18">
        <f>'Workpaper 1'!L147*1000</f>
        <v>830726294.65735018</v>
      </c>
      <c r="J16" s="18"/>
      <c r="K16" s="18">
        <f>'Workpaper 1'!M147*1000</f>
        <v>757391548.70867193</v>
      </c>
      <c r="L16" s="18"/>
      <c r="M16" s="18">
        <f>'Workpaper 1'!N147*1000</f>
        <v>759868650.98507214</v>
      </c>
      <c r="N16" s="18"/>
      <c r="O16" s="11">
        <f t="shared" si="1"/>
        <v>5</v>
      </c>
    </row>
    <row r="17" spans="1:15" x14ac:dyDescent="0.3">
      <c r="A17" s="11">
        <f t="shared" si="0"/>
        <v>6</v>
      </c>
      <c r="B17" s="14" t="s">
        <v>367</v>
      </c>
      <c r="C17" s="18"/>
      <c r="D17" s="18">
        <f>'Workpaper 1'!I48*1000</f>
        <v>0</v>
      </c>
      <c r="E17" s="18"/>
      <c r="F17" s="18">
        <f>'Workpaper 1'!J48*1000</f>
        <v>0</v>
      </c>
      <c r="G17" s="18"/>
      <c r="H17" s="18">
        <f>'Workpaper 1'!K48*1000</f>
        <v>0</v>
      </c>
      <c r="I17" s="18"/>
      <c r="J17" s="18">
        <f>'Workpaper 1'!L48*1000</f>
        <v>0</v>
      </c>
      <c r="K17" s="18"/>
      <c r="L17" s="18">
        <f>'Workpaper 1'!M48*1000</f>
        <v>0</v>
      </c>
      <c r="M17" s="18"/>
      <c r="N17" s="18">
        <f>'Workpaper 1'!N48*1000</f>
        <v>0</v>
      </c>
      <c r="O17" s="11">
        <f t="shared" si="1"/>
        <v>6</v>
      </c>
    </row>
    <row r="18" spans="1:15" ht="22.5" x14ac:dyDescent="0.3">
      <c r="A18" s="11">
        <f t="shared" si="0"/>
        <v>7</v>
      </c>
      <c r="B18" s="14" t="s">
        <v>368</v>
      </c>
      <c r="C18" s="18"/>
      <c r="D18" s="18">
        <f>'Workpaper 1'!I75*1000+'Workpaper 1'!I121*1000</f>
        <v>2013529.8033270447</v>
      </c>
      <c r="E18" s="18"/>
      <c r="F18" s="18">
        <f>'Workpaper 1'!J75*1000+'Workpaper 1'!J121*1000</f>
        <v>2105311.5654053241</v>
      </c>
      <c r="G18" s="18"/>
      <c r="H18" s="18">
        <f>'Workpaper 1'!K75*1000+'Workpaper 1'!K121*1000</f>
        <v>2203987.4338490153</v>
      </c>
      <c r="I18" s="18"/>
      <c r="J18" s="18">
        <f>'Workpaper 1'!L75*1000+'Workpaper 1'!L121*1000</f>
        <v>2000706.7405149366</v>
      </c>
      <c r="K18" s="18"/>
      <c r="L18" s="18">
        <f>'Workpaper 1'!M75*1000+'Workpaper 1'!M121*1000</f>
        <v>1825706.6436310154</v>
      </c>
      <c r="M18" s="18"/>
      <c r="N18" s="18">
        <f>'Workpaper 1'!N75*1000+'Workpaper 1'!N121*1000</f>
        <v>1822396.9827174873</v>
      </c>
      <c r="O18" s="11">
        <f t="shared" si="1"/>
        <v>7</v>
      </c>
    </row>
    <row r="19" spans="1:15" ht="22.5" x14ac:dyDescent="0.3">
      <c r="A19" s="11">
        <f t="shared" si="0"/>
        <v>8</v>
      </c>
      <c r="B19" s="14" t="s">
        <v>369</v>
      </c>
      <c r="C19" s="18"/>
      <c r="D19" s="18">
        <f>'Workpaper 1'!I85*1000</f>
        <v>1758680.4717437441</v>
      </c>
      <c r="E19" s="18"/>
      <c r="F19" s="18">
        <f>'Workpaper 1'!J85*1000</f>
        <v>1851064.6221110509</v>
      </c>
      <c r="G19" s="18"/>
      <c r="H19" s="18">
        <f>'Workpaper 1'!K85*1000</f>
        <v>1948099.2830126781</v>
      </c>
      <c r="I19" s="18"/>
      <c r="J19" s="18">
        <f>'Workpaper 1'!L85*1000</f>
        <v>1768676.5675969934</v>
      </c>
      <c r="K19" s="18"/>
      <c r="L19" s="18">
        <f>'Workpaper 1'!M85*1000</f>
        <v>1625043.2537790933</v>
      </c>
      <c r="M19" s="18"/>
      <c r="N19" s="18">
        <f>'Workpaper 1'!N85*1000</f>
        <v>1592244.3422798486</v>
      </c>
      <c r="O19" s="11">
        <f t="shared" si="1"/>
        <v>8</v>
      </c>
    </row>
    <row r="20" spans="1:15" ht="22.5" x14ac:dyDescent="0.3">
      <c r="A20" s="11">
        <f t="shared" si="0"/>
        <v>9</v>
      </c>
      <c r="B20" s="19" t="s">
        <v>370</v>
      </c>
      <c r="C20" s="18"/>
      <c r="D20" s="18">
        <f>'Workpaper 1'!I131*1000</f>
        <v>141907.64036930897</v>
      </c>
      <c r="E20" s="18"/>
      <c r="F20" s="18">
        <f>'Workpaper 1'!J131*1000</f>
        <v>138789.48446035135</v>
      </c>
      <c r="G20" s="18"/>
      <c r="H20" s="18">
        <f>'Workpaper 1'!K131*1000</f>
        <v>137232.86039878041</v>
      </c>
      <c r="I20" s="18"/>
      <c r="J20" s="18">
        <f>'Workpaper 1'!L131*1000</f>
        <v>124374.11536390237</v>
      </c>
      <c r="K20" s="18"/>
      <c r="L20" s="18">
        <f>'Workpaper 1'!M131*1000</f>
        <v>123896.57445532805</v>
      </c>
      <c r="M20" s="18"/>
      <c r="N20" s="18">
        <f>'Workpaper 1'!N131*1000</f>
        <v>146964.78019320499</v>
      </c>
      <c r="O20" s="11">
        <f t="shared" si="1"/>
        <v>9</v>
      </c>
    </row>
    <row r="21" spans="1:15" ht="22.5" x14ac:dyDescent="0.3">
      <c r="A21" s="11">
        <f t="shared" si="0"/>
        <v>10</v>
      </c>
      <c r="B21" s="14" t="s">
        <v>371</v>
      </c>
      <c r="C21" s="47"/>
      <c r="D21" s="47">
        <f>'Workpaper 1'!I95*1000</f>
        <v>1862950.4218265549</v>
      </c>
      <c r="E21" s="47"/>
      <c r="F21" s="47">
        <f>'Workpaper 1'!J95*1000</f>
        <v>1960811.912109788</v>
      </c>
      <c r="G21" s="47"/>
      <c r="H21" s="47">
        <f>'Workpaper 1'!K95*1000</f>
        <v>2063599.6358395268</v>
      </c>
      <c r="I21" s="47"/>
      <c r="J21" s="47">
        <f>'Workpaper 1'!L95*1000</f>
        <v>1873539.1736126964</v>
      </c>
      <c r="K21" s="47"/>
      <c r="L21" s="47">
        <f>'Workpaper 1'!M95*1000</f>
        <v>1525296.0687977253</v>
      </c>
      <c r="M21" s="47"/>
      <c r="N21" s="47">
        <f>'Workpaper 1'!N95*1000</f>
        <v>1494510.395459923</v>
      </c>
      <c r="O21" s="11">
        <f t="shared" si="1"/>
        <v>10</v>
      </c>
    </row>
    <row r="22" spans="1:15" ht="22.5" x14ac:dyDescent="0.3">
      <c r="A22" s="11">
        <f t="shared" si="0"/>
        <v>11</v>
      </c>
      <c r="B22" s="19" t="s">
        <v>372</v>
      </c>
      <c r="C22" s="47"/>
      <c r="D22" s="47">
        <f>'Workpaper 1'!I141*1000</f>
        <v>143509.0022206344</v>
      </c>
      <c r="E22" s="47"/>
      <c r="F22" s="47">
        <f>'Workpaper 1'!J141*1000</f>
        <v>140355.65936962</v>
      </c>
      <c r="G22" s="47"/>
      <c r="H22" s="47">
        <f>'Workpaper 1'!K141*1000</f>
        <v>138781.46952806308</v>
      </c>
      <c r="I22" s="47"/>
      <c r="J22" s="47">
        <f>'Workpaper 1'!L141*1000</f>
        <v>125777.61952419826</v>
      </c>
      <c r="K22" s="47"/>
      <c r="L22" s="47">
        <f>'Workpaper 1'!M141*1000</f>
        <v>123036.84476260976</v>
      </c>
      <c r="M22" s="47"/>
      <c r="N22" s="47">
        <f>'Workpaper 1'!N141*1000</f>
        <v>145944.97810528311</v>
      </c>
      <c r="O22" s="11">
        <f t="shared" si="1"/>
        <v>11</v>
      </c>
    </row>
    <row r="23" spans="1:15" x14ac:dyDescent="0.3">
      <c r="A23" s="11">
        <f t="shared" si="0"/>
        <v>12</v>
      </c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1">
        <f t="shared" si="1"/>
        <v>12</v>
      </c>
    </row>
    <row r="24" spans="1:15" x14ac:dyDescent="0.3">
      <c r="A24" s="11">
        <f t="shared" si="0"/>
        <v>13</v>
      </c>
      <c r="B24" s="127" t="s">
        <v>26</v>
      </c>
      <c r="C24" s="18">
        <f>'Workpaper 1'!I162*1000</f>
        <v>125900</v>
      </c>
      <c r="D24" s="18"/>
      <c r="E24" s="18">
        <f>'Workpaper 1'!J162*1000</f>
        <v>50</v>
      </c>
      <c r="F24" s="18"/>
      <c r="G24" s="18">
        <f>'Workpaper 1'!K162*1000</f>
        <v>40380</v>
      </c>
      <c r="H24" s="18"/>
      <c r="I24" s="18">
        <f>'Workpaper 1'!L162*1000</f>
        <v>1332720</v>
      </c>
      <c r="J24" s="18"/>
      <c r="K24" s="18">
        <f>'Workpaper 1'!M162*1000</f>
        <v>1353380</v>
      </c>
      <c r="L24" s="18"/>
      <c r="M24" s="18">
        <f>'Workpaper 1'!N162*1000</f>
        <v>517860</v>
      </c>
      <c r="N24" s="18"/>
      <c r="O24" s="11">
        <f t="shared" si="1"/>
        <v>13</v>
      </c>
    </row>
    <row r="25" spans="1:15" ht="22.5" x14ac:dyDescent="0.3">
      <c r="A25" s="11">
        <f t="shared" si="0"/>
        <v>14</v>
      </c>
      <c r="B25" s="14" t="s">
        <v>368</v>
      </c>
      <c r="C25" s="18"/>
      <c r="D25" s="18">
        <f>'Workpaper 1'!I164*1000</f>
        <v>9890</v>
      </c>
      <c r="E25" s="18"/>
      <c r="F25" s="18">
        <f>'Workpaper 1'!J164*1000</f>
        <v>7990</v>
      </c>
      <c r="G25" s="18"/>
      <c r="H25" s="18">
        <f>'Workpaper 1'!K164*1000</f>
        <v>7990</v>
      </c>
      <c r="I25" s="18"/>
      <c r="J25" s="18">
        <f>'Workpaper 1'!L164*1000</f>
        <v>16940</v>
      </c>
      <c r="K25" s="18"/>
      <c r="L25" s="18">
        <f>'Workpaper 1'!M164*1000</f>
        <v>16610</v>
      </c>
      <c r="M25" s="18"/>
      <c r="N25" s="18">
        <f>'Workpaper 1'!N164*1000</f>
        <v>9790</v>
      </c>
      <c r="O25" s="11">
        <f t="shared" si="1"/>
        <v>14</v>
      </c>
    </row>
    <row r="26" spans="1:15" ht="22.5" x14ac:dyDescent="0.3">
      <c r="A26" s="11">
        <f t="shared" si="0"/>
        <v>15</v>
      </c>
      <c r="B26" s="19" t="s">
        <v>373</v>
      </c>
      <c r="C26" s="18"/>
      <c r="D26" s="18">
        <f>'Workpaper 1'!I166*1000</f>
        <v>0</v>
      </c>
      <c r="E26" s="18"/>
      <c r="F26" s="18">
        <f>'Workpaper 1'!J166*1000</f>
        <v>0</v>
      </c>
      <c r="G26" s="18"/>
      <c r="H26" s="18">
        <f>'Workpaper 1'!K166*1000</f>
        <v>0</v>
      </c>
      <c r="I26" s="18"/>
      <c r="J26" s="18">
        <f>'Workpaper 1'!L166*1000</f>
        <v>0</v>
      </c>
      <c r="K26" s="18"/>
      <c r="L26" s="18">
        <f>'Workpaper 1'!M166*1000</f>
        <v>7580</v>
      </c>
      <c r="M26" s="18"/>
      <c r="N26" s="18">
        <f>'Workpaper 1'!N166*1000</f>
        <v>0</v>
      </c>
      <c r="O26" s="11">
        <f t="shared" si="1"/>
        <v>15</v>
      </c>
    </row>
    <row r="27" spans="1:15" x14ac:dyDescent="0.3">
      <c r="A27" s="11">
        <f t="shared" si="0"/>
        <v>16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1">
        <f t="shared" si="1"/>
        <v>16</v>
      </c>
    </row>
    <row r="28" spans="1:15" x14ac:dyDescent="0.3">
      <c r="A28" s="11">
        <f t="shared" si="0"/>
        <v>17</v>
      </c>
      <c r="B28" s="14" t="s">
        <v>78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 t="shared" si="1"/>
        <v>17</v>
      </c>
    </row>
    <row r="29" spans="1:15" x14ac:dyDescent="0.3">
      <c r="A29" s="11">
        <f t="shared" si="0"/>
        <v>18</v>
      </c>
      <c r="B29" s="14" t="s">
        <v>79</v>
      </c>
      <c r="C29" s="18">
        <f>'Workpaper 1'!I14*1000</f>
        <v>12755825.760813892</v>
      </c>
      <c r="D29" s="18"/>
      <c r="E29" s="18">
        <f>'Workpaper 1'!J14*1000</f>
        <v>13888226.199353687</v>
      </c>
      <c r="F29" s="18"/>
      <c r="G29" s="18">
        <f>'Workpaper 1'!K14*1000</f>
        <v>13262986.915300764</v>
      </c>
      <c r="H29" s="18"/>
      <c r="I29" s="18">
        <f>'Workpaper 1'!L14*1000</f>
        <v>12407756.148358615</v>
      </c>
      <c r="J29" s="18"/>
      <c r="K29" s="18">
        <f>'Workpaper 1'!M14*1000</f>
        <v>10202678.444719139</v>
      </c>
      <c r="L29" s="18"/>
      <c r="M29" s="18">
        <f>'Workpaper 1'!N14*1000</f>
        <v>9020115.0758860018</v>
      </c>
      <c r="N29" s="18"/>
      <c r="O29" s="11">
        <f t="shared" si="1"/>
        <v>18</v>
      </c>
    </row>
    <row r="30" spans="1:15" ht="22.5" x14ac:dyDescent="0.3">
      <c r="A30" s="11">
        <f t="shared" si="0"/>
        <v>19</v>
      </c>
      <c r="B30" s="14" t="s">
        <v>374</v>
      </c>
      <c r="C30" s="18">
        <f>'Workpaper 1'!I15*1000</f>
        <v>23004135.715861753</v>
      </c>
      <c r="D30" s="18">
        <f>'Workpaper 1'!I192*1000</f>
        <v>83044.916208028211</v>
      </c>
      <c r="E30" s="18">
        <f>'Workpaper 1'!J15*1000</f>
        <v>22863150.521633886</v>
      </c>
      <c r="F30" s="18">
        <f>'Workpaper 1'!J192*1000</f>
        <v>82535.959740989405</v>
      </c>
      <c r="G30" s="18">
        <f>'Workpaper 1'!K15*1000</f>
        <v>21957609.857486788</v>
      </c>
      <c r="H30" s="18">
        <f>'Workpaper 1'!K192*1000</f>
        <v>79266.958483741313</v>
      </c>
      <c r="I30" s="18">
        <f>'Workpaper 1'!L15*1000</f>
        <v>21563167.661901116</v>
      </c>
      <c r="J30" s="18">
        <f>'Workpaper 1'!L192*1000</f>
        <v>77843.02239303496</v>
      </c>
      <c r="K30" s="18">
        <f>'Workpaper 1'!M15*1000</f>
        <v>18985959.067639023</v>
      </c>
      <c r="L30" s="18">
        <f>'Workpaper 1'!M192*1000</f>
        <v>68851.05785754387</v>
      </c>
      <c r="M30" s="18">
        <f>'Workpaper 1'!N15*1000</f>
        <v>18145457.05354834</v>
      </c>
      <c r="N30" s="18">
        <f>'Workpaper 1'!N192*1000</f>
        <v>65803.044712915507</v>
      </c>
      <c r="O30" s="11">
        <f t="shared" si="1"/>
        <v>19</v>
      </c>
    </row>
    <row r="31" spans="1:15" x14ac:dyDescent="0.3">
      <c r="A31" s="11">
        <f t="shared" si="0"/>
        <v>20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1">
        <f t="shared" si="1"/>
        <v>20</v>
      </c>
    </row>
    <row r="32" spans="1:15" x14ac:dyDescent="0.3">
      <c r="A32" s="11">
        <f t="shared" si="0"/>
        <v>21</v>
      </c>
      <c r="B32" s="14" t="str">
        <f>'A-Revenues@Changed Rates'!B29</f>
        <v>Street Lighting</v>
      </c>
      <c r="C32" s="18">
        <f>'Workpaper 1'!I16*1000</f>
        <v>6492050.2848719275</v>
      </c>
      <c r="D32" s="18"/>
      <c r="E32" s="18">
        <f>'Workpaper 1'!J16*1000</f>
        <v>6710608.6798682185</v>
      </c>
      <c r="F32" s="18"/>
      <c r="G32" s="18">
        <f>'Workpaper 1'!K16*1000</f>
        <v>6515194.0268120952</v>
      </c>
      <c r="H32" s="18"/>
      <c r="I32" s="18">
        <f>'Workpaper 1'!L16*1000</f>
        <v>6563322.3021757882</v>
      </c>
      <c r="J32" s="18"/>
      <c r="K32" s="18">
        <f>'Workpaper 1'!M16*1000</f>
        <v>6961959.9399219016</v>
      </c>
      <c r="L32" s="18"/>
      <c r="M32" s="18">
        <f>'Workpaper 1'!N16*1000</f>
        <v>7325918.825583267</v>
      </c>
      <c r="N32" s="18"/>
      <c r="O32" s="11">
        <f t="shared" si="1"/>
        <v>21</v>
      </c>
    </row>
    <row r="33" spans="1:17" x14ac:dyDescent="0.3">
      <c r="A33" s="11">
        <f t="shared" si="0"/>
        <v>22</v>
      </c>
      <c r="B33" s="14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1">
        <f t="shared" si="1"/>
        <v>22</v>
      </c>
    </row>
    <row r="34" spans="1:17" x14ac:dyDescent="0.3">
      <c r="A34" s="11">
        <f t="shared" si="0"/>
        <v>23</v>
      </c>
      <c r="B34" s="14" t="str">
        <f>'A-Billing Determinants'!B34</f>
        <v>Sale for Resale</v>
      </c>
      <c r="C34" s="18">
        <f>'Workpaper 1'!I17*1000</f>
        <v>7563.5555555555557</v>
      </c>
      <c r="D34" s="18"/>
      <c r="E34" s="18">
        <f>'Workpaper 1'!J17*1000</f>
        <v>7563.5555555555557</v>
      </c>
      <c r="F34" s="18"/>
      <c r="G34" s="18">
        <f>'Workpaper 1'!K17*1000</f>
        <v>7563.5555555555557</v>
      </c>
      <c r="H34" s="18"/>
      <c r="I34" s="18">
        <f>'Workpaper 1'!L17*1000</f>
        <v>7563.5555555555557</v>
      </c>
      <c r="J34" s="18"/>
      <c r="K34" s="18">
        <f>'Workpaper 1'!M17*1000</f>
        <v>7563.5555555555557</v>
      </c>
      <c r="L34" s="18"/>
      <c r="M34" s="18">
        <f>'Workpaper 1'!N17*1000</f>
        <v>7563.5555555555557</v>
      </c>
      <c r="N34" s="18"/>
      <c r="O34" s="11">
        <f t="shared" si="1"/>
        <v>23</v>
      </c>
    </row>
    <row r="35" spans="1:17" x14ac:dyDescent="0.3">
      <c r="A35" s="11">
        <f t="shared" si="0"/>
        <v>24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1">
        <f t="shared" si="1"/>
        <v>24</v>
      </c>
    </row>
    <row r="36" spans="1:17" x14ac:dyDescent="0.3">
      <c r="A36" s="11">
        <f t="shared" si="0"/>
        <v>25</v>
      </c>
      <c r="B36" s="14" t="str">
        <f>'A-Revenues@Changed Rates'!B31</f>
        <v>Standby</v>
      </c>
      <c r="C36" s="22"/>
      <c r="D36" s="22">
        <f>'Workpaper 1'!I202*1000</f>
        <v>145506</v>
      </c>
      <c r="E36" s="22"/>
      <c r="F36" s="22">
        <f>'Workpaper 1'!J202*1000</f>
        <v>145506</v>
      </c>
      <c r="G36" s="22"/>
      <c r="H36" s="22">
        <f>'Workpaper 1'!K202*1000</f>
        <v>145506</v>
      </c>
      <c r="I36" s="22"/>
      <c r="J36" s="22">
        <f>'Workpaper 1'!L202*1000</f>
        <v>145506</v>
      </c>
      <c r="K36" s="22"/>
      <c r="L36" s="22">
        <f>'Workpaper 1'!M202*1000</f>
        <v>145506</v>
      </c>
      <c r="M36" s="22"/>
      <c r="N36" s="22">
        <f>'Workpaper 1'!N202*1000</f>
        <v>145506</v>
      </c>
      <c r="O36" s="11">
        <f t="shared" si="1"/>
        <v>25</v>
      </c>
      <c r="Q36" s="216"/>
    </row>
    <row r="37" spans="1:17" x14ac:dyDescent="0.3">
      <c r="A37" s="11">
        <f t="shared" si="0"/>
        <v>26</v>
      </c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1">
        <f t="shared" si="1"/>
        <v>26</v>
      </c>
    </row>
    <row r="38" spans="1:17" ht="19.5" thickBot="1" x14ac:dyDescent="0.35">
      <c r="A38" s="11">
        <f t="shared" si="0"/>
        <v>27</v>
      </c>
      <c r="B38" s="19" t="s">
        <v>60</v>
      </c>
      <c r="C38" s="23">
        <f>SUM(C12:C36)</f>
        <v>1536786870.7305365</v>
      </c>
      <c r="D38" s="23"/>
      <c r="E38" s="23">
        <f>SUM(E12:E36)</f>
        <v>1752618878.8872042</v>
      </c>
      <c r="F38" s="23"/>
      <c r="G38" s="23">
        <f>SUM(G12:G36)</f>
        <v>1895299681.5424345</v>
      </c>
      <c r="H38" s="23"/>
      <c r="I38" s="23">
        <f>SUM(I12:I36)</f>
        <v>1590736789.8111463</v>
      </c>
      <c r="J38" s="23"/>
      <c r="K38" s="23">
        <f>SUM(K12:K36)</f>
        <v>1416807597.3024743</v>
      </c>
      <c r="L38" s="23"/>
      <c r="M38" s="23">
        <f>SUM(M12:M36)</f>
        <v>1525415553.7045557</v>
      </c>
      <c r="N38" s="23"/>
      <c r="O38" s="11">
        <f t="shared" si="1"/>
        <v>27</v>
      </c>
      <c r="Q38" s="216"/>
    </row>
    <row r="39" spans="1:17" ht="19.5" thickTop="1" x14ac:dyDescent="0.3">
      <c r="A39" s="17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4"/>
      <c r="Q39" s="222"/>
    </row>
    <row r="40" spans="1:17" x14ac:dyDescent="0.3">
      <c r="B40" s="25" t="s">
        <v>46</v>
      </c>
      <c r="C40" s="216"/>
      <c r="E40" s="216"/>
      <c r="G40" s="216"/>
      <c r="I40" s="216"/>
      <c r="K40" s="216"/>
      <c r="M40" s="216"/>
    </row>
    <row r="41" spans="1:17" ht="22.5" x14ac:dyDescent="0.3">
      <c r="A41" s="77">
        <v>1</v>
      </c>
      <c r="B41" s="1" t="str">
        <f>'A-Billing Determinants'!B41</f>
        <v>Non-Coincident Demand (NCD) (100%) rates applicable to the following California Public Utilities Commission (CPUC) tariff: Schedule PA-T-1.</v>
      </c>
    </row>
    <row r="42" spans="1:17" ht="22.5" x14ac:dyDescent="0.3">
      <c r="A42" s="77">
        <v>2</v>
      </c>
      <c r="B42" s="1" t="str">
        <f>'A-Billing Determinants'!B42</f>
        <v>NCD (90%) rates are applicable to the following CPUC tariffs: Schedules AL-TOU, AL-TOU2, DG-R, A6-TOU, and San Diego Unified Port District.</v>
      </c>
    </row>
    <row r="43" spans="1:17" ht="22.5" x14ac:dyDescent="0.3">
      <c r="A43" s="77">
        <v>3</v>
      </c>
      <c r="B43" s="1" t="str">
        <f>'A-Billing Determinants'!B43</f>
        <v>Maximum On-Peak Demand rates are applicable to the following CPUC tariffs: Schedules AL-TOU, AL-TOU2, and DG-R.  Standard Customers have demand rates based on SDG&amp;E's on-peak period of 4-9 p.m. everyday year-round whereas Grandfathered Customers have demand rates</v>
      </c>
    </row>
    <row r="44" spans="1:17" ht="22.5" x14ac:dyDescent="0.3">
      <c r="A44" s="77"/>
      <c r="B44" s="1" t="str">
        <f>'A-Billing Determinants'!B44</f>
        <v>based on SDG&amp;E's previous on-peak period of 11 a.m. - 6 p.m. summer and  5-8 p.m. winter on weekdays.</v>
      </c>
    </row>
    <row r="45" spans="1:17" ht="20.25" customHeight="1" x14ac:dyDescent="0.3">
      <c r="A45" s="77">
        <v>4</v>
      </c>
      <c r="B45" s="1" t="str">
        <f>'A-Billing Determinants'!B45</f>
        <v xml:space="preserve">Maximum Demand at the Time of System Peak rates are applicable to the following CPUC tariff: Schedule A6-TOU and San Diego Unified Port District.  Standard Customers have demand rates based on SDG&amp;E's on-peak period of 4-9 p.m. everyday year-round whereas </v>
      </c>
    </row>
    <row r="46" spans="1:17" ht="22.5" x14ac:dyDescent="0.3">
      <c r="A46" s="77"/>
      <c r="B46" s="1" t="str">
        <f>'A-Billing Determinants'!B46</f>
        <v>Grandfathered Customers have demand rates based on SDG&amp;E's previous on-peak period of 11 a.m. - 6 p.m. summer and  5-8 p.m. winter on weekdays.</v>
      </c>
    </row>
    <row r="47" spans="1:17" ht="22.5" x14ac:dyDescent="0.3">
      <c r="A47" s="77">
        <v>5</v>
      </c>
      <c r="B47" s="1" t="str">
        <f>'A-Billing Determinants'!B47</f>
        <v>Billing Determinants are found in Statement BG, Page BG-21.1 through BG-21.4.</v>
      </c>
      <c r="F47" s="391"/>
    </row>
    <row r="48" spans="1:17" ht="22.5" x14ac:dyDescent="0.3">
      <c r="A48" s="77">
        <v>6</v>
      </c>
      <c r="B48" s="1" t="str">
        <f>'A-Billing Determinants'!B48</f>
        <v>Residential billing determinants exclude EV-TOU-5 super off-peak kWh because EV-TOU-5 super off-peak kWh usage is exempt from paying transmission rates.</v>
      </c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</sheetData>
  <mergeCells count="11">
    <mergeCell ref="K8:L8"/>
    <mergeCell ref="M8:N8"/>
    <mergeCell ref="C8:D8"/>
    <mergeCell ref="E8:F8"/>
    <mergeCell ref="G8:H8"/>
    <mergeCell ref="I8:J8"/>
    <mergeCell ref="A1:O1"/>
    <mergeCell ref="A2:O2"/>
    <mergeCell ref="A3:O3"/>
    <mergeCell ref="A5:O5"/>
    <mergeCell ref="A4:O4"/>
  </mergeCells>
  <phoneticPr fontId="0" type="noConversion"/>
  <printOptions horizontalCentered="1"/>
  <pageMargins left="0.25" right="0.25" top="0.5" bottom="0.5" header="0.25" footer="0.25"/>
  <pageSetup scale="42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50"/>
  <sheetViews>
    <sheetView zoomScale="75" zoomScaleNormal="75" zoomScaleSheetLayoutView="70" workbookViewId="0">
      <selection activeCell="C8" sqref="C8"/>
    </sheetView>
  </sheetViews>
  <sheetFormatPr defaultColWidth="9.140625" defaultRowHeight="18.75" x14ac:dyDescent="0.3"/>
  <cols>
    <col min="1" max="1" width="6" style="1" bestFit="1" customWidth="1"/>
    <col min="2" max="2" width="61.5703125" style="1" bestFit="1" customWidth="1"/>
    <col min="3" max="8" width="18" style="1" bestFit="1" customWidth="1"/>
    <col min="9" max="9" width="20.28515625" style="1" bestFit="1" customWidth="1"/>
    <col min="10" max="10" width="6" style="1" bestFit="1" customWidth="1"/>
    <col min="11" max="14" width="17.140625" style="1" bestFit="1" customWidth="1"/>
    <col min="15" max="15" width="18.42578125" style="1" bestFit="1" customWidth="1"/>
    <col min="16" max="16" width="8.5703125" style="1" bestFit="1" customWidth="1"/>
    <col min="17" max="16384" width="9.140625" style="1"/>
  </cols>
  <sheetData>
    <row r="1" spans="1:16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89"/>
      <c r="L1" s="89"/>
      <c r="M1" s="89"/>
      <c r="N1" s="89"/>
      <c r="O1" s="89"/>
      <c r="P1" s="89"/>
    </row>
    <row r="2" spans="1:16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6"/>
      <c r="L2" s="6"/>
      <c r="M2" s="6"/>
      <c r="N2" s="6"/>
      <c r="O2" s="6"/>
      <c r="P2" s="6"/>
    </row>
    <row r="3" spans="1:16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6"/>
      <c r="L3" s="6"/>
      <c r="M3" s="6"/>
      <c r="N3" s="6"/>
      <c r="O3" s="6"/>
      <c r="P3" s="6"/>
    </row>
    <row r="4" spans="1:16" x14ac:dyDescent="0.3">
      <c r="A4" s="425" t="str">
        <f>'Comparison of Revenues'!A5:H5</f>
        <v>Rate Effective Period - Twelve Months Ending December 31, 2025</v>
      </c>
      <c r="B4" s="425"/>
      <c r="C4" s="425"/>
      <c r="D4" s="425"/>
      <c r="E4" s="425"/>
      <c r="F4" s="425"/>
      <c r="G4" s="425"/>
      <c r="H4" s="425"/>
      <c r="I4" s="425"/>
      <c r="J4" s="425"/>
      <c r="K4" s="6"/>
      <c r="L4" s="6"/>
      <c r="M4" s="6"/>
      <c r="N4" s="6"/>
      <c r="O4" s="6"/>
      <c r="P4" s="6"/>
    </row>
    <row r="5" spans="1:16" x14ac:dyDescent="0.3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6"/>
      <c r="L5" s="6"/>
      <c r="M5" s="6"/>
      <c r="N5" s="6"/>
      <c r="O5" s="6"/>
      <c r="P5" s="6"/>
    </row>
    <row r="6" spans="1:16" x14ac:dyDescent="0.3">
      <c r="A6" s="28"/>
      <c r="B6" s="28"/>
      <c r="C6" s="68" t="s">
        <v>4</v>
      </c>
      <c r="D6" s="68" t="s">
        <v>5</v>
      </c>
      <c r="E6" s="153" t="s">
        <v>48</v>
      </c>
      <c r="F6" s="68" t="s">
        <v>49</v>
      </c>
      <c r="G6" s="68" t="s">
        <v>50</v>
      </c>
      <c r="H6" s="153" t="s">
        <v>51</v>
      </c>
      <c r="I6" s="68" t="s">
        <v>52</v>
      </c>
      <c r="J6" s="28"/>
    </row>
    <row r="7" spans="1:16" x14ac:dyDescent="0.3">
      <c r="A7" s="11"/>
      <c r="B7" s="11"/>
      <c r="C7" s="28"/>
      <c r="D7" s="28"/>
      <c r="E7" s="28"/>
      <c r="F7" s="28"/>
      <c r="G7" s="28"/>
      <c r="H7" s="28"/>
      <c r="I7" s="28"/>
      <c r="J7" s="11"/>
    </row>
    <row r="8" spans="1:16" x14ac:dyDescent="0.3">
      <c r="A8" s="11" t="s">
        <v>8</v>
      </c>
      <c r="B8" s="11" t="s">
        <v>11</v>
      </c>
      <c r="C8" s="31">
        <f>'A-Billing Determinants'!C8</f>
        <v>45658</v>
      </c>
      <c r="D8" s="31">
        <f>'A-Billing Determinants'!E8</f>
        <v>45689</v>
      </c>
      <c r="E8" s="31">
        <f>'A-Billing Determinants'!G8</f>
        <v>45717</v>
      </c>
      <c r="F8" s="31">
        <f>'A-Billing Determinants'!I8</f>
        <v>45748</v>
      </c>
      <c r="G8" s="31">
        <f>'A-Billing Determinants'!K8</f>
        <v>45778</v>
      </c>
      <c r="H8" s="31">
        <f>'A-Billing Determinants'!M8</f>
        <v>45809</v>
      </c>
      <c r="I8" s="14"/>
      <c r="J8" s="11" t="s">
        <v>8</v>
      </c>
    </row>
    <row r="9" spans="1:16" x14ac:dyDescent="0.3">
      <c r="A9" s="17" t="s">
        <v>10</v>
      </c>
      <c r="B9" s="17"/>
      <c r="C9" s="24"/>
      <c r="D9" s="24"/>
      <c r="E9" s="24"/>
      <c r="F9" s="24"/>
      <c r="G9" s="24"/>
      <c r="H9" s="24"/>
      <c r="I9" s="24"/>
      <c r="J9" s="17" t="s">
        <v>10</v>
      </c>
    </row>
    <row r="10" spans="1:16" x14ac:dyDescent="0.3">
      <c r="A10" s="11"/>
      <c r="B10" s="11"/>
      <c r="C10" s="11"/>
      <c r="D10" s="11"/>
      <c r="E10" s="11"/>
      <c r="F10" s="11"/>
      <c r="G10" s="11"/>
      <c r="H10" s="11"/>
      <c r="I10" s="14"/>
      <c r="J10" s="11"/>
    </row>
    <row r="11" spans="1:16" ht="22.5" x14ac:dyDescent="0.3">
      <c r="A11" s="11">
        <v>1</v>
      </c>
      <c r="B11" s="14" t="s">
        <v>53</v>
      </c>
      <c r="C11" s="40">
        <f>'A-Revenues@Changed Rates'!C66+'A-Revenues@Changed Rates'!D66</f>
        <v>54201409.681404062</v>
      </c>
      <c r="D11" s="40">
        <f>'A-Revenues@Changed Rates'!E66+'A-Revenues@Changed Rates'!F66</f>
        <v>43980657.228053667</v>
      </c>
      <c r="E11" s="40">
        <f>'A-Revenues@Changed Rates'!G66+'A-Revenues@Changed Rates'!H66</f>
        <v>38987681.706733026</v>
      </c>
      <c r="F11" s="40">
        <f>'A-Revenues@Changed Rates'!I66+'A-Revenues@Changed Rates'!J66</f>
        <v>31054090.938552614</v>
      </c>
      <c r="G11" s="40">
        <f>'B-Revenues@Changed Rates'!C66+'B-Revenues@Changed Rates'!D66</f>
        <v>29059930.960381117</v>
      </c>
      <c r="H11" s="40">
        <f>'B-Revenues@Changed Rates'!E66+'B-Revenues@Changed Rates'!F66</f>
        <v>31359812.051617332</v>
      </c>
      <c r="I11" s="14"/>
      <c r="J11" s="11">
        <v>1</v>
      </c>
    </row>
    <row r="12" spans="1:16" x14ac:dyDescent="0.3">
      <c r="A12" s="11">
        <f>A11+1</f>
        <v>2</v>
      </c>
      <c r="B12" s="19"/>
      <c r="C12" s="62"/>
      <c r="D12" s="62"/>
      <c r="E12" s="62"/>
      <c r="F12" s="62"/>
      <c r="G12" s="62"/>
      <c r="H12" s="62"/>
      <c r="I12" s="14"/>
      <c r="J12" s="11">
        <f>J11+1</f>
        <v>2</v>
      </c>
    </row>
    <row r="13" spans="1:16" ht="22.5" x14ac:dyDescent="0.3">
      <c r="A13" s="11">
        <f t="shared" ref="A13:A25" si="0">A12+1</f>
        <v>3</v>
      </c>
      <c r="B13" s="14" t="s">
        <v>54</v>
      </c>
      <c r="C13" s="18">
        <f>'A-Revenues@Changed Rates'!C68+'A-Revenues@Changed Rates'!D68</f>
        <v>9924195.4868770111</v>
      </c>
      <c r="D13" s="18">
        <f>'A-Revenues@Changed Rates'!E68+'A-Revenues@Changed Rates'!F68</f>
        <v>9621746.0405817628</v>
      </c>
      <c r="E13" s="18">
        <f>'A-Revenues@Changed Rates'!G68+'A-Revenues@Changed Rates'!H68</f>
        <v>9582225.8911197074</v>
      </c>
      <c r="F13" s="18">
        <f>'A-Revenues@Changed Rates'!I68+'A-Revenues@Changed Rates'!J68</f>
        <v>9507343.0240772646</v>
      </c>
      <c r="G13" s="18">
        <f>'B-Revenues@Changed Rates'!C68+'B-Revenues@Changed Rates'!D68</f>
        <v>9483238.7362346407</v>
      </c>
      <c r="H13" s="18">
        <f>'B-Revenues@Changed Rates'!E68+'B-Revenues@Changed Rates'!F68</f>
        <v>9927798.1074746307</v>
      </c>
      <c r="I13" s="14"/>
      <c r="J13" s="11">
        <f t="shared" ref="J13:J25" si="1">J12+1</f>
        <v>3</v>
      </c>
    </row>
    <row r="14" spans="1:16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14"/>
      <c r="J14" s="11">
        <f t="shared" si="1"/>
        <v>4</v>
      </c>
    </row>
    <row r="15" spans="1:16" ht="22.5" x14ac:dyDescent="0.3">
      <c r="A15" s="11">
        <f t="shared" si="0"/>
        <v>5</v>
      </c>
      <c r="B15" s="14" t="s">
        <v>55</v>
      </c>
      <c r="C15" s="18">
        <f>'A-Revenues@Changed Rates'!C70+SUM('A-Revenues@Changed Rates'!D71:D74)</f>
        <v>35293825.186087325</v>
      </c>
      <c r="D15" s="18">
        <f>'A-Revenues@Changed Rates'!E70+SUM('A-Revenues@Changed Rates'!F71:F74)</f>
        <v>33612750.940107033</v>
      </c>
      <c r="E15" s="18">
        <f>'A-Revenues@Changed Rates'!G70+SUM('A-Revenues@Changed Rates'!H71:H74)</f>
        <v>33607740.344714724</v>
      </c>
      <c r="F15" s="18">
        <f>'A-Revenues@Changed Rates'!I70+SUM('A-Revenues@Changed Rates'!J71:J74)</f>
        <v>33738293.061467245</v>
      </c>
      <c r="G15" s="18">
        <f>'B-Revenues@Changed Rates'!C70+SUM('B-Revenues@Changed Rates'!D71:D74)</f>
        <v>34066381.35243129</v>
      </c>
      <c r="H15" s="18">
        <f>'B-Revenues@Changed Rates'!E70+SUM('B-Revenues@Changed Rates'!F71:F74)</f>
        <v>41002531.2671794</v>
      </c>
      <c r="I15" s="14"/>
      <c r="J15" s="11">
        <f t="shared" si="1"/>
        <v>5</v>
      </c>
    </row>
    <row r="16" spans="1:16" x14ac:dyDescent="0.3">
      <c r="A16" s="11">
        <f t="shared" si="0"/>
        <v>6</v>
      </c>
      <c r="B16" s="14"/>
      <c r="C16" s="18"/>
      <c r="D16" s="18"/>
      <c r="E16" s="18"/>
      <c r="F16" s="18"/>
      <c r="G16" s="18"/>
      <c r="H16" s="18"/>
      <c r="I16" s="14"/>
      <c r="J16" s="11">
        <f t="shared" si="1"/>
        <v>6</v>
      </c>
    </row>
    <row r="17" spans="1:18" ht="22.5" x14ac:dyDescent="0.3">
      <c r="A17" s="11">
        <f t="shared" si="0"/>
        <v>7</v>
      </c>
      <c r="B17" s="127" t="s">
        <v>56</v>
      </c>
      <c r="C17" s="18">
        <f>'A-Revenues@Changed Rates'!C76+SUM('A-Revenues@Changed Rates'!D77:D78)</f>
        <v>8892</v>
      </c>
      <c r="D17" s="18">
        <f>'A-Revenues@Changed Rates'!E76+SUM('A-Revenues@Changed Rates'!F77:F78)</f>
        <v>11985</v>
      </c>
      <c r="E17" s="18">
        <f>'A-Revenues@Changed Rates'!G76+SUM('A-Revenues@Changed Rates'!H77:H78)</f>
        <v>11737.5</v>
      </c>
      <c r="F17" s="18">
        <f>'A-Revenues@Changed Rates'!I76+SUM('A-Revenues@Changed Rates'!J77:J78)</f>
        <v>11880</v>
      </c>
      <c r="G17" s="18">
        <f>'B-Revenues@Changed Rates'!C76+SUM('B-Revenues@Changed Rates'!D77:D78)</f>
        <v>6585</v>
      </c>
      <c r="H17" s="18">
        <f>'B-Revenues@Changed Rates'!E76+SUM('B-Revenues@Changed Rates'!F77:F78)</f>
        <v>6517.5</v>
      </c>
      <c r="I17" s="14"/>
      <c r="J17" s="11">
        <f t="shared" si="1"/>
        <v>7</v>
      </c>
    </row>
    <row r="18" spans="1:18" x14ac:dyDescent="0.3">
      <c r="A18" s="11">
        <f t="shared" si="0"/>
        <v>8</v>
      </c>
      <c r="B18" s="14"/>
      <c r="C18" s="18"/>
      <c r="D18" s="18"/>
      <c r="E18" s="18"/>
      <c r="F18" s="18"/>
      <c r="G18" s="18"/>
      <c r="H18" s="18"/>
      <c r="I18" s="14"/>
      <c r="J18" s="11">
        <f t="shared" si="1"/>
        <v>8</v>
      </c>
    </row>
    <row r="19" spans="1:18" ht="22.5" x14ac:dyDescent="0.3">
      <c r="A19" s="11">
        <f t="shared" si="0"/>
        <v>9</v>
      </c>
      <c r="B19" s="14" t="s">
        <v>57</v>
      </c>
      <c r="C19" s="18">
        <f>'A-Revenues@Changed Rates'!C81+'A-Revenues@Changed Rates'!D82</f>
        <v>793409.3658392533</v>
      </c>
      <c r="D19" s="18">
        <f>'A-Revenues@Changed Rates'!E81+'A-Revenues@Changed Rates'!F82</f>
        <v>877517.57545356057</v>
      </c>
      <c r="E19" s="18">
        <f>'A-Revenues@Changed Rates'!G81+'A-Revenues@Changed Rates'!H82</f>
        <v>792552.00864094822</v>
      </c>
      <c r="F19" s="18">
        <f>'A-Revenues@Changed Rates'!I81+'A-Revenues@Changed Rates'!J82</f>
        <v>849509.50523744803</v>
      </c>
      <c r="G19" s="18">
        <f>'B-Revenues@Changed Rates'!C81+'B-Revenues@Changed Rates'!D82</f>
        <v>1053032.0835183179</v>
      </c>
      <c r="H19" s="18">
        <f>'B-Revenues@Changed Rates'!E81+'B-Revenues@Changed Rates'!F82</f>
        <v>1106076.7994699534</v>
      </c>
      <c r="I19" s="14"/>
      <c r="J19" s="11">
        <f t="shared" si="1"/>
        <v>9</v>
      </c>
    </row>
    <row r="20" spans="1:18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4"/>
      <c r="J20" s="11">
        <f t="shared" si="1"/>
        <v>10</v>
      </c>
    </row>
    <row r="21" spans="1:18" ht="22.5" x14ac:dyDescent="0.3">
      <c r="A21" s="11">
        <f t="shared" si="0"/>
        <v>11</v>
      </c>
      <c r="B21" s="14" t="s">
        <v>58</v>
      </c>
      <c r="C21" s="18">
        <f>'A-Revenues@Changed Rates'!C84+'A-Revenues@Changed Rates'!D84</f>
        <v>319547.82797262585</v>
      </c>
      <c r="D21" s="18">
        <f>'A-Revenues@Changed Rates'!E84+'A-Revenues@Changed Rates'!F84</f>
        <v>317262.10477939341</v>
      </c>
      <c r="E21" s="18">
        <f>'A-Revenues@Changed Rates'!G84+'A-Revenues@Changed Rates'!H84</f>
        <v>310846.45216072613</v>
      </c>
      <c r="F21" s="18">
        <f>'A-Revenues@Changed Rates'!I84+'A-Revenues@Changed Rates'!J84</f>
        <v>305967.47624068387</v>
      </c>
      <c r="G21" s="18">
        <f>'B-Revenues@Changed Rates'!C84+'B-Revenues@Changed Rates'!D84</f>
        <v>303503.85115951486</v>
      </c>
      <c r="H21" s="18">
        <f>'B-Revenues@Changed Rates'!E84+'B-Revenues@Changed Rates'!F84</f>
        <v>305987.87096028967</v>
      </c>
      <c r="I21" s="14"/>
      <c r="J21" s="11">
        <f t="shared" si="1"/>
        <v>11</v>
      </c>
    </row>
    <row r="22" spans="1:18" x14ac:dyDescent="0.3">
      <c r="A22" s="11">
        <f t="shared" si="0"/>
        <v>12</v>
      </c>
      <c r="B22" s="14"/>
      <c r="C22" s="18"/>
      <c r="D22" s="18"/>
      <c r="E22" s="18"/>
      <c r="F22" s="18"/>
      <c r="G22" s="18"/>
      <c r="H22" s="18"/>
      <c r="I22" s="14"/>
      <c r="J22" s="11">
        <f t="shared" si="1"/>
        <v>12</v>
      </c>
    </row>
    <row r="23" spans="1:18" ht="22.5" x14ac:dyDescent="0.3">
      <c r="A23" s="11">
        <f t="shared" si="0"/>
        <v>13</v>
      </c>
      <c r="B23" s="14" t="s">
        <v>59</v>
      </c>
      <c r="C23" s="22">
        <f>'A-Revenues@Changed Rates'!C86+'A-Revenues@Changed Rates'!D86</f>
        <v>960051</v>
      </c>
      <c r="D23" s="22">
        <f>'A-Revenues@Changed Rates'!E86+'A-Revenues@Changed Rates'!F86</f>
        <v>960051</v>
      </c>
      <c r="E23" s="22">
        <f>'A-Revenues@Changed Rates'!G86+'A-Revenues@Changed Rates'!H86</f>
        <v>960051</v>
      </c>
      <c r="F23" s="22">
        <f>'A-Revenues@Changed Rates'!I86+'A-Revenues@Changed Rates'!J86</f>
        <v>960051</v>
      </c>
      <c r="G23" s="22">
        <f>'B-Revenues@Changed Rates'!C86+'B-Revenues@Changed Rates'!D86</f>
        <v>960051</v>
      </c>
      <c r="H23" s="22">
        <f>'B-Revenues@Changed Rates'!E86+'B-Revenues@Changed Rates'!F86</f>
        <v>960051</v>
      </c>
      <c r="I23" s="24"/>
      <c r="J23" s="11">
        <f t="shared" si="1"/>
        <v>13</v>
      </c>
    </row>
    <row r="24" spans="1:18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28"/>
      <c r="J24" s="11">
        <f t="shared" si="1"/>
        <v>14</v>
      </c>
    </row>
    <row r="25" spans="1:18" x14ac:dyDescent="0.3">
      <c r="A25" s="11">
        <f t="shared" si="0"/>
        <v>15</v>
      </c>
      <c r="B25" s="19" t="s">
        <v>60</v>
      </c>
      <c r="C25" s="69">
        <f t="shared" ref="C25:H25" si="2">SUM(C11:C23)</f>
        <v>101501330.54818027</v>
      </c>
      <c r="D25" s="69">
        <f t="shared" si="2"/>
        <v>89381969.888975427</v>
      </c>
      <c r="E25" s="69">
        <f t="shared" si="2"/>
        <v>84252834.903369144</v>
      </c>
      <c r="F25" s="69">
        <f t="shared" si="2"/>
        <v>76427135.00557524</v>
      </c>
      <c r="G25" s="69">
        <f t="shared" si="2"/>
        <v>74932722.983724877</v>
      </c>
      <c r="H25" s="69">
        <f t="shared" si="2"/>
        <v>84668774.596701607</v>
      </c>
      <c r="I25" s="24"/>
      <c r="J25" s="11">
        <f t="shared" si="1"/>
        <v>15</v>
      </c>
    </row>
    <row r="26" spans="1:18" x14ac:dyDescent="0.3">
      <c r="A26" s="17"/>
      <c r="B26" s="70"/>
      <c r="C26" s="71"/>
      <c r="D26" s="72"/>
      <c r="E26" s="72"/>
      <c r="F26" s="72"/>
      <c r="G26" s="72"/>
      <c r="H26" s="72"/>
      <c r="I26" s="98"/>
      <c r="J26" s="24"/>
      <c r="R26" s="46"/>
    </row>
    <row r="27" spans="1:18" x14ac:dyDescent="0.3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8" x14ac:dyDescent="0.3">
      <c r="A28" s="146"/>
      <c r="B28" s="8"/>
      <c r="C28" s="68" t="str">
        <f t="shared" ref="C28:I28" si="3">C6</f>
        <v>(A)</v>
      </c>
      <c r="D28" s="68" t="str">
        <f t="shared" si="3"/>
        <v>(B)</v>
      </c>
      <c r="E28" s="68" t="str">
        <f t="shared" si="3"/>
        <v>(C)</v>
      </c>
      <c r="F28" s="68" t="str">
        <f t="shared" si="3"/>
        <v>(D)</v>
      </c>
      <c r="G28" s="68" t="str">
        <f t="shared" si="3"/>
        <v>(E)</v>
      </c>
      <c r="H28" s="68" t="str">
        <f t="shared" si="3"/>
        <v>(F)</v>
      </c>
      <c r="I28" s="68" t="str">
        <f t="shared" si="3"/>
        <v>(G)</v>
      </c>
      <c r="J28" s="60"/>
      <c r="K28" s="25"/>
      <c r="L28" s="25"/>
      <c r="M28" s="25"/>
      <c r="N28" s="25"/>
      <c r="O28" s="25"/>
    </row>
    <row r="29" spans="1:18" x14ac:dyDescent="0.3">
      <c r="A29" s="96"/>
      <c r="B29" s="11"/>
      <c r="C29" s="148"/>
      <c r="D29" s="150"/>
      <c r="E29" s="148"/>
      <c r="F29" s="150"/>
      <c r="G29" s="148"/>
      <c r="H29" s="151"/>
      <c r="I29" s="149"/>
      <c r="J29" s="61"/>
      <c r="K29" s="25"/>
      <c r="L29" s="25"/>
      <c r="M29" s="25"/>
      <c r="N29" s="25"/>
      <c r="O29" s="25"/>
    </row>
    <row r="30" spans="1:18" x14ac:dyDescent="0.3">
      <c r="A30" s="96" t="s">
        <v>8</v>
      </c>
      <c r="B30" s="11" t="s">
        <v>11</v>
      </c>
      <c r="C30" s="145">
        <f>'B-Billing Determinants'!C8</f>
        <v>45839</v>
      </c>
      <c r="D30" s="31">
        <f>'B-Billing Determinants'!E8</f>
        <v>45870</v>
      </c>
      <c r="E30" s="145">
        <f>'B-Billing Determinants'!G8</f>
        <v>45901</v>
      </c>
      <c r="F30" s="31">
        <f>'B-Billing Determinants'!I8</f>
        <v>45931</v>
      </c>
      <c r="G30" s="145">
        <f>'B-Billing Determinants'!K8</f>
        <v>45962</v>
      </c>
      <c r="H30" s="152">
        <f>'B-Billing Determinants'!M8</f>
        <v>45992</v>
      </c>
      <c r="I30" s="61"/>
      <c r="J30" s="61" t="s">
        <v>8</v>
      </c>
      <c r="K30" s="25"/>
      <c r="L30" s="25"/>
      <c r="M30" s="25"/>
      <c r="N30" s="25"/>
      <c r="O30" s="25"/>
    </row>
    <row r="31" spans="1:18" x14ac:dyDescent="0.3">
      <c r="A31" s="147" t="s">
        <v>10</v>
      </c>
      <c r="B31" s="17"/>
      <c r="C31" s="110"/>
      <c r="D31" s="24"/>
      <c r="E31" s="110"/>
      <c r="F31" s="24"/>
      <c r="G31" s="110"/>
      <c r="H31" s="24"/>
      <c r="I31" s="30" t="s">
        <v>61</v>
      </c>
      <c r="J31" s="95" t="s">
        <v>10</v>
      </c>
      <c r="K31" s="25"/>
      <c r="L31" s="25"/>
      <c r="M31" s="25"/>
      <c r="N31" s="25"/>
      <c r="O31" s="25"/>
    </row>
    <row r="32" spans="1:18" x14ac:dyDescent="0.3">
      <c r="A32" s="11"/>
      <c r="B32" s="11"/>
      <c r="C32" s="11"/>
      <c r="D32" s="11"/>
      <c r="E32" s="11"/>
      <c r="F32" s="11"/>
      <c r="G32" s="11"/>
      <c r="H32" s="11"/>
      <c r="I32" s="11"/>
      <c r="J32" s="8"/>
      <c r="K32" s="25"/>
      <c r="L32" s="25"/>
      <c r="M32" s="25"/>
      <c r="N32" s="25"/>
      <c r="O32" s="25"/>
    </row>
    <row r="33" spans="1:15" ht="22.5" x14ac:dyDescent="0.3">
      <c r="A33" s="11">
        <f>A25+1</f>
        <v>16</v>
      </c>
      <c r="B33" s="14" t="s">
        <v>53</v>
      </c>
      <c r="C33" s="40">
        <f>'B-Revenues@Changed Rates'!G66+'B-Revenues@Changed Rates'!H66</f>
        <v>39161242.17165561</v>
      </c>
      <c r="D33" s="40">
        <f>'B-Revenues@Changed Rates'!I66+'B-Revenues@Changed Rates'!J66</f>
        <v>53999279.05084502</v>
      </c>
      <c r="E33" s="40">
        <f>'C-Revenues@Changed Rates'!C66+'C-Revenues@Changed Rates'!D66</f>
        <v>62329942.826890871</v>
      </c>
      <c r="F33" s="40">
        <f>'C-Revenues@Changed Rates'!E66+'C-Revenues@Changed Rates'!F66</f>
        <v>45075663.125291251</v>
      </c>
      <c r="G33" s="40">
        <f>'C-Revenues@Changed Rates'!G66+'C-Revenues@Changed Rates'!H66</f>
        <v>37929379.863853388</v>
      </c>
      <c r="H33" s="40">
        <f>'C-Revenues@Changed Rates'!I66+'C-Revenues@Changed Rates'!J66</f>
        <v>48270264.153176382</v>
      </c>
      <c r="I33" s="40">
        <f>SUM(C11:H11,C33:H33)</f>
        <v>515409353.75845432</v>
      </c>
      <c r="J33" s="11">
        <f>J25+1</f>
        <v>16</v>
      </c>
      <c r="K33" s="25"/>
      <c r="L33" s="25"/>
      <c r="M33" s="25"/>
      <c r="N33" s="25"/>
      <c r="O33" s="25"/>
    </row>
    <row r="34" spans="1:15" x14ac:dyDescent="0.3">
      <c r="A34" s="11">
        <f>A33+1</f>
        <v>17</v>
      </c>
      <c r="B34" s="19"/>
      <c r="C34" s="62"/>
      <c r="D34" s="62"/>
      <c r="E34" s="62"/>
      <c r="F34" s="62"/>
      <c r="G34" s="62"/>
      <c r="H34" s="62"/>
      <c r="I34" s="62"/>
      <c r="J34" s="11">
        <f>J33+1</f>
        <v>17</v>
      </c>
      <c r="K34" s="25"/>
      <c r="L34" s="25"/>
      <c r="M34" s="25"/>
      <c r="N34" s="25"/>
      <c r="O34" s="25"/>
    </row>
    <row r="35" spans="1:15" ht="22.5" x14ac:dyDescent="0.3">
      <c r="A35" s="11">
        <f t="shared" ref="A35:A47" si="4">A34+1</f>
        <v>18</v>
      </c>
      <c r="B35" s="14" t="s">
        <v>54</v>
      </c>
      <c r="C35" s="18">
        <f>'B-Revenues@Changed Rates'!G68+'B-Revenues@Changed Rates'!H68</f>
        <v>11120417.644432854</v>
      </c>
      <c r="D35" s="18">
        <f>'B-Revenues@Changed Rates'!I68+'B-Revenues@Changed Rates'!J68</f>
        <v>11744263.789666802</v>
      </c>
      <c r="E35" s="18">
        <f>'C-Revenues@Changed Rates'!C68+'C-Revenues@Changed Rates'!D68</f>
        <v>12333572.143485356</v>
      </c>
      <c r="F35" s="18">
        <f>'C-Revenues@Changed Rates'!E68+'C-Revenues@Changed Rates'!F68</f>
        <v>10939262.661291772</v>
      </c>
      <c r="G35" s="18">
        <f>'C-Revenues@Changed Rates'!G68+'C-Revenues@Changed Rates'!H68</f>
        <v>10105067.361023927</v>
      </c>
      <c r="H35" s="18">
        <f>'C-Revenues@Changed Rates'!I68+'C-Revenues@Changed Rates'!J68</f>
        <v>9747883.5492289234</v>
      </c>
      <c r="I35" s="40">
        <f>SUM(C13:H13,C35:H35)</f>
        <v>124037014.43549466</v>
      </c>
      <c r="J35" s="11">
        <f t="shared" ref="J35:J47" si="5">J34+1</f>
        <v>18</v>
      </c>
      <c r="K35" s="25"/>
      <c r="L35" s="25"/>
      <c r="M35" s="25"/>
      <c r="N35" s="25"/>
      <c r="O35" s="25"/>
    </row>
    <row r="36" spans="1:15" x14ac:dyDescent="0.3">
      <c r="A36" s="11">
        <f t="shared" si="4"/>
        <v>19</v>
      </c>
      <c r="B36" s="21"/>
      <c r="C36" s="27"/>
      <c r="D36" s="27"/>
      <c r="E36" s="27"/>
      <c r="F36" s="27"/>
      <c r="G36" s="27"/>
      <c r="H36" s="27"/>
      <c r="I36" s="18"/>
      <c r="J36" s="11">
        <f t="shared" si="5"/>
        <v>19</v>
      </c>
      <c r="K36" s="25"/>
      <c r="L36" s="25"/>
      <c r="M36" s="25"/>
      <c r="N36" s="25"/>
      <c r="O36" s="25"/>
    </row>
    <row r="37" spans="1:15" ht="22.5" x14ac:dyDescent="0.3">
      <c r="A37" s="11">
        <f t="shared" si="4"/>
        <v>20</v>
      </c>
      <c r="B37" s="14" t="s">
        <v>55</v>
      </c>
      <c r="C37" s="18">
        <f>'B-Revenues@Changed Rates'!G70+SUM('B-Revenues@Changed Rates'!H71:H74)</f>
        <v>45167590.76512216</v>
      </c>
      <c r="D37" s="18">
        <f>'B-Revenues@Changed Rates'!I70+SUM('B-Revenues@Changed Rates'!J71:J74)</f>
        <v>47233682.038687982</v>
      </c>
      <c r="E37" s="18">
        <f>'C-Revenues@Changed Rates'!C70+SUM('C-Revenues@Changed Rates'!D71:D74)</f>
        <v>49453610.011791818</v>
      </c>
      <c r="F37" s="18">
        <f>'C-Revenues@Changed Rates'!E70+SUM('C-Revenues@Changed Rates'!F71:F74)</f>
        <v>44892500.028777204</v>
      </c>
      <c r="G37" s="18">
        <f>'C-Revenues@Changed Rates'!G70+SUM('C-Revenues@Changed Rates'!H71:H74)</f>
        <v>35593915.693875849</v>
      </c>
      <c r="H37" s="18">
        <f>'C-Revenues@Changed Rates'!I70+SUM('C-Revenues@Changed Rates'!J71:J74)</f>
        <v>35511141.50953567</v>
      </c>
      <c r="I37" s="40">
        <f>SUM(C15:H15,C37:H37)</f>
        <v>469173962.19977772</v>
      </c>
      <c r="J37" s="11">
        <f t="shared" si="5"/>
        <v>20</v>
      </c>
      <c r="K37" s="25"/>
      <c r="L37" s="25"/>
      <c r="M37" s="25"/>
      <c r="N37" s="25"/>
      <c r="O37" s="25"/>
    </row>
    <row r="38" spans="1:15" x14ac:dyDescent="0.3">
      <c r="A38" s="11">
        <f t="shared" si="4"/>
        <v>21</v>
      </c>
      <c r="B38" s="14"/>
      <c r="C38" s="18"/>
      <c r="D38" s="18"/>
      <c r="E38" s="18"/>
      <c r="F38" s="18"/>
      <c r="G38" s="18"/>
      <c r="H38" s="18"/>
      <c r="I38" s="40"/>
      <c r="J38" s="11">
        <f t="shared" si="5"/>
        <v>21</v>
      </c>
      <c r="K38" s="25"/>
      <c r="L38" s="25"/>
      <c r="M38" s="25"/>
      <c r="N38" s="25"/>
      <c r="O38" s="25"/>
    </row>
    <row r="39" spans="1:15" ht="22.5" x14ac:dyDescent="0.3">
      <c r="A39" s="11">
        <f t="shared" si="4"/>
        <v>22</v>
      </c>
      <c r="B39" s="127" t="s">
        <v>56</v>
      </c>
      <c r="C39" s="18">
        <f>'B-Revenues@Changed Rates'!G76+SUM('B-Revenues@Changed Rates'!H77:H78)</f>
        <v>7417.5</v>
      </c>
      <c r="D39" s="18">
        <f>'B-Revenues@Changed Rates'!I76+SUM('B-Revenues@Changed Rates'!J77:J78)</f>
        <v>7990</v>
      </c>
      <c r="E39" s="18">
        <f>'C-Revenues@Changed Rates'!C76+SUM('C-Revenues@Changed Rates'!D77:D78)</f>
        <v>5992.5</v>
      </c>
      <c r="F39" s="18">
        <f>'C-Revenues@Changed Rates'!E76+SUM('C-Revenues@Changed Rates'!F77:F78)</f>
        <v>12705</v>
      </c>
      <c r="G39" s="18">
        <f>'C-Revenues@Changed Rates'!G76+SUM('C-Revenues@Changed Rates'!H77:H78)</f>
        <v>24054.9</v>
      </c>
      <c r="H39" s="18">
        <f>'C-Revenues@Changed Rates'!I76+SUM('C-Revenues@Changed Rates'!J77:J78)</f>
        <v>7342.5</v>
      </c>
      <c r="I39" s="40">
        <f t="shared" ref="I39" si="6">SUM(C17:H17,C39:H39)</f>
        <v>123099.4</v>
      </c>
      <c r="J39" s="11">
        <f t="shared" si="5"/>
        <v>22</v>
      </c>
      <c r="K39" s="25"/>
      <c r="L39" s="25"/>
      <c r="M39" s="25"/>
      <c r="N39" s="25"/>
      <c r="O39" s="25"/>
    </row>
    <row r="40" spans="1:15" x14ac:dyDescent="0.3">
      <c r="A40" s="11">
        <f t="shared" si="4"/>
        <v>23</v>
      </c>
      <c r="B40" s="14"/>
      <c r="C40" s="18"/>
      <c r="D40" s="18"/>
      <c r="E40" s="18"/>
      <c r="F40" s="18"/>
      <c r="G40" s="18"/>
      <c r="H40" s="18"/>
      <c r="I40" s="18"/>
      <c r="J40" s="11">
        <f t="shared" si="5"/>
        <v>23</v>
      </c>
      <c r="K40" s="25"/>
      <c r="L40" s="25"/>
      <c r="M40" s="25"/>
      <c r="N40" s="25"/>
      <c r="O40" s="25"/>
    </row>
    <row r="41" spans="1:15" ht="22.5" x14ac:dyDescent="0.3">
      <c r="A41" s="11">
        <f t="shared" si="4"/>
        <v>24</v>
      </c>
      <c r="B41" s="14" t="s">
        <v>57</v>
      </c>
      <c r="C41" s="18">
        <f>'B-Revenues@Changed Rates'!G81+'B-Revenues@Changed Rates'!H82</f>
        <v>1241824.0650919182</v>
      </c>
      <c r="D41" s="18">
        <f>'B-Revenues@Changed Rates'!I81+'B-Revenues@Changed Rates'!J82</f>
        <v>1276305.0713510313</v>
      </c>
      <c r="E41" s="18">
        <f>'C-Revenues@Changed Rates'!C81+'C-Revenues@Changed Rates'!D82</f>
        <v>1223140.8590954754</v>
      </c>
      <c r="F41" s="18">
        <f>'C-Revenues@Changed Rates'!E81+'C-Revenues@Changed Rates'!F82</f>
        <v>1179716.3038761921</v>
      </c>
      <c r="G41" s="18">
        <f>'C-Revenues@Changed Rates'!G81+'C-Revenues@Changed Rates'!H82</f>
        <v>1016158.148129661</v>
      </c>
      <c r="H41" s="18">
        <f>'C-Revenues@Changed Rates'!I81+'C-Revenues@Changed Rates'!J82</f>
        <v>945759.9767426399</v>
      </c>
      <c r="I41" s="40">
        <f>SUM(C19:H19,C41:H41)</f>
        <v>12355001.762446398</v>
      </c>
      <c r="J41" s="11">
        <f t="shared" si="5"/>
        <v>24</v>
      </c>
      <c r="K41" s="25"/>
      <c r="L41" s="25"/>
      <c r="M41" s="25"/>
      <c r="N41" s="25"/>
      <c r="O41" s="25"/>
    </row>
    <row r="42" spans="1:15" x14ac:dyDescent="0.3">
      <c r="A42" s="11">
        <f t="shared" si="4"/>
        <v>25</v>
      </c>
      <c r="B42" s="14"/>
      <c r="C42" s="18"/>
      <c r="D42" s="18"/>
      <c r="E42" s="18"/>
      <c r="F42" s="18"/>
      <c r="G42" s="18"/>
      <c r="H42" s="18"/>
      <c r="I42" s="18"/>
      <c r="J42" s="11">
        <f t="shared" si="5"/>
        <v>25</v>
      </c>
      <c r="K42" s="25"/>
      <c r="L42" s="25"/>
      <c r="M42" s="25"/>
      <c r="N42" s="25"/>
      <c r="O42" s="25"/>
    </row>
    <row r="43" spans="1:15" ht="22.5" x14ac:dyDescent="0.3">
      <c r="A43" s="11">
        <f t="shared" si="4"/>
        <v>26</v>
      </c>
      <c r="B43" s="14" t="s">
        <v>58</v>
      </c>
      <c r="C43" s="18">
        <f>'B-Revenues@Changed Rates'!G84+'B-Revenues@Changed Rates'!H84</f>
        <v>304866.68137758574</v>
      </c>
      <c r="D43" s="18">
        <f>'B-Revenues@Changed Rates'!I84+'B-Revenues@Changed Rates'!J84</f>
        <v>315130.18360661156</v>
      </c>
      <c r="E43" s="18">
        <f>'C-Revenues@Changed Rates'!C84+'C-Revenues@Changed Rates'!D84</f>
        <v>305953.511499096</v>
      </c>
      <c r="F43" s="18">
        <f>'C-Revenues@Changed Rates'!E84+'C-Revenues@Changed Rates'!F84</f>
        <v>308213.61531017505</v>
      </c>
      <c r="G43" s="18">
        <f>'C-Revenues@Changed Rates'!G84+'C-Revenues@Changed Rates'!H84</f>
        <v>326933.63877873251</v>
      </c>
      <c r="H43" s="18">
        <f>'C-Revenues@Changed Rates'!I84+'C-Revenues@Changed Rates'!J84</f>
        <v>344025.14804939023</v>
      </c>
      <c r="I43" s="40">
        <f>SUM(C21:H21,C43:H43)</f>
        <v>3768238.361894825</v>
      </c>
      <c r="J43" s="11">
        <f t="shared" si="5"/>
        <v>26</v>
      </c>
      <c r="K43" s="25"/>
      <c r="L43" s="25"/>
      <c r="M43" s="25"/>
      <c r="N43" s="25"/>
      <c r="O43" s="25"/>
    </row>
    <row r="44" spans="1:15" x14ac:dyDescent="0.3">
      <c r="A44" s="11">
        <f t="shared" si="4"/>
        <v>27</v>
      </c>
      <c r="B44" s="14"/>
      <c r="C44" s="18"/>
      <c r="D44" s="18"/>
      <c r="E44" s="18"/>
      <c r="F44" s="18"/>
      <c r="G44" s="18"/>
      <c r="H44" s="18"/>
      <c r="I44" s="18"/>
      <c r="J44" s="11">
        <f t="shared" si="5"/>
        <v>27</v>
      </c>
      <c r="K44" s="25"/>
      <c r="L44" s="25"/>
      <c r="M44" s="25"/>
      <c r="N44" s="25"/>
      <c r="O44" s="25"/>
    </row>
    <row r="45" spans="1:15" ht="22.5" x14ac:dyDescent="0.3">
      <c r="A45" s="11">
        <f t="shared" si="4"/>
        <v>28</v>
      </c>
      <c r="B45" s="14" t="s">
        <v>59</v>
      </c>
      <c r="C45" s="22">
        <f>'B-Revenues@Changed Rates'!G86+'B-Revenues@Changed Rates'!H86</f>
        <v>960051</v>
      </c>
      <c r="D45" s="22">
        <f>'B-Revenues@Changed Rates'!I86+'B-Revenues@Changed Rates'!J86</f>
        <v>960051</v>
      </c>
      <c r="E45" s="22">
        <f>'C-Revenues@Changed Rates'!C86+'C-Revenues@Changed Rates'!D86</f>
        <v>960051</v>
      </c>
      <c r="F45" s="22">
        <f>'C-Revenues@Changed Rates'!E86+'C-Revenues@Changed Rates'!F86</f>
        <v>960051</v>
      </c>
      <c r="G45" s="22">
        <f>'C-Revenues@Changed Rates'!G86+'C-Revenues@Changed Rates'!H86</f>
        <v>960051</v>
      </c>
      <c r="H45" s="22">
        <f>'C-Revenues@Changed Rates'!I86+'C-Revenues@Changed Rates'!J86</f>
        <v>960051</v>
      </c>
      <c r="I45" s="82">
        <f>SUM(C23:H23,C45:H45)</f>
        <v>11520612</v>
      </c>
      <c r="J45" s="11">
        <f t="shared" si="5"/>
        <v>28</v>
      </c>
      <c r="K45" s="25"/>
      <c r="L45" s="25"/>
      <c r="M45" s="25"/>
      <c r="N45" s="25"/>
      <c r="O45" s="25"/>
    </row>
    <row r="46" spans="1:15" x14ac:dyDescent="0.3">
      <c r="A46" s="11">
        <f t="shared" si="4"/>
        <v>29</v>
      </c>
      <c r="B46" s="14"/>
      <c r="C46" s="18"/>
      <c r="D46" s="18"/>
      <c r="E46" s="18"/>
      <c r="F46" s="18"/>
      <c r="G46" s="18"/>
      <c r="H46" s="18"/>
      <c r="I46" s="18"/>
      <c r="J46" s="11">
        <f t="shared" si="5"/>
        <v>29</v>
      </c>
      <c r="K46" s="25"/>
      <c r="L46" s="25"/>
      <c r="M46" s="25"/>
      <c r="N46" s="25"/>
      <c r="O46" s="25"/>
    </row>
    <row r="47" spans="1:15" x14ac:dyDescent="0.3">
      <c r="A47" s="11">
        <f t="shared" si="4"/>
        <v>30</v>
      </c>
      <c r="B47" s="19" t="s">
        <v>60</v>
      </c>
      <c r="C47" s="69">
        <f t="shared" ref="C47:I47" si="7">SUM(C33:C45)</f>
        <v>97963409.827680141</v>
      </c>
      <c r="D47" s="69">
        <f t="shared" si="7"/>
        <v>115536701.13415745</v>
      </c>
      <c r="E47" s="69">
        <f t="shared" si="7"/>
        <v>126612262.85276261</v>
      </c>
      <c r="F47" s="69">
        <f t="shared" si="7"/>
        <v>103368111.73454659</v>
      </c>
      <c r="G47" s="69">
        <f t="shared" si="7"/>
        <v>85955560.605661556</v>
      </c>
      <c r="H47" s="69">
        <f t="shared" si="7"/>
        <v>95786467.836732998</v>
      </c>
      <c r="I47" s="69">
        <f t="shared" si="7"/>
        <v>1136387281.9180682</v>
      </c>
      <c r="J47" s="11">
        <f t="shared" si="5"/>
        <v>30</v>
      </c>
      <c r="K47" s="25"/>
      <c r="L47" s="25"/>
      <c r="M47" s="25"/>
      <c r="N47" s="25"/>
      <c r="O47" s="25"/>
    </row>
    <row r="48" spans="1:15" x14ac:dyDescent="0.3">
      <c r="A48" s="17"/>
      <c r="B48" s="70"/>
      <c r="C48" s="72"/>
      <c r="D48" s="72"/>
      <c r="E48" s="72"/>
      <c r="F48" s="72"/>
      <c r="G48" s="72"/>
      <c r="H48" s="72"/>
      <c r="I48" s="73"/>
      <c r="J48" s="24"/>
      <c r="K48" s="25"/>
      <c r="L48" s="25"/>
      <c r="M48" s="25"/>
      <c r="N48" s="25"/>
      <c r="O48" s="25"/>
    </row>
    <row r="49" spans="1:15" x14ac:dyDescent="0.3">
      <c r="A49" s="74"/>
      <c r="B49" s="25" t="s">
        <v>46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5"/>
    </row>
    <row r="50" spans="1:15" ht="22.5" x14ac:dyDescent="0.3">
      <c r="A50" s="76">
        <v>1</v>
      </c>
      <c r="B50" s="1" t="s">
        <v>62</v>
      </c>
      <c r="C50" s="77">
        <v>4</v>
      </c>
      <c r="D50" s="1" t="s">
        <v>63</v>
      </c>
    </row>
    <row r="51" spans="1:15" ht="22.5" x14ac:dyDescent="0.3">
      <c r="A51" s="76">
        <v>2</v>
      </c>
      <c r="B51" s="1" t="s">
        <v>64</v>
      </c>
      <c r="C51" s="76">
        <v>5</v>
      </c>
      <c r="D51" s="1" t="s">
        <v>447</v>
      </c>
    </row>
    <row r="52" spans="1:15" ht="22.5" x14ac:dyDescent="0.3">
      <c r="A52" s="77">
        <v>3</v>
      </c>
      <c r="B52" s="1" t="s">
        <v>65</v>
      </c>
      <c r="C52" s="76">
        <v>6</v>
      </c>
      <c r="D52" s="1" t="s">
        <v>66</v>
      </c>
    </row>
    <row r="53" spans="1:15" ht="22.5" x14ac:dyDescent="0.3">
      <c r="C53" s="76">
        <v>7</v>
      </c>
      <c r="D53" s="1" t="s">
        <v>67</v>
      </c>
    </row>
    <row r="55" spans="1:15" x14ac:dyDescent="0.3">
      <c r="A55" s="7"/>
    </row>
    <row r="56" spans="1:15" x14ac:dyDescent="0.3">
      <c r="A56" s="7"/>
    </row>
    <row r="57" spans="1:15" x14ac:dyDescent="0.3">
      <c r="A57" s="7"/>
    </row>
    <row r="58" spans="1:15" x14ac:dyDescent="0.3">
      <c r="A58" s="7"/>
    </row>
    <row r="59" spans="1:15" x14ac:dyDescent="0.3">
      <c r="A59" s="7"/>
    </row>
    <row r="60" spans="1:15" x14ac:dyDescent="0.3">
      <c r="A60" s="7"/>
    </row>
    <row r="61" spans="1:15" x14ac:dyDescent="0.3">
      <c r="A61" s="7"/>
    </row>
    <row r="62" spans="1:15" x14ac:dyDescent="0.3">
      <c r="A62" s="7"/>
    </row>
    <row r="63" spans="1:15" x14ac:dyDescent="0.3">
      <c r="A63" s="7"/>
    </row>
    <row r="64" spans="1:15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</sheetData>
  <mergeCells count="4">
    <mergeCell ref="A4:J4"/>
    <mergeCell ref="A1:J1"/>
    <mergeCell ref="A2:J2"/>
    <mergeCell ref="A3:J3"/>
  </mergeCells>
  <phoneticPr fontId="0" type="noConversion"/>
  <printOptions horizontalCentered="1"/>
  <pageMargins left="0.25" right="0.25" top="0.5" bottom="0.5" header="0.25" footer="0.25"/>
  <pageSetup scale="51" orientation="landscape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G139"/>
  <sheetViews>
    <sheetView zoomScale="75" zoomScaleNormal="75" zoomScaleSheetLayoutView="70" workbookViewId="0">
      <selection activeCell="A6" sqref="A6"/>
    </sheetView>
  </sheetViews>
  <sheetFormatPr defaultColWidth="9.140625" defaultRowHeight="18.75" x14ac:dyDescent="0.3"/>
  <cols>
    <col min="1" max="1" width="6" style="1" bestFit="1" customWidth="1"/>
    <col min="2" max="2" width="100.42578125" style="1" customWidth="1"/>
    <col min="3" max="4" width="35.5703125" style="1" customWidth="1"/>
    <col min="5" max="5" width="6" style="1" bestFit="1" customWidth="1"/>
    <col min="6" max="6" width="9.140625" style="1"/>
    <col min="7" max="7" width="21.85546875" style="1" bestFit="1" customWidth="1"/>
    <col min="8" max="16384" width="9.140625" style="1"/>
  </cols>
  <sheetData>
    <row r="1" spans="1:7" x14ac:dyDescent="0.3">
      <c r="A1" s="426" t="str">
        <f>'Comparison of Revenues'!A1:H1</f>
        <v>Statement BG</v>
      </c>
      <c r="B1" s="426"/>
      <c r="C1" s="426"/>
      <c r="D1" s="426"/>
      <c r="E1" s="426"/>
    </row>
    <row r="2" spans="1:7" x14ac:dyDescent="0.3">
      <c r="A2" s="426" t="str">
        <f>'Comparison of Revenues'!A2:H2</f>
        <v>SAN DIEGO GAS AND ELECTRIC COMPANY</v>
      </c>
      <c r="B2" s="426"/>
      <c r="C2" s="426"/>
      <c r="D2" s="426"/>
      <c r="E2" s="426"/>
    </row>
    <row r="3" spans="1:7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</row>
    <row r="4" spans="1:7" x14ac:dyDescent="0.3">
      <c r="A4" s="425" t="str">
        <f>'A-Billing Determinants'!A4:O4</f>
        <v>Billing Determinants</v>
      </c>
      <c r="B4" s="426"/>
      <c r="C4" s="426"/>
      <c r="D4" s="426"/>
      <c r="E4" s="426"/>
    </row>
    <row r="5" spans="1:7" x14ac:dyDescent="0.3">
      <c r="A5" s="425" t="s">
        <v>459</v>
      </c>
      <c r="B5" s="425"/>
      <c r="C5" s="425"/>
      <c r="D5" s="425"/>
      <c r="E5" s="425"/>
    </row>
    <row r="6" spans="1:7" x14ac:dyDescent="0.3">
      <c r="A6" s="7"/>
    </row>
    <row r="7" spans="1:7" x14ac:dyDescent="0.3">
      <c r="A7" s="8"/>
      <c r="B7" s="8"/>
      <c r="C7" s="9" t="s">
        <v>109</v>
      </c>
      <c r="D7" s="10"/>
      <c r="E7" s="8"/>
    </row>
    <row r="8" spans="1:7" x14ac:dyDescent="0.3">
      <c r="A8" s="11"/>
      <c r="B8" s="11"/>
      <c r="C8" s="12" t="s">
        <v>380</v>
      </c>
      <c r="D8" s="13"/>
      <c r="E8" s="11"/>
    </row>
    <row r="9" spans="1:7" ht="22.5" x14ac:dyDescent="0.3">
      <c r="A9" s="11" t="s">
        <v>8</v>
      </c>
      <c r="B9" s="14"/>
      <c r="C9" s="15" t="s">
        <v>365</v>
      </c>
      <c r="D9" s="16"/>
      <c r="E9" s="11" t="s">
        <v>8</v>
      </c>
    </row>
    <row r="10" spans="1:7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10</v>
      </c>
    </row>
    <row r="11" spans="1:7" x14ac:dyDescent="0.3">
      <c r="A11" s="8"/>
      <c r="B11" s="8"/>
      <c r="C11" s="8"/>
      <c r="D11" s="8"/>
      <c r="E11" s="8"/>
    </row>
    <row r="12" spans="1:7" x14ac:dyDescent="0.3">
      <c r="A12" s="11">
        <v>1</v>
      </c>
      <c r="B12" s="14" t="str">
        <f>'A-Revenues@Changed Rates'!B11</f>
        <v>Residential</v>
      </c>
      <c r="C12" s="18">
        <f>'A-Billing Determinants'!C12+'A-Billing Determinants'!E12+'A-Billing Determinants'!G12+'A-Billing Determinants'!I12+'A-Billing Determinants'!K12+'A-Billing Determinants'!M12+'B-Billing Determinants'!C12+'B-Billing Determinants'!E12+'B-Billing Determinants'!G12+'B-Billing Determinants'!I12+'B-Billing Determinants'!K12+'B-Billing Determinants'!M12</f>
        <v>5762626942.7376375</v>
      </c>
      <c r="D12" s="18">
        <f>'A-Billing Determinants'!D12+'A-Billing Determinants'!F12+'A-Billing Determinants'!H12+'A-Billing Determinants'!J12+'A-Billing Determinants'!L12+'A-Billing Determinants'!N12+'B-Billing Determinants'!D12+'B-Billing Determinants'!F12+'B-Billing Determinants'!H12+'B-Billing Determinants'!J12+'B-Billing Determinants'!L12+'B-Billing Determinants'!N12</f>
        <v>0</v>
      </c>
      <c r="E12" s="11">
        <v>1</v>
      </c>
      <c r="G12" s="392"/>
    </row>
    <row r="13" spans="1:7" x14ac:dyDescent="0.3">
      <c r="A13" s="11">
        <f>A12+1</f>
        <v>2</v>
      </c>
      <c r="B13" s="19"/>
      <c r="C13" s="20"/>
      <c r="D13" s="20"/>
      <c r="E13" s="11">
        <f>E12+1</f>
        <v>2</v>
      </c>
    </row>
    <row r="14" spans="1:7" x14ac:dyDescent="0.3">
      <c r="A14" s="11">
        <f t="shared" ref="A14:A36" si="0">A13+1</f>
        <v>3</v>
      </c>
      <c r="B14" s="14" t="str">
        <f>'A-Revenues@Changed Rates'!B13</f>
        <v xml:space="preserve">Small Commercial </v>
      </c>
      <c r="C14" s="18">
        <f>'A-Billing Determinants'!C14+'A-Billing Determinants'!E14+'A-Billing Determinants'!G14+'A-Billing Determinants'!I14+'A-Billing Determinants'!K14+'A-Billing Determinants'!M14+'B-Billing Determinants'!C14+'B-Billing Determinants'!E14+'B-Billing Determinants'!G14+'B-Billing Determinants'!I14+'B-Billing Determinants'!K14+'B-Billing Determinants'!M14</f>
        <v>2428289241.102088</v>
      </c>
      <c r="D14" s="18">
        <f>'A-Billing Determinants'!D14+'A-Billing Determinants'!F14+'A-Billing Determinants'!H14+'A-Billing Determinants'!J14+'A-Billing Determinants'!L14+'A-Billing Determinants'!N14+'B-Billing Determinants'!D14+'B-Billing Determinants'!F14+'B-Billing Determinants'!H14+'B-Billing Determinants'!J14+'B-Billing Determinants'!L14+'B-Billing Determinants'!N14</f>
        <v>0</v>
      </c>
      <c r="E14" s="11">
        <f t="shared" ref="E14:E36" si="1">E13+1</f>
        <v>3</v>
      </c>
      <c r="G14" s="392"/>
    </row>
    <row r="15" spans="1:7" x14ac:dyDescent="0.3">
      <c r="A15" s="11">
        <f t="shared" si="0"/>
        <v>4</v>
      </c>
      <c r="B15" s="21"/>
      <c r="C15" s="18"/>
      <c r="D15" s="18"/>
      <c r="E15" s="11">
        <f t="shared" si="1"/>
        <v>4</v>
      </c>
    </row>
    <row r="16" spans="1:7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'A-Billing Determinants'!C16+'A-Billing Determinants'!E16+'A-Billing Determinants'!G16+'A-Billing Determinants'!I16+'A-Billing Determinants'!K16+'A-Billing Determinants'!M16+'B-Billing Determinants'!C16+'B-Billing Determinants'!E16+'B-Billing Determinants'!G16+'B-Billing Determinants'!I16+'B-Billing Determinants'!K16+'B-Billing Determinants'!M16</f>
        <v>9360728509.4514618</v>
      </c>
      <c r="D16" s="18"/>
      <c r="E16" s="11">
        <f t="shared" si="1"/>
        <v>5</v>
      </c>
      <c r="G16" s="392"/>
    </row>
    <row r="17" spans="1:7" ht="22.5" x14ac:dyDescent="0.3">
      <c r="A17" s="11">
        <f t="shared" si="0"/>
        <v>6</v>
      </c>
      <c r="B17" s="14" t="s">
        <v>381</v>
      </c>
      <c r="C17" s="18"/>
      <c r="D17" s="18">
        <f>'A-Billing Determinants'!D17+'A-Billing Determinants'!F17+'A-Billing Determinants'!H17+'A-Billing Determinants'!J17+'A-Billing Determinants'!L17+'A-Billing Determinants'!N17+'B-Billing Determinants'!D17+'B-Billing Determinants'!F17+'B-Billing Determinants'!H17+'B-Billing Determinants'!J17+'B-Billing Determinants'!L17+'B-Billing Determinants'!N17</f>
        <v>0</v>
      </c>
      <c r="E17" s="11">
        <f t="shared" si="1"/>
        <v>6</v>
      </c>
    </row>
    <row r="18" spans="1:7" ht="22.5" x14ac:dyDescent="0.3">
      <c r="A18" s="11">
        <f t="shared" si="0"/>
        <v>7</v>
      </c>
      <c r="B18" s="14" t="s">
        <v>368</v>
      </c>
      <c r="C18" s="18"/>
      <c r="D18" s="18">
        <f>'A-Billing Determinants'!D18+'A-Billing Determinants'!F18+'A-Billing Determinants'!H18+'A-Billing Determinants'!J18+'A-Billing Determinants'!L18+'A-Billing Determinants'!N18+'B-Billing Determinants'!D18+'B-Billing Determinants'!F18+'B-Billing Determinants'!H18+'B-Billing Determinants'!J18+'B-Billing Determinants'!L18+'B-Billing Determinants'!N18</f>
        <v>22535116.441714648</v>
      </c>
      <c r="E18" s="11">
        <f t="shared" si="1"/>
        <v>7</v>
      </c>
      <c r="G18" s="216"/>
    </row>
    <row r="19" spans="1:7" ht="22.5" x14ac:dyDescent="0.3">
      <c r="A19" s="11">
        <f t="shared" si="0"/>
        <v>8</v>
      </c>
      <c r="B19" s="14" t="s">
        <v>369</v>
      </c>
      <c r="C19" s="47"/>
      <c r="D19" s="47">
        <f>'A-Billing Determinants'!D19+'A-Billing Determinants'!F19+'A-Billing Determinants'!H19+'A-Billing Determinants'!J19+'A-Billing Determinants'!L19+'A-Billing Determinants'!N19+'B-Billing Determinants'!D19+'B-Billing Determinants'!F19+'B-Billing Determinants'!H19+'B-Billing Determinants'!J19+'B-Billing Determinants'!L19+'B-Billing Determinants'!N19</f>
        <v>19932787.405617971</v>
      </c>
      <c r="E19" s="11">
        <f t="shared" si="1"/>
        <v>8</v>
      </c>
      <c r="G19" s="216"/>
    </row>
    <row r="20" spans="1:7" ht="22.5" x14ac:dyDescent="0.3">
      <c r="A20" s="11">
        <f t="shared" si="0"/>
        <v>9</v>
      </c>
      <c r="B20" s="19" t="s">
        <v>370</v>
      </c>
      <c r="C20" s="47"/>
      <c r="D20" s="47">
        <f>'A-Billing Determinants'!D20+'A-Billing Determinants'!F20+'A-Billing Determinants'!H20+'A-Billing Determinants'!J20+'A-Billing Determinants'!L20+'A-Billing Determinants'!N20+'B-Billing Determinants'!D20+'B-Billing Determinants'!F20+'B-Billing Determinants'!H20+'B-Billing Determinants'!J20+'B-Billing Determinants'!L20+'B-Billing Determinants'!N20</f>
        <v>1521522.9458587805</v>
      </c>
      <c r="E20" s="11">
        <f t="shared" si="1"/>
        <v>9</v>
      </c>
      <c r="G20" s="216"/>
    </row>
    <row r="21" spans="1:7" x14ac:dyDescent="0.3">
      <c r="A21" s="11">
        <f t="shared" si="0"/>
        <v>10</v>
      </c>
      <c r="B21" s="14"/>
      <c r="C21" s="18"/>
      <c r="D21" s="18"/>
      <c r="E21" s="11">
        <f t="shared" si="1"/>
        <v>10</v>
      </c>
      <c r="G21" s="391"/>
    </row>
    <row r="22" spans="1:7" x14ac:dyDescent="0.3">
      <c r="A22" s="11">
        <f t="shared" si="0"/>
        <v>11</v>
      </c>
      <c r="B22" s="127" t="s">
        <v>26</v>
      </c>
      <c r="C22" s="18">
        <f>'A-Billing Determinants'!C24+'A-Billing Determinants'!E24+'A-Billing Determinants'!G24+'A-Billing Determinants'!I24+'A-Billing Determinants'!K24+'A-Billing Determinants'!M24+'B-Billing Determinants'!C24+'B-Billing Determinants'!E24+'B-Billing Determinants'!G24+'B-Billing Determinants'!I24+'B-Billing Determinants'!K24+'B-Billing Determinants'!M24</f>
        <v>6718230</v>
      </c>
      <c r="D22" s="18"/>
      <c r="E22" s="11">
        <f t="shared" si="1"/>
        <v>11</v>
      </c>
      <c r="G22" s="391"/>
    </row>
    <row r="23" spans="1:7" ht="22.5" x14ac:dyDescent="0.3">
      <c r="A23" s="11">
        <f t="shared" si="0"/>
        <v>12</v>
      </c>
      <c r="B23" s="14" t="s">
        <v>368</v>
      </c>
      <c r="C23" s="18"/>
      <c r="D23" s="18">
        <f>'A-Billing Determinants'!D25+'A-Billing Determinants'!F25+'A-Billing Determinants'!H25+'A-Billing Determinants'!J25+'A-Billing Determinants'!L25+'A-Billing Determinants'!N25+'B-Billing Determinants'!D25+'B-Billing Determinants'!F25+'B-Billing Determinants'!H25+'B-Billing Determinants'!J25+'B-Billing Determinants'!L25+'B-Billing Determinants'!N25</f>
        <v>146006</v>
      </c>
      <c r="E23" s="11">
        <f t="shared" si="1"/>
        <v>12</v>
      </c>
    </row>
    <row r="24" spans="1:7" ht="22.5" x14ac:dyDescent="0.3">
      <c r="A24" s="11">
        <f t="shared" si="0"/>
        <v>13</v>
      </c>
      <c r="B24" s="19" t="s">
        <v>373</v>
      </c>
      <c r="C24" s="18"/>
      <c r="D24" s="18">
        <f>'A-Billing Determinants'!D26+'A-Billing Determinants'!F26+'A-Billing Determinants'!H26+'A-Billing Determinants'!J26+'A-Billing Determinants'!L26+'A-Billing Determinants'!N26+'B-Billing Determinants'!D26+'B-Billing Determinants'!F26+'B-Billing Determinants'!H26+'B-Billing Determinants'!J26+'B-Billing Determinants'!L26+'B-Billing Determinants'!N26</f>
        <v>7580</v>
      </c>
      <c r="E24" s="11">
        <f t="shared" si="1"/>
        <v>13</v>
      </c>
    </row>
    <row r="25" spans="1:7" x14ac:dyDescent="0.3">
      <c r="A25" s="11">
        <f t="shared" si="0"/>
        <v>14</v>
      </c>
      <c r="B25" s="14"/>
      <c r="C25" s="18"/>
      <c r="D25" s="18"/>
      <c r="E25" s="11">
        <f t="shared" si="1"/>
        <v>14</v>
      </c>
    </row>
    <row r="26" spans="1:7" x14ac:dyDescent="0.3">
      <c r="A26" s="11">
        <f t="shared" si="0"/>
        <v>15</v>
      </c>
      <c r="B26" s="14" t="s">
        <v>78</v>
      </c>
      <c r="C26" s="18"/>
      <c r="D26" s="18"/>
      <c r="E26" s="11">
        <f t="shared" si="1"/>
        <v>15</v>
      </c>
    </row>
    <row r="27" spans="1:7" x14ac:dyDescent="0.3">
      <c r="A27" s="11">
        <f t="shared" si="0"/>
        <v>16</v>
      </c>
      <c r="B27" s="14" t="s">
        <v>79</v>
      </c>
      <c r="C27" s="18">
        <f>'A-Billing Determinants'!C29+'A-Billing Determinants'!E29+'A-Billing Determinants'!G29+'A-Billing Determinants'!I29+'A-Billing Determinants'!K29+'A-Billing Determinants'!M29+'B-Billing Determinants'!C29+'B-Billing Determinants'!E29+'B-Billing Determinants'!G29+'B-Billing Determinants'!I29+'B-Billing Determinants'!K29+'B-Billing Determinants'!M29</f>
        <v>119233769.10634334</v>
      </c>
      <c r="D27" s="18"/>
      <c r="E27" s="11">
        <f t="shared" si="1"/>
        <v>16</v>
      </c>
      <c r="G27" s="247"/>
    </row>
    <row r="28" spans="1:7" ht="22.5" x14ac:dyDescent="0.3">
      <c r="A28" s="11">
        <f t="shared" si="0"/>
        <v>17</v>
      </c>
      <c r="B28" s="14" t="s">
        <v>382</v>
      </c>
      <c r="C28" s="18">
        <f>'A-Billing Determinants'!C30+'A-Billing Determinants'!E30+'A-Billing Determinants'!G30+'A-Billing Determinants'!I30+'A-Billing Determinants'!K30+'A-Billing Determinants'!M30+'B-Billing Determinants'!C30+'B-Billing Determinants'!E30+'B-Billing Determinants'!G30+'B-Billing Determinants'!I30+'B-Billing Determinants'!K30+'B-Billing Determinants'!M30</f>
        <v>236072050.18631738</v>
      </c>
      <c r="D28" s="18">
        <f>'A-Billing Determinants'!D30+'A-Billing Determinants'!F30+'A-Billing Determinants'!H30+'A-Billing Determinants'!J30+'A-Billing Determinants'!L30+'A-Billing Determinants'!N30+'B-Billing Determinants'!D30+'B-Billing Determinants'!F30+'B-Billing Determinants'!H30+'B-Billing Determinants'!J30+'B-Billing Determinants'!L30+'B-Billing Determinants'!N30</f>
        <v>854290.25661975169</v>
      </c>
      <c r="E28" s="11">
        <f t="shared" si="1"/>
        <v>17</v>
      </c>
      <c r="G28" s="247"/>
    </row>
    <row r="29" spans="1:7" x14ac:dyDescent="0.3">
      <c r="A29" s="11">
        <f t="shared" si="0"/>
        <v>18</v>
      </c>
      <c r="B29" s="14"/>
      <c r="C29" s="18"/>
      <c r="D29" s="18"/>
      <c r="E29" s="11">
        <f t="shared" si="1"/>
        <v>18</v>
      </c>
    </row>
    <row r="30" spans="1:7" x14ac:dyDescent="0.3">
      <c r="A30" s="11">
        <f t="shared" si="0"/>
        <v>19</v>
      </c>
      <c r="B30" s="14" t="str">
        <f>'A-Revenues@Changed Rates'!B29</f>
        <v>Street Lighting</v>
      </c>
      <c r="C30" s="18">
        <f>'A-Billing Determinants'!C32+'A-Billing Determinants'!E32+'A-Billing Determinants'!G32+'A-Billing Determinants'!I32+'A-Billing Determinants'!K32+'A-Billing Determinants'!M32+'B-Billing Determinants'!C32+'B-Billing Determinants'!E32+'B-Billing Determinants'!G32+'B-Billing Determinants'!I32+'B-Billing Determinants'!K32+'B-Billing Determinants'!M32</f>
        <v>80243576.701337829</v>
      </c>
      <c r="D30" s="18">
        <f>'A-Billing Determinants'!D32+'A-Billing Determinants'!F32+'A-Billing Determinants'!H32+'A-Billing Determinants'!J32+'A-Billing Determinants'!L32+'A-Billing Determinants'!N32+'B-Billing Determinants'!D32+'B-Billing Determinants'!F32+'B-Billing Determinants'!H32+'B-Billing Determinants'!J32+'B-Billing Determinants'!L32+'B-Billing Determinants'!N32</f>
        <v>0</v>
      </c>
      <c r="E30" s="11">
        <f t="shared" si="1"/>
        <v>19</v>
      </c>
    </row>
    <row r="31" spans="1:7" x14ac:dyDescent="0.3">
      <c r="A31" s="11">
        <f t="shared" si="0"/>
        <v>20</v>
      </c>
      <c r="B31" s="14"/>
      <c r="C31" s="18"/>
      <c r="D31" s="18"/>
      <c r="E31" s="11">
        <f t="shared" si="1"/>
        <v>20</v>
      </c>
    </row>
    <row r="32" spans="1:7" x14ac:dyDescent="0.3">
      <c r="A32" s="11">
        <f t="shared" si="0"/>
        <v>21</v>
      </c>
      <c r="B32" s="14" t="str">
        <f>'A-Billing Determinants'!B34</f>
        <v>Sale for Resale</v>
      </c>
      <c r="C32" s="18">
        <f>'A-Billing Determinants'!C34+'A-Billing Determinants'!E34+'A-Billing Determinants'!G34+'A-Billing Determinants'!I34+'A-Billing Determinants'!K34+'A-Billing Determinants'!M34+'B-Billing Determinants'!C34+'B-Billing Determinants'!E34+'B-Billing Determinants'!G34+'B-Billing Determinants'!I34+'B-Billing Determinants'!K34+'B-Billing Determinants'!M34</f>
        <v>90762.666666666686</v>
      </c>
      <c r="D32" s="18">
        <f>'A-Billing Determinants'!D34+'A-Billing Determinants'!F34+'A-Billing Determinants'!H34+'A-Billing Determinants'!J34+'A-Billing Determinants'!L34+'A-Billing Determinants'!N34+'B-Billing Determinants'!D34+'B-Billing Determinants'!F34+'B-Billing Determinants'!H34+'B-Billing Determinants'!J34+'B-Billing Determinants'!L34+'B-Billing Determinants'!N34</f>
        <v>0</v>
      </c>
      <c r="E32" s="11">
        <f t="shared" si="1"/>
        <v>21</v>
      </c>
    </row>
    <row r="33" spans="1:7" x14ac:dyDescent="0.3">
      <c r="A33" s="11">
        <f t="shared" si="0"/>
        <v>22</v>
      </c>
      <c r="B33" s="14"/>
      <c r="C33" s="18"/>
      <c r="D33" s="18"/>
      <c r="E33" s="11">
        <f t="shared" si="1"/>
        <v>22</v>
      </c>
    </row>
    <row r="34" spans="1:7" x14ac:dyDescent="0.3">
      <c r="A34" s="11">
        <f t="shared" si="0"/>
        <v>23</v>
      </c>
      <c r="B34" s="14" t="str">
        <f>'A-Revenues@Changed Rates'!B31</f>
        <v>Standby</v>
      </c>
      <c r="C34" s="22">
        <f>'A-Billing Determinants'!C36+'A-Billing Determinants'!E36+'A-Billing Determinants'!G36+'A-Billing Determinants'!I36+'A-Billing Determinants'!K36+'A-Billing Determinants'!M36+'B-Billing Determinants'!C36+'B-Billing Determinants'!E36+'B-Billing Determinants'!G36+'B-Billing Determinants'!I36+'B-Billing Determinants'!K36+'B-Billing Determinants'!M36</f>
        <v>0</v>
      </c>
      <c r="D34" s="22">
        <f>'A-Billing Determinants'!D36+'A-Billing Determinants'!F36+'A-Billing Determinants'!H36+'A-Billing Determinants'!J36+'A-Billing Determinants'!L36+'A-Billing Determinants'!N36+'B-Billing Determinants'!D36+'B-Billing Determinants'!F36+'B-Billing Determinants'!H36+'B-Billing Determinants'!J36+'B-Billing Determinants'!L36+'B-Billing Determinants'!N36</f>
        <v>1746072</v>
      </c>
      <c r="E34" s="11">
        <f t="shared" si="1"/>
        <v>23</v>
      </c>
    </row>
    <row r="35" spans="1:7" x14ac:dyDescent="0.3">
      <c r="A35" s="11">
        <f t="shared" si="0"/>
        <v>24</v>
      </c>
      <c r="B35" s="14"/>
      <c r="C35" s="18"/>
      <c r="D35" s="18"/>
      <c r="E35" s="11">
        <f t="shared" si="1"/>
        <v>24</v>
      </c>
    </row>
    <row r="36" spans="1:7" ht="19.5" thickBot="1" x14ac:dyDescent="0.35">
      <c r="A36" s="11">
        <f t="shared" si="0"/>
        <v>25</v>
      </c>
      <c r="B36" s="19" t="s">
        <v>60</v>
      </c>
      <c r="C36" s="23">
        <f>SUM(C12:C34)</f>
        <v>17994003081.951855</v>
      </c>
      <c r="D36" s="23">
        <f>SUM(D12:D34)</f>
        <v>46743375.049811155</v>
      </c>
      <c r="E36" s="11">
        <f t="shared" si="1"/>
        <v>25</v>
      </c>
      <c r="G36" s="391"/>
    </row>
    <row r="37" spans="1:7" ht="19.5" thickTop="1" x14ac:dyDescent="0.3">
      <c r="A37" s="17"/>
      <c r="B37" s="24"/>
      <c r="C37" s="22"/>
      <c r="D37" s="22"/>
      <c r="E37" s="24"/>
    </row>
    <row r="38" spans="1:7" x14ac:dyDescent="0.3">
      <c r="B38" s="25" t="s">
        <v>46</v>
      </c>
      <c r="C38" s="217"/>
    </row>
    <row r="39" spans="1:7" ht="22.5" x14ac:dyDescent="0.3">
      <c r="A39" s="77">
        <v>1</v>
      </c>
      <c r="B39" s="1" t="str">
        <f>'A-Billing Determinants'!B41</f>
        <v>Non-Coincident Demand (NCD) (100%) rates applicable to the following California Public Utilities Commission (CPUC) tariff: Schedule PA-T-1.</v>
      </c>
    </row>
    <row r="40" spans="1:7" ht="22.5" x14ac:dyDescent="0.3">
      <c r="A40" s="77">
        <v>2</v>
      </c>
      <c r="B40" s="1" t="s">
        <v>376</v>
      </c>
    </row>
    <row r="41" spans="1:7" ht="22.5" x14ac:dyDescent="0.3">
      <c r="A41" s="77">
        <v>3</v>
      </c>
      <c r="B41" s="1" t="s">
        <v>383</v>
      </c>
    </row>
    <row r="42" spans="1:7" ht="22.5" x14ac:dyDescent="0.3">
      <c r="A42" s="77"/>
      <c r="B42" s="1" t="s">
        <v>455</v>
      </c>
    </row>
    <row r="43" spans="1:7" ht="22.5" x14ac:dyDescent="0.3">
      <c r="A43" s="77">
        <v>4</v>
      </c>
      <c r="B43" s="1" t="s">
        <v>384</v>
      </c>
    </row>
    <row r="44" spans="1:7" ht="22.5" x14ac:dyDescent="0.3">
      <c r="A44" s="77"/>
      <c r="B44" s="1" t="s">
        <v>456</v>
      </c>
    </row>
    <row r="45" spans="1:7" ht="22.5" x14ac:dyDescent="0.3">
      <c r="A45" s="77">
        <v>5</v>
      </c>
      <c r="B45" s="1" t="s">
        <v>450</v>
      </c>
      <c r="F45" s="391"/>
      <c r="G45" s="391"/>
    </row>
    <row r="46" spans="1:7" x14ac:dyDescent="0.3">
      <c r="A46" s="7"/>
    </row>
    <row r="47" spans="1:7" x14ac:dyDescent="0.3">
      <c r="A47" s="7"/>
    </row>
    <row r="48" spans="1:7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</sheetData>
  <mergeCells count="5">
    <mergeCell ref="A5:E5"/>
    <mergeCell ref="A3:E3"/>
    <mergeCell ref="A2:E2"/>
    <mergeCell ref="A1:E1"/>
    <mergeCell ref="A4:E4"/>
  </mergeCells>
  <phoneticPr fontId="0" type="noConversion"/>
  <printOptions horizontalCentered="1"/>
  <pageMargins left="0.25" right="0.25" top="0.5" bottom="0.5" header="0.25" footer="0.25"/>
  <pageSetup scale="59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W219"/>
  <sheetViews>
    <sheetView zoomScale="70" zoomScaleNormal="70" zoomScaleSheetLayoutView="70" zoomScalePageLayoutView="60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U151" sqref="U151"/>
    </sheetView>
  </sheetViews>
  <sheetFormatPr defaultColWidth="9.140625" defaultRowHeight="18.75" x14ac:dyDescent="0.3"/>
  <cols>
    <col min="1" max="1" width="5.5703125" style="1" bestFit="1" customWidth="1"/>
    <col min="2" max="2" width="122.5703125" style="127" customWidth="1"/>
    <col min="3" max="3" width="22.5703125" style="1" bestFit="1" customWidth="1"/>
    <col min="4" max="14" width="16.28515625" style="1" customWidth="1"/>
    <col min="15" max="15" width="18.85546875" style="1" bestFit="1" customWidth="1"/>
    <col min="16" max="16" width="5.5703125" style="1" bestFit="1" customWidth="1"/>
    <col min="17" max="19" width="13" style="1" hidden="1" customWidth="1"/>
    <col min="20" max="20" width="14" style="1" bestFit="1" customWidth="1"/>
    <col min="21" max="21" width="29.28515625" style="1" bestFit="1" customWidth="1"/>
    <col min="22" max="22" width="9.140625" style="1"/>
    <col min="23" max="23" width="14.42578125" style="1" bestFit="1" customWidth="1"/>
    <col min="24" max="16384" width="9.140625" style="1"/>
  </cols>
  <sheetData>
    <row r="1" spans="1:21" x14ac:dyDescent="0.3">
      <c r="A1" s="8" t="s">
        <v>8</v>
      </c>
      <c r="B1" s="437" t="s">
        <v>385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/>
      <c r="P1" s="8" t="s">
        <v>8</v>
      </c>
    </row>
    <row r="2" spans="1:21" ht="21.75" x14ac:dyDescent="0.3">
      <c r="A2" s="17" t="s">
        <v>10</v>
      </c>
      <c r="B2" s="440" t="s">
        <v>460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2"/>
      <c r="P2" s="17" t="s">
        <v>10</v>
      </c>
    </row>
    <row r="3" spans="1:21" x14ac:dyDescent="0.3">
      <c r="A3" s="8">
        <v>1</v>
      </c>
      <c r="B3" s="239" t="s">
        <v>386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378"/>
      <c r="P3" s="60">
        <v>1</v>
      </c>
    </row>
    <row r="4" spans="1:21" x14ac:dyDescent="0.3">
      <c r="A4" s="11">
        <f>A3+1</f>
        <v>2</v>
      </c>
      <c r="B4" s="239" t="s">
        <v>387</v>
      </c>
      <c r="O4" s="127"/>
      <c r="P4" s="61">
        <f>P3+1</f>
        <v>2</v>
      </c>
    </row>
    <row r="5" spans="1:21" x14ac:dyDescent="0.3">
      <c r="A5" s="11">
        <f t="shared" ref="A5:A6" si="0">A4+1</f>
        <v>3</v>
      </c>
      <c r="B5" s="239"/>
      <c r="O5" s="127"/>
      <c r="P5" s="61">
        <f t="shared" ref="P5:P73" si="1">P4+1</f>
        <v>3</v>
      </c>
    </row>
    <row r="6" spans="1:21" x14ac:dyDescent="0.3">
      <c r="A6" s="11">
        <f t="shared" si="0"/>
        <v>4</v>
      </c>
      <c r="B6" s="291" t="s">
        <v>327</v>
      </c>
      <c r="O6" s="127"/>
      <c r="P6" s="61">
        <f t="shared" si="1"/>
        <v>4</v>
      </c>
    </row>
    <row r="7" spans="1:21" x14ac:dyDescent="0.3">
      <c r="A7" s="11">
        <f t="shared" ref="A7:A73" si="2">A6+1</f>
        <v>5</v>
      </c>
      <c r="B7" s="291" t="s">
        <v>388</v>
      </c>
      <c r="C7" s="226">
        <v>45658</v>
      </c>
      <c r="D7" s="226">
        <v>45689</v>
      </c>
      <c r="E7" s="226">
        <v>45717</v>
      </c>
      <c r="F7" s="226">
        <v>45748</v>
      </c>
      <c r="G7" s="226">
        <v>45778</v>
      </c>
      <c r="H7" s="226">
        <v>45809</v>
      </c>
      <c r="I7" s="226">
        <v>45839</v>
      </c>
      <c r="J7" s="226">
        <v>45870</v>
      </c>
      <c r="K7" s="226">
        <v>45901</v>
      </c>
      <c r="L7" s="226">
        <v>45931</v>
      </c>
      <c r="M7" s="226">
        <v>45962</v>
      </c>
      <c r="N7" s="226">
        <v>45992</v>
      </c>
      <c r="O7" s="229" t="s">
        <v>61</v>
      </c>
      <c r="P7" s="61">
        <f t="shared" si="1"/>
        <v>5</v>
      </c>
    </row>
    <row r="8" spans="1:21" x14ac:dyDescent="0.3">
      <c r="A8" s="11">
        <f t="shared" si="2"/>
        <v>6</v>
      </c>
      <c r="B8" s="236" t="s">
        <v>17</v>
      </c>
      <c r="C8" s="228">
        <f>'[3]C. 2025 Forecast Sales'!B8</f>
        <v>633614.84826131561</v>
      </c>
      <c r="D8" s="228">
        <f>'[3]C. 2025 Forecast Sales'!C8</f>
        <v>515438.23471526901</v>
      </c>
      <c r="E8" s="228">
        <f>'[3]C. 2025 Forecast Sales'!D8</f>
        <v>457649.11693538714</v>
      </c>
      <c r="F8" s="228">
        <f>'[3]C. 2025 Forecast Sales'!E8</f>
        <v>365973.42020850413</v>
      </c>
      <c r="G8" s="228">
        <f>'[3]C. 2025 Forecast Sales'!F8</f>
        <v>342313.08875184611</v>
      </c>
      <c r="H8" s="228">
        <f>'[3]C. 2025 Forecast Sales'!G8</f>
        <v>369395.48357729573</v>
      </c>
      <c r="I8" s="228">
        <f>'[3]C. 2025 Forecast Sales'!H8</f>
        <v>457969.47731707973</v>
      </c>
      <c r="J8" s="228">
        <f>'[3]C. 2025 Forecast Sales'!I8</f>
        <v>631672.00870622776</v>
      </c>
      <c r="K8" s="228">
        <f>'[3]C. 2025 Forecast Sales'!J8</f>
        <v>730948.07568545244</v>
      </c>
      <c r="L8" s="228">
        <f>'[3]C. 2025 Forecast Sales'!K8</f>
        <v>531521.92281533149</v>
      </c>
      <c r="M8" s="228">
        <f>'[3]C. 2025 Forecast Sales'!L8</f>
        <v>450339.9277139242</v>
      </c>
      <c r="N8" s="228">
        <f>'[3]C. 2025 Forecast Sales'!M8</f>
        <v>572324.67175000429</v>
      </c>
      <c r="O8" s="320">
        <f>SUM(C8:N8)</f>
        <v>6059160.2764376374</v>
      </c>
      <c r="P8" s="61">
        <f t="shared" si="1"/>
        <v>6</v>
      </c>
      <c r="T8" s="216"/>
    </row>
    <row r="9" spans="1:21" x14ac:dyDescent="0.3">
      <c r="A9" s="11">
        <f t="shared" si="2"/>
        <v>7</v>
      </c>
      <c r="B9" s="236" t="s">
        <v>20</v>
      </c>
      <c r="C9" s="228">
        <f>'[3]C. 2025 Forecast Sales'!B9</f>
        <v>194287.3039717504</v>
      </c>
      <c r="D9" s="228">
        <f>'[3]C. 2025 Forecast Sales'!C9</f>
        <v>188366.21066135011</v>
      </c>
      <c r="E9" s="228">
        <f>'[3]C. 2025 Forecast Sales'!D9</f>
        <v>187592.51940328325</v>
      </c>
      <c r="F9" s="228">
        <f>'[3]C. 2025 Forecast Sales'!E9</f>
        <v>186126.52748780861</v>
      </c>
      <c r="G9" s="228">
        <f>'[3]C. 2025 Forecast Sales'!F9</f>
        <v>185654.63461696633</v>
      </c>
      <c r="H9" s="228">
        <f>'[3]C. 2025 Forecast Sales'!G9</f>
        <v>194357.83295760828</v>
      </c>
      <c r="I9" s="228">
        <f>'[3]C. 2025 Forecast Sales'!H9</f>
        <v>217705.90533345446</v>
      </c>
      <c r="J9" s="228">
        <f>'[3]C. 2025 Forecast Sales'!I9</f>
        <v>229919.024856437</v>
      </c>
      <c r="K9" s="228">
        <f>'[3]C. 2025 Forecast Sales'!J9</f>
        <v>241455.99341200775</v>
      </c>
      <c r="L9" s="228">
        <f>'[3]C. 2025 Forecast Sales'!K9</f>
        <v>214159.40997047324</v>
      </c>
      <c r="M9" s="228">
        <f>'[3]C. 2025 Forecast Sales'!L9</f>
        <v>197828.25687204243</v>
      </c>
      <c r="N9" s="228">
        <f>'[3]C. 2025 Forecast Sales'!M9</f>
        <v>190835.62155890607</v>
      </c>
      <c r="O9" s="320">
        <f t="shared" ref="O9:O13" si="3">SUM(C9:N9)</f>
        <v>2428289.2411020878</v>
      </c>
      <c r="P9" s="61">
        <f t="shared" si="1"/>
        <v>7</v>
      </c>
      <c r="T9" s="216"/>
    </row>
    <row r="10" spans="1:21" x14ac:dyDescent="0.3">
      <c r="A10" s="11">
        <f t="shared" si="2"/>
        <v>8</v>
      </c>
      <c r="B10" s="236" t="s">
        <v>389</v>
      </c>
      <c r="C10" s="228">
        <f>'[3]C. 2025 Forecast Sales'!B10</f>
        <v>0</v>
      </c>
      <c r="D10" s="228">
        <f>'[3]C. 2025 Forecast Sales'!C10</f>
        <v>0</v>
      </c>
      <c r="E10" s="228">
        <f>'[3]C. 2025 Forecast Sales'!D10</f>
        <v>0</v>
      </c>
      <c r="F10" s="228">
        <f>'[3]C. 2025 Forecast Sales'!E10</f>
        <v>0</v>
      </c>
      <c r="G10" s="228">
        <f>'[3]C. 2025 Forecast Sales'!F10</f>
        <v>0</v>
      </c>
      <c r="H10" s="228">
        <f>'[3]C. 2025 Forecast Sales'!G10</f>
        <v>0</v>
      </c>
      <c r="I10" s="228">
        <f>'[3]C. 2025 Forecast Sales'!H10</f>
        <v>0</v>
      </c>
      <c r="J10" s="228">
        <f>'[3]C. 2025 Forecast Sales'!I10</f>
        <v>0</v>
      </c>
      <c r="K10" s="228">
        <f>'[3]C. 2025 Forecast Sales'!J10</f>
        <v>0</v>
      </c>
      <c r="L10" s="228">
        <f>'[3]C. 2025 Forecast Sales'!K10</f>
        <v>0</v>
      </c>
      <c r="M10" s="228">
        <f>'[3]C. 2025 Forecast Sales'!L10</f>
        <v>0</v>
      </c>
      <c r="N10" s="228">
        <f>'[3]C. 2025 Forecast Sales'!M10</f>
        <v>0</v>
      </c>
      <c r="O10" s="320">
        <f t="shared" si="3"/>
        <v>0</v>
      </c>
      <c r="P10" s="61">
        <f t="shared" si="1"/>
        <v>8</v>
      </c>
      <c r="T10" s="216"/>
      <c r="U10" s="216"/>
    </row>
    <row r="11" spans="1:21" x14ac:dyDescent="0.3">
      <c r="A11" s="11">
        <f t="shared" si="2"/>
        <v>9</v>
      </c>
      <c r="B11" s="236" t="s">
        <v>390</v>
      </c>
      <c r="C11" s="228">
        <f>'[3]C. 2025 Forecast Sales'!B11</f>
        <v>665128.40457376174</v>
      </c>
      <c r="D11" s="228">
        <f>'[3]C. 2025 Forecast Sales'!C11</f>
        <v>638768.16550925153</v>
      </c>
      <c r="E11" s="228">
        <f>'[3]C. 2025 Forecast Sales'!D11</f>
        <v>634906.37665919401</v>
      </c>
      <c r="F11" s="228">
        <f>'[3]C. 2025 Forecast Sales'!E11</f>
        <v>634614.63028510415</v>
      </c>
      <c r="G11" s="228">
        <f>'[3]C. 2025 Forecast Sales'!F11</f>
        <v>642422.3679788115</v>
      </c>
      <c r="H11" s="228">
        <f>'[3]C. 2025 Forecast Sales'!G11</f>
        <v>674302.30225451861</v>
      </c>
      <c r="I11" s="228">
        <f>'[3]C. 2025 Forecast Sales'!H11</f>
        <v>739126.30591458536</v>
      </c>
      <c r="J11" s="228">
        <f>'[3]C. 2025 Forecast Sales'!I11</f>
        <v>777952.89032439666</v>
      </c>
      <c r="K11" s="228">
        <f>'[3]C. 2025 Forecast Sales'!J11</f>
        <v>818733.95977402898</v>
      </c>
      <c r="L11" s="228">
        <f>'[3]C. 2025 Forecast Sales'!K11</f>
        <v>743327.39731253241</v>
      </c>
      <c r="M11" s="228">
        <f>'[3]C. 2025 Forecast Sales'!L11</f>
        <v>671314.98969655018</v>
      </c>
      <c r="N11" s="228">
        <f>'[3]C. 2025 Forecast Sales'!M11</f>
        <v>657765.56516033004</v>
      </c>
      <c r="O11" s="320">
        <f t="shared" si="3"/>
        <v>8298363.355443066</v>
      </c>
      <c r="P11" s="61">
        <f t="shared" si="1"/>
        <v>9</v>
      </c>
      <c r="T11" s="216"/>
    </row>
    <row r="12" spans="1:21" x14ac:dyDescent="0.3">
      <c r="A12" s="11">
        <f t="shared" si="2"/>
        <v>10</v>
      </c>
      <c r="B12" s="236" t="s">
        <v>391</v>
      </c>
      <c r="C12" s="228">
        <f>'[3]C. 2025 Forecast Sales'!B12</f>
        <v>86063.849876274791</v>
      </c>
      <c r="D12" s="228">
        <f>'[3]C. 2025 Forecast Sales'!C12</f>
        <v>74763.168183969552</v>
      </c>
      <c r="E12" s="228">
        <f>'[3]C. 2025 Forecast Sales'!D12</f>
        <v>79850.254449063767</v>
      </c>
      <c r="F12" s="228">
        <f>'[3]C. 2025 Forecast Sales'!E12</f>
        <v>83893.668552719435</v>
      </c>
      <c r="G12" s="228">
        <f>'[3]C. 2025 Forecast Sales'!F12</f>
        <v>82494.516567459548</v>
      </c>
      <c r="H12" s="228">
        <f>'[3]C. 2025 Forecast Sales'!G12</f>
        <v>86037.699489391714</v>
      </c>
      <c r="I12" s="228">
        <f>'[3]C. 2025 Forecast Sales'!H12</f>
        <v>99719.875448313775</v>
      </c>
      <c r="J12" s="228">
        <f>'[3]C. 2025 Forecast Sales'!I12</f>
        <v>97528.717043731289</v>
      </c>
      <c r="K12" s="228">
        <f>'[3]C. 2025 Forecast Sales'!J12</f>
        <v>96434.86221579017</v>
      </c>
      <c r="L12" s="228">
        <f>'[3]C. 2025 Forecast Sales'!K12</f>
        <v>87398.897344817757</v>
      </c>
      <c r="M12" s="228">
        <f>'[3]C. 2025 Forecast Sales'!L12</f>
        <v>86076.559012121768</v>
      </c>
      <c r="N12" s="228">
        <f>'[3]C. 2025 Forecast Sales'!M12</f>
        <v>102103.08582474214</v>
      </c>
      <c r="O12" s="320">
        <f t="shared" si="3"/>
        <v>1062365.1540083957</v>
      </c>
      <c r="P12" s="61">
        <f t="shared" si="1"/>
        <v>10</v>
      </c>
      <c r="T12" s="216"/>
    </row>
    <row r="13" spans="1:21" x14ac:dyDescent="0.3">
      <c r="A13" s="11">
        <f t="shared" si="2"/>
        <v>11</v>
      </c>
      <c r="B13" s="236" t="s">
        <v>26</v>
      </c>
      <c r="C13" s="228">
        <f>'[3]C. 2025 Forecast Sales'!B13</f>
        <v>595.72</v>
      </c>
      <c r="D13" s="228">
        <f>'[3]C. 2025 Forecast Sales'!C13</f>
        <v>724.43</v>
      </c>
      <c r="E13" s="228">
        <f>'[3]C. 2025 Forecast Sales'!D13</f>
        <v>727.4</v>
      </c>
      <c r="F13" s="228">
        <f>'[3]C. 2025 Forecast Sales'!E13</f>
        <v>931.38</v>
      </c>
      <c r="G13" s="228">
        <f>'[3]C. 2025 Forecast Sales'!F13</f>
        <v>258.38</v>
      </c>
      <c r="H13" s="228">
        <f>'[3]C. 2025 Forecast Sales'!G13</f>
        <v>110.63</v>
      </c>
      <c r="I13" s="228">
        <f>'[3]C. 2025 Forecast Sales'!H13</f>
        <v>125.9</v>
      </c>
      <c r="J13" s="228">
        <f>'[3]C. 2025 Forecast Sales'!I13</f>
        <v>0.05</v>
      </c>
      <c r="K13" s="228">
        <f>'[3]C. 2025 Forecast Sales'!J13</f>
        <v>40.380000000000003</v>
      </c>
      <c r="L13" s="228">
        <f>'[3]C. 2025 Forecast Sales'!K13</f>
        <v>1332.72</v>
      </c>
      <c r="M13" s="228">
        <f>'[3]C. 2025 Forecast Sales'!L13</f>
        <v>1353.38</v>
      </c>
      <c r="N13" s="228">
        <f>'[3]C. 2025 Forecast Sales'!M13</f>
        <v>517.86</v>
      </c>
      <c r="O13" s="320">
        <f t="shared" si="3"/>
        <v>6718.2300000000005</v>
      </c>
      <c r="P13" s="61">
        <f t="shared" si="1"/>
        <v>11</v>
      </c>
      <c r="T13" s="216"/>
    </row>
    <row r="14" spans="1:21" x14ac:dyDescent="0.3">
      <c r="A14" s="11">
        <f t="shared" si="2"/>
        <v>12</v>
      </c>
      <c r="B14" s="236" t="s">
        <v>392</v>
      </c>
      <c r="C14" s="228">
        <f>'[3]C. 2025 Forecast Sales'!B14</f>
        <v>5887.7048144613691</v>
      </c>
      <c r="D14" s="228">
        <f>'[3]C. 2025 Forecast Sales'!C14</f>
        <v>6921.2043635153996</v>
      </c>
      <c r="E14" s="228">
        <f>'[3]C. 2025 Forecast Sales'!D14</f>
        <v>6343.6370075090954</v>
      </c>
      <c r="F14" s="228">
        <f>'[3]C. 2025 Forecast Sales'!E14</f>
        <v>7110.2622255102606</v>
      </c>
      <c r="G14" s="228">
        <f>'[3]C. 2025 Forecast Sales'!F14</f>
        <v>10185.414184797397</v>
      </c>
      <c r="H14" s="228">
        <f>'[3]C. 2025 Forecast Sales'!G14</f>
        <v>11247.957966117741</v>
      </c>
      <c r="I14" s="228">
        <f>'[3]C. 2025 Forecast Sales'!H14</f>
        <v>12755.825760813892</v>
      </c>
      <c r="J14" s="228">
        <f>'[3]C. 2025 Forecast Sales'!I14</f>
        <v>13888.226199353687</v>
      </c>
      <c r="K14" s="228">
        <f>'[3]C. 2025 Forecast Sales'!J14</f>
        <v>13262.986915300764</v>
      </c>
      <c r="L14" s="228">
        <f>'[3]C. 2025 Forecast Sales'!K14</f>
        <v>12407.756148358616</v>
      </c>
      <c r="M14" s="228">
        <f>'[3]C. 2025 Forecast Sales'!L14</f>
        <v>10202.67844471914</v>
      </c>
      <c r="N14" s="228">
        <f>'[3]C. 2025 Forecast Sales'!M14</f>
        <v>9020.1150758860022</v>
      </c>
      <c r="O14" s="230">
        <f t="shared" ref="O14:O17" si="4">SUM(C14:N14)</f>
        <v>119233.76910634336</v>
      </c>
      <c r="P14" s="61">
        <f t="shared" si="1"/>
        <v>12</v>
      </c>
      <c r="T14" s="216"/>
      <c r="U14" s="84"/>
    </row>
    <row r="15" spans="1:21" x14ac:dyDescent="0.3">
      <c r="A15" s="11">
        <f t="shared" si="2"/>
        <v>13</v>
      </c>
      <c r="B15" s="236" t="s">
        <v>393</v>
      </c>
      <c r="C15" s="228">
        <f>'[3]C. 2025 Forecast Sales'!B15</f>
        <v>16898.596174145365</v>
      </c>
      <c r="D15" s="228">
        <f>'[3]C. 2025 Forecast Sales'!C15</f>
        <v>18281.425836751401</v>
      </c>
      <c r="E15" s="228">
        <f>'[3]C. 2025 Forecast Sales'!D15</f>
        <v>16418.928256802759</v>
      </c>
      <c r="F15" s="228">
        <f>'[3]C. 2025 Forecast Sales'!E15</f>
        <v>17288.752517243203</v>
      </c>
      <c r="G15" s="228">
        <f>'[3]C. 2025 Forecast Sales'!F15</f>
        <v>20061.665198170915</v>
      </c>
      <c r="H15" s="228">
        <f>'[3]C. 2025 Forecast Sales'!G15</f>
        <v>20603.202325132836</v>
      </c>
      <c r="I15" s="228">
        <f>'[3]C. 2025 Forecast Sales'!H15</f>
        <v>23004.135715861754</v>
      </c>
      <c r="J15" s="228">
        <f>'[3]C. 2025 Forecast Sales'!I15</f>
        <v>22863.150521633885</v>
      </c>
      <c r="K15" s="228">
        <f>'[3]C. 2025 Forecast Sales'!J15</f>
        <v>21957.609857486786</v>
      </c>
      <c r="L15" s="228">
        <f>'[3]C. 2025 Forecast Sales'!K15</f>
        <v>21563.167661901116</v>
      </c>
      <c r="M15" s="228">
        <f>'[3]C. 2025 Forecast Sales'!L15</f>
        <v>18985.959067639022</v>
      </c>
      <c r="N15" s="228">
        <f>'[3]C. 2025 Forecast Sales'!M15</f>
        <v>18145.45705354834</v>
      </c>
      <c r="O15" s="230">
        <f t="shared" si="4"/>
        <v>236072.05018631738</v>
      </c>
      <c r="P15" s="61">
        <f t="shared" si="1"/>
        <v>13</v>
      </c>
      <c r="T15" s="216"/>
    </row>
    <row r="16" spans="1:21" x14ac:dyDescent="0.3">
      <c r="A16" s="11">
        <f t="shared" si="2"/>
        <v>14</v>
      </c>
      <c r="B16" s="236" t="s">
        <v>394</v>
      </c>
      <c r="C16" s="228">
        <f>'[3]C. 2025 Forecast Sales'!B16</f>
        <v>6804.6811748855589</v>
      </c>
      <c r="D16" s="228">
        <f>'[3]C. 2025 Forecast Sales'!C16</f>
        <v>6756.0073419802684</v>
      </c>
      <c r="E16" s="228">
        <f>'[3]C. 2025 Forecast Sales'!D16</f>
        <v>6619.3878228434014</v>
      </c>
      <c r="F16" s="228">
        <f>'[3]C. 2025 Forecast Sales'!E16</f>
        <v>6515.4914020588558</v>
      </c>
      <c r="G16" s="228">
        <f>'[3]C. 2025 Forecast Sales'!F16</f>
        <v>6463.0291984564483</v>
      </c>
      <c r="H16" s="228">
        <f>'[3]C. 2025 Forecast Sales'!G16</f>
        <v>6515.9257018801036</v>
      </c>
      <c r="I16" s="228">
        <f>'[3]C. 2025 Forecast Sales'!H16</f>
        <v>6492.050284871927</v>
      </c>
      <c r="J16" s="228">
        <f>'[3]C. 2025 Forecast Sales'!I16</f>
        <v>6710.6086798682181</v>
      </c>
      <c r="K16" s="228">
        <f>'[3]C. 2025 Forecast Sales'!J16</f>
        <v>6515.1940268120952</v>
      </c>
      <c r="L16" s="228">
        <f>'[3]C. 2025 Forecast Sales'!K16</f>
        <v>6563.3223021757885</v>
      </c>
      <c r="M16" s="228">
        <f>'[3]C. 2025 Forecast Sales'!L16</f>
        <v>6961.9599399219014</v>
      </c>
      <c r="N16" s="228">
        <f>'[3]C. 2025 Forecast Sales'!M16</f>
        <v>7325.9188255832669</v>
      </c>
      <c r="O16" s="230">
        <f t="shared" si="4"/>
        <v>80243.576701337835</v>
      </c>
      <c r="P16" s="61">
        <f t="shared" si="1"/>
        <v>14</v>
      </c>
      <c r="T16" s="216"/>
    </row>
    <row r="17" spans="1:23" ht="20.25" x14ac:dyDescent="0.4">
      <c r="A17" s="11">
        <f t="shared" si="2"/>
        <v>15</v>
      </c>
      <c r="B17" s="292" t="s">
        <v>375</v>
      </c>
      <c r="C17" s="420">
        <f>'[3]C. 2025 Forecast Sales'!B17</f>
        <v>7.5635555555555554</v>
      </c>
      <c r="D17" s="420">
        <f>'[3]C. 2025 Forecast Sales'!C17</f>
        <v>7.5635555555555554</v>
      </c>
      <c r="E17" s="420">
        <f>'[3]C. 2025 Forecast Sales'!D17</f>
        <v>7.5635555555555554</v>
      </c>
      <c r="F17" s="420">
        <f>'[3]C. 2025 Forecast Sales'!E17</f>
        <v>7.5635555555555554</v>
      </c>
      <c r="G17" s="420">
        <f>'[3]C. 2025 Forecast Sales'!F17</f>
        <v>7.5635555555555554</v>
      </c>
      <c r="H17" s="420">
        <f>'[3]C. 2025 Forecast Sales'!G17</f>
        <v>7.5635555555555554</v>
      </c>
      <c r="I17" s="420">
        <f>'[3]C. 2025 Forecast Sales'!H17</f>
        <v>7.5635555555555554</v>
      </c>
      <c r="J17" s="420">
        <f>'[3]C. 2025 Forecast Sales'!I17</f>
        <v>7.5635555555555554</v>
      </c>
      <c r="K17" s="420">
        <f>'[3]C. 2025 Forecast Sales'!J17</f>
        <v>7.5635555555555554</v>
      </c>
      <c r="L17" s="420">
        <f>'[3]C. 2025 Forecast Sales'!K17</f>
        <v>7.5635555555555554</v>
      </c>
      <c r="M17" s="420">
        <f>'[3]C. 2025 Forecast Sales'!L17</f>
        <v>7.5635555555555554</v>
      </c>
      <c r="N17" s="420">
        <f>'[3]C. 2025 Forecast Sales'!M17</f>
        <v>7.5635555555555554</v>
      </c>
      <c r="O17" s="231">
        <f t="shared" si="4"/>
        <v>90.762666666666647</v>
      </c>
      <c r="P17" s="61">
        <f t="shared" si="1"/>
        <v>15</v>
      </c>
      <c r="T17" s="216"/>
    </row>
    <row r="18" spans="1:23" x14ac:dyDescent="0.3">
      <c r="A18" s="11">
        <f t="shared" si="2"/>
        <v>16</v>
      </c>
      <c r="B18" s="293" t="s">
        <v>395</v>
      </c>
      <c r="C18" s="228">
        <f>'[3]C. 2025 Forecast Sales'!B18</f>
        <v>1609288.6724021505</v>
      </c>
      <c r="D18" s="228">
        <f>'[3]C. 2025 Forecast Sales'!C18</f>
        <v>1450026.4101676429</v>
      </c>
      <c r="E18" s="228">
        <f>'[3]C. 2025 Forecast Sales'!D18</f>
        <v>1390115.1840896388</v>
      </c>
      <c r="F18" s="228">
        <f>'[3]C. 2025 Forecast Sales'!E18</f>
        <v>1302461.6962345045</v>
      </c>
      <c r="G18" s="228">
        <f>'[3]C. 2025 Forecast Sales'!F18</f>
        <v>1289860.6600520639</v>
      </c>
      <c r="H18" s="228">
        <f>'[3]C. 2025 Forecast Sales'!G18</f>
        <v>1362578.5978275007</v>
      </c>
      <c r="I18" s="228">
        <f>'[3]C. 2025 Forecast Sales'!H18</f>
        <v>1556907.0393305365</v>
      </c>
      <c r="J18" s="228">
        <f>'[3]C. 2025 Forecast Sales'!I18</f>
        <v>1780542.2398872043</v>
      </c>
      <c r="K18" s="228">
        <f>'[3]C. 2025 Forecast Sales'!J18</f>
        <v>1929356.6254424346</v>
      </c>
      <c r="L18" s="228">
        <f>'[3]C. 2025 Forecast Sales'!K18</f>
        <v>1618282.1571111458</v>
      </c>
      <c r="M18" s="228">
        <f>'[3]C. 2025 Forecast Sales'!L18</f>
        <v>1443071.2743024742</v>
      </c>
      <c r="N18" s="228">
        <f>'[3]C. 2025 Forecast Sales'!M18</f>
        <v>1558045.8588045561</v>
      </c>
      <c r="O18" s="232">
        <f t="shared" ref="O18" si="5">SUM(O8:O17)</f>
        <v>18290536.415651854</v>
      </c>
      <c r="P18" s="61">
        <f t="shared" si="1"/>
        <v>16</v>
      </c>
      <c r="U18" s="216"/>
    </row>
    <row r="19" spans="1:23" x14ac:dyDescent="0.3">
      <c r="A19" s="11">
        <f t="shared" si="2"/>
        <v>17</v>
      </c>
      <c r="E19" s="84"/>
      <c r="F19" s="290"/>
      <c r="G19" s="290"/>
      <c r="H19" s="290"/>
      <c r="K19" s="84"/>
      <c r="L19" s="84"/>
      <c r="M19" s="84"/>
      <c r="N19" s="84"/>
      <c r="O19" s="132"/>
      <c r="P19" s="61">
        <f t="shared" si="1"/>
        <v>17</v>
      </c>
      <c r="U19" s="324"/>
    </row>
    <row r="20" spans="1:23" x14ac:dyDescent="0.3">
      <c r="A20" s="11">
        <f t="shared" si="2"/>
        <v>18</v>
      </c>
      <c r="B20" s="326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227"/>
      <c r="P20" s="61">
        <f t="shared" si="1"/>
        <v>18</v>
      </c>
    </row>
    <row r="21" spans="1:23" x14ac:dyDescent="0.3">
      <c r="A21" s="11">
        <f t="shared" si="2"/>
        <v>19</v>
      </c>
      <c r="B21" s="329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9"/>
      <c r="P21" s="61">
        <f t="shared" si="1"/>
        <v>19</v>
      </c>
    </row>
    <row r="22" spans="1:23" x14ac:dyDescent="0.3">
      <c r="A22" s="11">
        <f t="shared" si="2"/>
        <v>20</v>
      </c>
      <c r="B22" s="239" t="s">
        <v>396</v>
      </c>
      <c r="G22" s="87"/>
      <c r="H22" s="87"/>
      <c r="O22" s="127"/>
      <c r="P22" s="61">
        <f t="shared" si="1"/>
        <v>20</v>
      </c>
    </row>
    <row r="23" spans="1:23" x14ac:dyDescent="0.3">
      <c r="A23" s="11">
        <f t="shared" si="2"/>
        <v>21</v>
      </c>
      <c r="B23" s="239" t="s">
        <v>397</v>
      </c>
      <c r="G23" s="87"/>
      <c r="H23" s="87"/>
      <c r="O23" s="127"/>
      <c r="P23" s="61">
        <f t="shared" si="1"/>
        <v>21</v>
      </c>
    </row>
    <row r="24" spans="1:23" x14ac:dyDescent="0.3">
      <c r="A24" s="11">
        <f t="shared" si="2"/>
        <v>22</v>
      </c>
      <c r="B24" s="239" t="s">
        <v>364</v>
      </c>
      <c r="O24" s="127"/>
      <c r="P24" s="61">
        <f t="shared" si="1"/>
        <v>22</v>
      </c>
    </row>
    <row r="25" spans="1:23" x14ac:dyDescent="0.3">
      <c r="A25" s="11">
        <f t="shared" si="2"/>
        <v>23</v>
      </c>
      <c r="O25" s="127"/>
      <c r="P25" s="61">
        <f t="shared" si="1"/>
        <v>23</v>
      </c>
      <c r="W25" s="325"/>
    </row>
    <row r="26" spans="1:23" x14ac:dyDescent="0.3">
      <c r="A26" s="11">
        <f t="shared" si="2"/>
        <v>24</v>
      </c>
      <c r="B26" s="239" t="s">
        <v>398</v>
      </c>
      <c r="C26" s="226">
        <f>C7</f>
        <v>45658</v>
      </c>
      <c r="D26" s="226">
        <f>D7</f>
        <v>45689</v>
      </c>
      <c r="E26" s="226">
        <f t="shared" ref="E26:N26" si="6">E7</f>
        <v>45717</v>
      </c>
      <c r="F26" s="226">
        <f t="shared" si="6"/>
        <v>45748</v>
      </c>
      <c r="G26" s="226">
        <f t="shared" si="6"/>
        <v>45778</v>
      </c>
      <c r="H26" s="226">
        <f t="shared" si="6"/>
        <v>45809</v>
      </c>
      <c r="I26" s="226">
        <f t="shared" si="6"/>
        <v>45839</v>
      </c>
      <c r="J26" s="226">
        <f t="shared" si="6"/>
        <v>45870</v>
      </c>
      <c r="K26" s="226">
        <f t="shared" si="6"/>
        <v>45901</v>
      </c>
      <c r="L26" s="226">
        <f t="shared" si="6"/>
        <v>45931</v>
      </c>
      <c r="M26" s="226">
        <f t="shared" si="6"/>
        <v>45962</v>
      </c>
      <c r="N26" s="226">
        <f t="shared" si="6"/>
        <v>45992</v>
      </c>
      <c r="O26" s="169" t="s">
        <v>61</v>
      </c>
      <c r="P26" s="61">
        <f t="shared" si="1"/>
        <v>24</v>
      </c>
    </row>
    <row r="27" spans="1:23" x14ac:dyDescent="0.3">
      <c r="A27" s="11">
        <f t="shared" si="2"/>
        <v>25</v>
      </c>
      <c r="B27" s="235" t="s">
        <v>399</v>
      </c>
      <c r="C27" s="228">
        <f>C10</f>
        <v>0</v>
      </c>
      <c r="D27" s="228">
        <f t="shared" ref="D27:N27" si="7">D10</f>
        <v>0</v>
      </c>
      <c r="E27" s="228">
        <f t="shared" si="7"/>
        <v>0</v>
      </c>
      <c r="F27" s="228">
        <f t="shared" si="7"/>
        <v>0</v>
      </c>
      <c r="G27" s="228">
        <f t="shared" si="7"/>
        <v>0</v>
      </c>
      <c r="H27" s="228">
        <f t="shared" si="7"/>
        <v>0</v>
      </c>
      <c r="I27" s="228">
        <f t="shared" si="7"/>
        <v>0</v>
      </c>
      <c r="J27" s="228">
        <f t="shared" si="7"/>
        <v>0</v>
      </c>
      <c r="K27" s="228">
        <f t="shared" si="7"/>
        <v>0</v>
      </c>
      <c r="L27" s="228">
        <f t="shared" si="7"/>
        <v>0</v>
      </c>
      <c r="M27" s="228">
        <f t="shared" si="7"/>
        <v>0</v>
      </c>
      <c r="N27" s="228">
        <f t="shared" si="7"/>
        <v>0</v>
      </c>
      <c r="O27" s="230">
        <f>SUM(C27:N27)</f>
        <v>0</v>
      </c>
      <c r="P27" s="61">
        <f t="shared" si="1"/>
        <v>25</v>
      </c>
    </row>
    <row r="28" spans="1:23" x14ac:dyDescent="0.3">
      <c r="A28" s="11">
        <f t="shared" si="2"/>
        <v>26</v>
      </c>
      <c r="B28" s="236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2"/>
      <c r="P28" s="61">
        <f t="shared" si="1"/>
        <v>26</v>
      </c>
    </row>
    <row r="29" spans="1:23" x14ac:dyDescent="0.3">
      <c r="A29" s="11">
        <f t="shared" si="2"/>
        <v>27</v>
      </c>
      <c r="B29" s="235" t="s">
        <v>400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2"/>
      <c r="P29" s="61">
        <f t="shared" si="1"/>
        <v>27</v>
      </c>
    </row>
    <row r="30" spans="1:23" x14ac:dyDescent="0.3">
      <c r="A30" s="11">
        <f t="shared" si="2"/>
        <v>28</v>
      </c>
      <c r="B30" s="237" t="s">
        <v>401</v>
      </c>
      <c r="C30" s="160">
        <f>'[3]C. 2025 Forecast Sales'!B38</f>
        <v>0</v>
      </c>
      <c r="D30" s="160">
        <f>'[3]C. 2025 Forecast Sales'!C38</f>
        <v>0</v>
      </c>
      <c r="E30" s="160">
        <f>'[3]C. 2025 Forecast Sales'!D38</f>
        <v>0</v>
      </c>
      <c r="F30" s="160">
        <f>'[3]C. 2025 Forecast Sales'!E38</f>
        <v>0</v>
      </c>
      <c r="G30" s="160">
        <f>'[3]C. 2025 Forecast Sales'!F38</f>
        <v>0</v>
      </c>
      <c r="H30" s="160">
        <f>'[3]C. 2025 Forecast Sales'!G38</f>
        <v>0</v>
      </c>
      <c r="I30" s="160">
        <f>'[3]C. 2025 Forecast Sales'!H38</f>
        <v>0</v>
      </c>
      <c r="J30" s="160">
        <f>'[3]C. 2025 Forecast Sales'!I38</f>
        <v>0</v>
      </c>
      <c r="K30" s="160">
        <f>'[3]C. 2025 Forecast Sales'!J38</f>
        <v>0</v>
      </c>
      <c r="L30" s="160">
        <f>'[3]C. 2025 Forecast Sales'!K38</f>
        <v>0</v>
      </c>
      <c r="M30" s="160">
        <f>'[3]C. 2025 Forecast Sales'!L38</f>
        <v>0</v>
      </c>
      <c r="N30" s="160">
        <f>'[3]C. 2025 Forecast Sales'!M38</f>
        <v>0</v>
      </c>
      <c r="O30" s="230">
        <f>IFERROR(O35/$O$27,0)</f>
        <v>0</v>
      </c>
      <c r="P30" s="61">
        <f t="shared" si="1"/>
        <v>28</v>
      </c>
    </row>
    <row r="31" spans="1:23" x14ac:dyDescent="0.3">
      <c r="A31" s="11">
        <f t="shared" si="2"/>
        <v>29</v>
      </c>
      <c r="B31" s="237" t="s">
        <v>402</v>
      </c>
      <c r="C31" s="160">
        <f>'[3]C. 2025 Forecast Sales'!B39</f>
        <v>0</v>
      </c>
      <c r="D31" s="160">
        <f>'[3]C. 2025 Forecast Sales'!C39</f>
        <v>0</v>
      </c>
      <c r="E31" s="160">
        <f>'[3]C. 2025 Forecast Sales'!D39</f>
        <v>0</v>
      </c>
      <c r="F31" s="160">
        <f>'[3]C. 2025 Forecast Sales'!E39</f>
        <v>0</v>
      </c>
      <c r="G31" s="160">
        <f>'[3]C. 2025 Forecast Sales'!F39</f>
        <v>0</v>
      </c>
      <c r="H31" s="160">
        <f>'[3]C. 2025 Forecast Sales'!G39</f>
        <v>0</v>
      </c>
      <c r="I31" s="160">
        <f>'[3]C. 2025 Forecast Sales'!H39</f>
        <v>0</v>
      </c>
      <c r="J31" s="160">
        <f>'[3]C. 2025 Forecast Sales'!I39</f>
        <v>0</v>
      </c>
      <c r="K31" s="160">
        <f>'[3]C. 2025 Forecast Sales'!J39</f>
        <v>0</v>
      </c>
      <c r="L31" s="160">
        <f>'[3]C. 2025 Forecast Sales'!K39</f>
        <v>0</v>
      </c>
      <c r="M31" s="160">
        <f>'[3]C. 2025 Forecast Sales'!L39</f>
        <v>0</v>
      </c>
      <c r="N31" s="160">
        <f>'[3]C. 2025 Forecast Sales'!M39</f>
        <v>0</v>
      </c>
      <c r="O31" s="230">
        <f>IFERROR(O36/$O$27,0)</f>
        <v>0</v>
      </c>
      <c r="P31" s="61">
        <f t="shared" si="1"/>
        <v>29</v>
      </c>
    </row>
    <row r="32" spans="1:23" x14ac:dyDescent="0.3">
      <c r="A32" s="11">
        <f t="shared" si="2"/>
        <v>30</v>
      </c>
      <c r="B32" s="237" t="s">
        <v>403</v>
      </c>
      <c r="C32" s="160">
        <f>'[3]C. 2025 Forecast Sales'!B40</f>
        <v>0</v>
      </c>
      <c r="D32" s="160">
        <f>'[3]C. 2025 Forecast Sales'!C40</f>
        <v>0</v>
      </c>
      <c r="E32" s="160">
        <f>'[3]C. 2025 Forecast Sales'!D40</f>
        <v>0</v>
      </c>
      <c r="F32" s="160">
        <f>'[3]C. 2025 Forecast Sales'!E40</f>
        <v>0</v>
      </c>
      <c r="G32" s="160">
        <f>'[3]C. 2025 Forecast Sales'!F40</f>
        <v>0</v>
      </c>
      <c r="H32" s="160">
        <f>'[3]C. 2025 Forecast Sales'!G40</f>
        <v>0</v>
      </c>
      <c r="I32" s="160">
        <f>'[3]C. 2025 Forecast Sales'!H40</f>
        <v>0</v>
      </c>
      <c r="J32" s="160">
        <f>'[3]C. 2025 Forecast Sales'!I40</f>
        <v>0</v>
      </c>
      <c r="K32" s="160">
        <f>'[3]C. 2025 Forecast Sales'!J40</f>
        <v>0</v>
      </c>
      <c r="L32" s="160">
        <f>'[3]C. 2025 Forecast Sales'!K40</f>
        <v>0</v>
      </c>
      <c r="M32" s="160">
        <f>'[3]C. 2025 Forecast Sales'!L40</f>
        <v>0</v>
      </c>
      <c r="N32" s="160">
        <f>'[3]C. 2025 Forecast Sales'!M40</f>
        <v>0</v>
      </c>
      <c r="O32" s="230">
        <f>IFERROR(O37/$O$27,0)</f>
        <v>0</v>
      </c>
      <c r="P32" s="61">
        <f t="shared" si="1"/>
        <v>30</v>
      </c>
    </row>
    <row r="33" spans="1:16" x14ac:dyDescent="0.3">
      <c r="A33" s="11">
        <f t="shared" si="2"/>
        <v>31</v>
      </c>
      <c r="C33" s="160">
        <f>'[3]C. 2025 Forecast Sales'!B41</f>
        <v>0</v>
      </c>
      <c r="D33" s="160">
        <f>'[3]C. 2025 Forecast Sales'!C41</f>
        <v>0</v>
      </c>
      <c r="E33" s="160">
        <f>'[3]C. 2025 Forecast Sales'!D41</f>
        <v>0</v>
      </c>
      <c r="F33" s="160">
        <f>'[3]C. 2025 Forecast Sales'!E41</f>
        <v>0</v>
      </c>
      <c r="G33" s="160">
        <f>'[3]C. 2025 Forecast Sales'!F41</f>
        <v>0</v>
      </c>
      <c r="H33" s="160">
        <f>'[3]C. 2025 Forecast Sales'!G41</f>
        <v>0</v>
      </c>
      <c r="I33" s="160">
        <f>'[3]C. 2025 Forecast Sales'!H41</f>
        <v>0</v>
      </c>
      <c r="J33" s="160">
        <f>'[3]C. 2025 Forecast Sales'!I41</f>
        <v>0</v>
      </c>
      <c r="K33" s="160">
        <f>'[3]C. 2025 Forecast Sales'!J41</f>
        <v>0</v>
      </c>
      <c r="L33" s="160">
        <f>'[3]C. 2025 Forecast Sales'!K41</f>
        <v>0</v>
      </c>
      <c r="M33" s="160">
        <f>'[3]C. 2025 Forecast Sales'!L41</f>
        <v>0</v>
      </c>
      <c r="N33" s="160">
        <f>'[3]C. 2025 Forecast Sales'!M41</f>
        <v>0</v>
      </c>
      <c r="O33" s="230">
        <f>SUM(O30:O32)</f>
        <v>0</v>
      </c>
      <c r="P33" s="61">
        <f t="shared" si="1"/>
        <v>31</v>
      </c>
    </row>
    <row r="34" spans="1:16" x14ac:dyDescent="0.3">
      <c r="A34" s="11">
        <f t="shared" si="2"/>
        <v>32</v>
      </c>
      <c r="B34" s="235" t="s">
        <v>399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172"/>
      <c r="P34" s="61">
        <f t="shared" si="1"/>
        <v>32</v>
      </c>
    </row>
    <row r="35" spans="1:16" x14ac:dyDescent="0.3">
      <c r="A35" s="11">
        <f t="shared" si="2"/>
        <v>33</v>
      </c>
      <c r="B35" s="127" t="s">
        <v>404</v>
      </c>
      <c r="C35" s="84">
        <f>C27*C30</f>
        <v>0</v>
      </c>
      <c r="D35" s="84">
        <f>D27*D30</f>
        <v>0</v>
      </c>
      <c r="E35" s="84">
        <f t="shared" ref="E35:N35" si="8">E27*E30</f>
        <v>0</v>
      </c>
      <c r="F35" s="84">
        <f t="shared" si="8"/>
        <v>0</v>
      </c>
      <c r="G35" s="84">
        <f t="shared" si="8"/>
        <v>0</v>
      </c>
      <c r="H35" s="84">
        <f t="shared" si="8"/>
        <v>0</v>
      </c>
      <c r="I35" s="84">
        <f t="shared" si="8"/>
        <v>0</v>
      </c>
      <c r="J35" s="84">
        <f t="shared" si="8"/>
        <v>0</v>
      </c>
      <c r="K35" s="84">
        <f t="shared" si="8"/>
        <v>0</v>
      </c>
      <c r="L35" s="84">
        <f t="shared" si="8"/>
        <v>0</v>
      </c>
      <c r="M35" s="84">
        <f t="shared" si="8"/>
        <v>0</v>
      </c>
      <c r="N35" s="84">
        <f t="shared" si="8"/>
        <v>0</v>
      </c>
      <c r="O35" s="128">
        <f>SUM(C35:N35)</f>
        <v>0</v>
      </c>
      <c r="P35" s="61">
        <f t="shared" si="1"/>
        <v>33</v>
      </c>
    </row>
    <row r="36" spans="1:16" x14ac:dyDescent="0.3">
      <c r="A36" s="11">
        <f t="shared" si="2"/>
        <v>34</v>
      </c>
      <c r="B36" s="127" t="s">
        <v>405</v>
      </c>
      <c r="C36" s="84">
        <f>C27*C31</f>
        <v>0</v>
      </c>
      <c r="D36" s="84">
        <f>D27*D31</f>
        <v>0</v>
      </c>
      <c r="E36" s="84">
        <f t="shared" ref="E36:N36" si="9">E27*E31</f>
        <v>0</v>
      </c>
      <c r="F36" s="84">
        <f t="shared" si="9"/>
        <v>0</v>
      </c>
      <c r="G36" s="84">
        <f t="shared" si="9"/>
        <v>0</v>
      </c>
      <c r="H36" s="84">
        <f t="shared" si="9"/>
        <v>0</v>
      </c>
      <c r="I36" s="84">
        <f t="shared" si="9"/>
        <v>0</v>
      </c>
      <c r="J36" s="84">
        <f t="shared" si="9"/>
        <v>0</v>
      </c>
      <c r="K36" s="84">
        <f t="shared" si="9"/>
        <v>0</v>
      </c>
      <c r="L36" s="84">
        <f t="shared" si="9"/>
        <v>0</v>
      </c>
      <c r="M36" s="84">
        <f t="shared" si="9"/>
        <v>0</v>
      </c>
      <c r="N36" s="84">
        <f t="shared" si="9"/>
        <v>0</v>
      </c>
      <c r="O36" s="128">
        <f>SUM(C36:N36)</f>
        <v>0</v>
      </c>
      <c r="P36" s="61">
        <f t="shared" si="1"/>
        <v>34</v>
      </c>
    </row>
    <row r="37" spans="1:16" x14ac:dyDescent="0.3">
      <c r="A37" s="11">
        <f t="shared" si="2"/>
        <v>35</v>
      </c>
      <c r="B37" s="127" t="s">
        <v>406</v>
      </c>
      <c r="C37" s="85">
        <f>C27*C32</f>
        <v>0</v>
      </c>
      <c r="D37" s="85">
        <f>D27*D32</f>
        <v>0</v>
      </c>
      <c r="E37" s="85">
        <f t="shared" ref="E37:N37" si="10">E27*E32</f>
        <v>0</v>
      </c>
      <c r="F37" s="85">
        <f t="shared" si="10"/>
        <v>0</v>
      </c>
      <c r="G37" s="85">
        <f t="shared" si="10"/>
        <v>0</v>
      </c>
      <c r="H37" s="85">
        <f t="shared" si="10"/>
        <v>0</v>
      </c>
      <c r="I37" s="85">
        <f t="shared" si="10"/>
        <v>0</v>
      </c>
      <c r="J37" s="85">
        <f t="shared" si="10"/>
        <v>0</v>
      </c>
      <c r="K37" s="85">
        <f t="shared" si="10"/>
        <v>0</v>
      </c>
      <c r="L37" s="85">
        <f t="shared" si="10"/>
        <v>0</v>
      </c>
      <c r="M37" s="85">
        <f t="shared" si="10"/>
        <v>0</v>
      </c>
      <c r="N37" s="85">
        <f t="shared" si="10"/>
        <v>0</v>
      </c>
      <c r="O37" s="131">
        <f>SUM(C37:N37)</f>
        <v>0</v>
      </c>
      <c r="P37" s="61">
        <f t="shared" si="1"/>
        <v>35</v>
      </c>
    </row>
    <row r="38" spans="1:16" x14ac:dyDescent="0.3">
      <c r="A38" s="11">
        <f t="shared" si="2"/>
        <v>36</v>
      </c>
      <c r="C38" s="84">
        <f>SUM(C35:C37)</f>
        <v>0</v>
      </c>
      <c r="D38" s="84">
        <f>SUM(D35:D37)</f>
        <v>0</v>
      </c>
      <c r="E38" s="84">
        <f t="shared" ref="E38:N38" si="11">SUM(E35:E37)</f>
        <v>0</v>
      </c>
      <c r="F38" s="84">
        <f t="shared" si="11"/>
        <v>0</v>
      </c>
      <c r="G38" s="84">
        <f t="shared" si="11"/>
        <v>0</v>
      </c>
      <c r="H38" s="84">
        <f t="shared" si="11"/>
        <v>0</v>
      </c>
      <c r="I38" s="84">
        <f t="shared" si="11"/>
        <v>0</v>
      </c>
      <c r="J38" s="84">
        <f t="shared" si="11"/>
        <v>0</v>
      </c>
      <c r="K38" s="84">
        <f t="shared" si="11"/>
        <v>0</v>
      </c>
      <c r="L38" s="84">
        <f t="shared" si="11"/>
        <v>0</v>
      </c>
      <c r="M38" s="84">
        <f t="shared" si="11"/>
        <v>0</v>
      </c>
      <c r="N38" s="84">
        <f t="shared" si="11"/>
        <v>0</v>
      </c>
      <c r="O38" s="132">
        <f>SUM(O35:O37)</f>
        <v>0</v>
      </c>
      <c r="P38" s="61">
        <f t="shared" si="1"/>
        <v>36</v>
      </c>
    </row>
    <row r="39" spans="1:16" x14ac:dyDescent="0.3">
      <c r="A39" s="11">
        <f t="shared" si="2"/>
        <v>37</v>
      </c>
      <c r="B39" s="235" t="s">
        <v>407</v>
      </c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172"/>
      <c r="P39" s="61">
        <f t="shared" si="1"/>
        <v>37</v>
      </c>
    </row>
    <row r="40" spans="1:16" x14ac:dyDescent="0.3">
      <c r="A40" s="11">
        <f t="shared" si="2"/>
        <v>38</v>
      </c>
      <c r="B40" s="237" t="s">
        <v>401</v>
      </c>
      <c r="C40" s="385">
        <f>'[3]C. 2025 Forecast Sales'!B48</f>
        <v>0</v>
      </c>
      <c r="D40" s="385">
        <f>'[3]C. 2025 Forecast Sales'!C48</f>
        <v>0</v>
      </c>
      <c r="E40" s="385">
        <f>'[3]C. 2025 Forecast Sales'!D48</f>
        <v>0</v>
      </c>
      <c r="F40" s="385">
        <f>'[3]C. 2025 Forecast Sales'!E48</f>
        <v>0</v>
      </c>
      <c r="G40" s="385">
        <f>'[3]C. 2025 Forecast Sales'!F48</f>
        <v>0</v>
      </c>
      <c r="H40" s="385">
        <f>'[3]C. 2025 Forecast Sales'!G48</f>
        <v>0</v>
      </c>
      <c r="I40" s="385">
        <f>'[3]C. 2025 Forecast Sales'!H48</f>
        <v>0</v>
      </c>
      <c r="J40" s="385">
        <f>'[3]C. 2025 Forecast Sales'!I48</f>
        <v>0</v>
      </c>
      <c r="K40" s="385">
        <f>'[3]C. 2025 Forecast Sales'!J48</f>
        <v>0</v>
      </c>
      <c r="L40" s="385">
        <f>'[3]C. 2025 Forecast Sales'!K48</f>
        <v>0</v>
      </c>
      <c r="M40" s="385">
        <f>'[3]C. 2025 Forecast Sales'!L48</f>
        <v>0</v>
      </c>
      <c r="N40" s="385">
        <f>'[3]C. 2025 Forecast Sales'!M48</f>
        <v>0</v>
      </c>
      <c r="O40" s="163">
        <f>IFERROR(O45/O35,0)</f>
        <v>0</v>
      </c>
      <c r="P40" s="61">
        <f t="shared" si="1"/>
        <v>38</v>
      </c>
    </row>
    <row r="41" spans="1:16" x14ac:dyDescent="0.3">
      <c r="A41" s="11">
        <f t="shared" si="2"/>
        <v>39</v>
      </c>
      <c r="B41" s="237" t="s">
        <v>402</v>
      </c>
      <c r="C41" s="385">
        <f>'[3]C. 2025 Forecast Sales'!B49</f>
        <v>0</v>
      </c>
      <c r="D41" s="385">
        <f>'[3]C. 2025 Forecast Sales'!C49</f>
        <v>0</v>
      </c>
      <c r="E41" s="385">
        <f>'[3]C. 2025 Forecast Sales'!D49</f>
        <v>0</v>
      </c>
      <c r="F41" s="385">
        <f>'[3]C. 2025 Forecast Sales'!E49</f>
        <v>0</v>
      </c>
      <c r="G41" s="385">
        <f>'[3]C. 2025 Forecast Sales'!F49</f>
        <v>0</v>
      </c>
      <c r="H41" s="385">
        <f>'[3]C. 2025 Forecast Sales'!G49</f>
        <v>0</v>
      </c>
      <c r="I41" s="385">
        <f>'[3]C. 2025 Forecast Sales'!H49</f>
        <v>0</v>
      </c>
      <c r="J41" s="385">
        <f>'[3]C. 2025 Forecast Sales'!I49</f>
        <v>0</v>
      </c>
      <c r="K41" s="385">
        <f>'[3]C. 2025 Forecast Sales'!J49</f>
        <v>0</v>
      </c>
      <c r="L41" s="385">
        <f>'[3]C. 2025 Forecast Sales'!K49</f>
        <v>0</v>
      </c>
      <c r="M41" s="385">
        <f>'[3]C. 2025 Forecast Sales'!L49</f>
        <v>0</v>
      </c>
      <c r="N41" s="385">
        <f>'[3]C. 2025 Forecast Sales'!M49</f>
        <v>0</v>
      </c>
      <c r="O41" s="249">
        <f>IFERROR(O46/O36,0)</f>
        <v>0</v>
      </c>
      <c r="P41" s="61">
        <f t="shared" si="1"/>
        <v>39</v>
      </c>
    </row>
    <row r="42" spans="1:16" x14ac:dyDescent="0.3">
      <c r="A42" s="11">
        <f t="shared" si="2"/>
        <v>40</v>
      </c>
      <c r="B42" s="237" t="s">
        <v>403</v>
      </c>
      <c r="C42" s="385">
        <f>'[3]C. 2025 Forecast Sales'!B50</f>
        <v>0</v>
      </c>
      <c r="D42" s="385">
        <f>'[3]C. 2025 Forecast Sales'!C50</f>
        <v>0</v>
      </c>
      <c r="E42" s="385">
        <f>'[3]C. 2025 Forecast Sales'!D50</f>
        <v>0</v>
      </c>
      <c r="F42" s="385">
        <f>'[3]C. 2025 Forecast Sales'!E50</f>
        <v>0</v>
      </c>
      <c r="G42" s="385">
        <f>'[3]C. 2025 Forecast Sales'!F50</f>
        <v>0</v>
      </c>
      <c r="H42" s="385">
        <f>'[3]C. 2025 Forecast Sales'!G50</f>
        <v>0</v>
      </c>
      <c r="I42" s="385">
        <f>'[3]C. 2025 Forecast Sales'!H50</f>
        <v>0</v>
      </c>
      <c r="J42" s="385">
        <f>'[3]C. 2025 Forecast Sales'!I50</f>
        <v>0</v>
      </c>
      <c r="K42" s="385">
        <f>'[3]C. 2025 Forecast Sales'!J50</f>
        <v>0</v>
      </c>
      <c r="L42" s="385">
        <f>'[3]C. 2025 Forecast Sales'!K50</f>
        <v>0</v>
      </c>
      <c r="M42" s="385">
        <f>'[3]C. 2025 Forecast Sales'!L50</f>
        <v>0</v>
      </c>
      <c r="N42" s="385">
        <f>'[3]C. 2025 Forecast Sales'!M50</f>
        <v>0</v>
      </c>
      <c r="O42" s="163">
        <f>IFERROR(O47/O37,0)</f>
        <v>0</v>
      </c>
      <c r="P42" s="61">
        <f t="shared" si="1"/>
        <v>40</v>
      </c>
    </row>
    <row r="43" spans="1:16" x14ac:dyDescent="0.3">
      <c r="A43" s="11">
        <f t="shared" si="2"/>
        <v>41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172"/>
      <c r="P43" s="61">
        <f t="shared" si="1"/>
        <v>41</v>
      </c>
    </row>
    <row r="44" spans="1:16" x14ac:dyDescent="0.3">
      <c r="A44" s="11">
        <f t="shared" si="2"/>
        <v>42</v>
      </c>
      <c r="B44" s="235" t="s">
        <v>408</v>
      </c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172"/>
      <c r="P44" s="61">
        <f t="shared" si="1"/>
        <v>42</v>
      </c>
    </row>
    <row r="45" spans="1:16" x14ac:dyDescent="0.3">
      <c r="A45" s="11">
        <f t="shared" si="2"/>
        <v>43</v>
      </c>
      <c r="B45" s="127" t="s">
        <v>409</v>
      </c>
      <c r="C45" s="83">
        <f t="shared" ref="C45:N47" si="12">C35*C40</f>
        <v>0</v>
      </c>
      <c r="D45" s="83">
        <f t="shared" si="12"/>
        <v>0</v>
      </c>
      <c r="E45" s="83">
        <f t="shared" si="12"/>
        <v>0</v>
      </c>
      <c r="F45" s="83">
        <f t="shared" si="12"/>
        <v>0</v>
      </c>
      <c r="G45" s="83">
        <f t="shared" si="12"/>
        <v>0</v>
      </c>
      <c r="H45" s="83">
        <f t="shared" si="12"/>
        <v>0</v>
      </c>
      <c r="I45" s="83">
        <f t="shared" si="12"/>
        <v>0</v>
      </c>
      <c r="J45" s="83">
        <f t="shared" si="12"/>
        <v>0</v>
      </c>
      <c r="K45" s="83">
        <f t="shared" si="12"/>
        <v>0</v>
      </c>
      <c r="L45" s="83">
        <f t="shared" si="12"/>
        <v>0</v>
      </c>
      <c r="M45" s="83">
        <f t="shared" si="12"/>
        <v>0</v>
      </c>
      <c r="N45" s="83">
        <f t="shared" si="12"/>
        <v>0</v>
      </c>
      <c r="O45" s="135">
        <f>SUM(C45:N45)</f>
        <v>0</v>
      </c>
      <c r="P45" s="61">
        <f t="shared" si="1"/>
        <v>43</v>
      </c>
    </row>
    <row r="46" spans="1:16" x14ac:dyDescent="0.3">
      <c r="A46" s="11">
        <f t="shared" si="2"/>
        <v>44</v>
      </c>
      <c r="B46" s="127" t="s">
        <v>410</v>
      </c>
      <c r="C46" s="83">
        <f t="shared" si="12"/>
        <v>0</v>
      </c>
      <c r="D46" s="83">
        <f t="shared" si="12"/>
        <v>0</v>
      </c>
      <c r="E46" s="83">
        <f t="shared" si="12"/>
        <v>0</v>
      </c>
      <c r="F46" s="83">
        <f t="shared" si="12"/>
        <v>0</v>
      </c>
      <c r="G46" s="83">
        <f t="shared" si="12"/>
        <v>0</v>
      </c>
      <c r="H46" s="83">
        <f t="shared" si="12"/>
        <v>0</v>
      </c>
      <c r="I46" s="83">
        <f t="shared" si="12"/>
        <v>0</v>
      </c>
      <c r="J46" s="83">
        <f t="shared" si="12"/>
        <v>0</v>
      </c>
      <c r="K46" s="83">
        <f t="shared" si="12"/>
        <v>0</v>
      </c>
      <c r="L46" s="83">
        <f t="shared" si="12"/>
        <v>0</v>
      </c>
      <c r="M46" s="83">
        <f t="shared" si="12"/>
        <v>0</v>
      </c>
      <c r="N46" s="83">
        <f t="shared" si="12"/>
        <v>0</v>
      </c>
      <c r="O46" s="135">
        <f>SUM(C46:N46)</f>
        <v>0</v>
      </c>
      <c r="P46" s="61">
        <f t="shared" si="1"/>
        <v>44</v>
      </c>
    </row>
    <row r="47" spans="1:16" x14ac:dyDescent="0.3">
      <c r="A47" s="11">
        <f t="shared" si="2"/>
        <v>45</v>
      </c>
      <c r="B47" s="127" t="s">
        <v>411</v>
      </c>
      <c r="C47" s="86">
        <f t="shared" si="12"/>
        <v>0</v>
      </c>
      <c r="D47" s="86">
        <f t="shared" si="12"/>
        <v>0</v>
      </c>
      <c r="E47" s="86">
        <f t="shared" si="12"/>
        <v>0</v>
      </c>
      <c r="F47" s="86">
        <f t="shared" si="12"/>
        <v>0</v>
      </c>
      <c r="G47" s="86">
        <f t="shared" si="12"/>
        <v>0</v>
      </c>
      <c r="H47" s="86">
        <f t="shared" si="12"/>
        <v>0</v>
      </c>
      <c r="I47" s="86">
        <f t="shared" si="12"/>
        <v>0</v>
      </c>
      <c r="J47" s="86">
        <f t="shared" si="12"/>
        <v>0</v>
      </c>
      <c r="K47" s="86">
        <f t="shared" si="12"/>
        <v>0</v>
      </c>
      <c r="L47" s="86">
        <f t="shared" si="12"/>
        <v>0</v>
      </c>
      <c r="M47" s="86">
        <f t="shared" si="12"/>
        <v>0</v>
      </c>
      <c r="N47" s="86">
        <f t="shared" si="12"/>
        <v>0</v>
      </c>
      <c r="O47" s="136">
        <f>SUM(C47:N47)</f>
        <v>0</v>
      </c>
      <c r="P47" s="61">
        <f t="shared" si="1"/>
        <v>45</v>
      </c>
    </row>
    <row r="48" spans="1:16" x14ac:dyDescent="0.3">
      <c r="A48" s="11">
        <f t="shared" si="2"/>
        <v>46</v>
      </c>
      <c r="C48" s="83">
        <f>SUM(C45:C47)</f>
        <v>0</v>
      </c>
      <c r="D48" s="83">
        <f>SUM(D45:D47)</f>
        <v>0</v>
      </c>
      <c r="E48" s="83">
        <f t="shared" ref="E48:N48" si="13">SUM(E45:E47)</f>
        <v>0</v>
      </c>
      <c r="F48" s="83">
        <f t="shared" si="13"/>
        <v>0</v>
      </c>
      <c r="G48" s="83">
        <f t="shared" si="13"/>
        <v>0</v>
      </c>
      <c r="H48" s="83">
        <f t="shared" si="13"/>
        <v>0</v>
      </c>
      <c r="I48" s="83">
        <f t="shared" si="13"/>
        <v>0</v>
      </c>
      <c r="J48" s="83">
        <f t="shared" si="13"/>
        <v>0</v>
      </c>
      <c r="K48" s="83">
        <f t="shared" si="13"/>
        <v>0</v>
      </c>
      <c r="L48" s="83">
        <f t="shared" si="13"/>
        <v>0</v>
      </c>
      <c r="M48" s="83">
        <f t="shared" si="13"/>
        <v>0</v>
      </c>
      <c r="N48" s="83">
        <f t="shared" si="13"/>
        <v>0</v>
      </c>
      <c r="O48" s="137">
        <f>SUM(O45:O47)</f>
        <v>0</v>
      </c>
      <c r="P48" s="61">
        <f t="shared" si="1"/>
        <v>46</v>
      </c>
    </row>
    <row r="49" spans="1:16" x14ac:dyDescent="0.3">
      <c r="A49" s="11">
        <f t="shared" si="2"/>
        <v>47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33"/>
      <c r="P49" s="61">
        <f t="shared" si="1"/>
        <v>47</v>
      </c>
    </row>
    <row r="50" spans="1:16" x14ac:dyDescent="0.3">
      <c r="A50" s="11">
        <f t="shared" si="2"/>
        <v>48</v>
      </c>
      <c r="B50" s="326"/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227"/>
      <c r="P50" s="61">
        <f t="shared" si="1"/>
        <v>48</v>
      </c>
    </row>
    <row r="51" spans="1:16" x14ac:dyDescent="0.3">
      <c r="A51" s="17">
        <f t="shared" si="2"/>
        <v>49</v>
      </c>
      <c r="B51" s="329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  <c r="P51" s="61">
        <f t="shared" si="1"/>
        <v>49</v>
      </c>
    </row>
    <row r="52" spans="1:16" x14ac:dyDescent="0.3">
      <c r="A52" s="8">
        <f t="shared" si="2"/>
        <v>50</v>
      </c>
      <c r="B52" s="239" t="s">
        <v>412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33"/>
      <c r="P52" s="61">
        <f t="shared" si="1"/>
        <v>50</v>
      </c>
    </row>
    <row r="53" spans="1:16" x14ac:dyDescent="0.3">
      <c r="A53" s="11">
        <f t="shared" si="2"/>
        <v>51</v>
      </c>
      <c r="B53" s="239" t="s">
        <v>413</v>
      </c>
      <c r="C53" s="88">
        <f>C26</f>
        <v>45658</v>
      </c>
      <c r="D53" s="88">
        <f t="shared" ref="D53:N53" si="14">D26</f>
        <v>45689</v>
      </c>
      <c r="E53" s="88">
        <f t="shared" si="14"/>
        <v>45717</v>
      </c>
      <c r="F53" s="88">
        <f t="shared" si="14"/>
        <v>45748</v>
      </c>
      <c r="G53" s="88">
        <f t="shared" si="14"/>
        <v>45778</v>
      </c>
      <c r="H53" s="88">
        <f t="shared" si="14"/>
        <v>45809</v>
      </c>
      <c r="I53" s="88">
        <f t="shared" si="14"/>
        <v>45839</v>
      </c>
      <c r="J53" s="88">
        <f t="shared" si="14"/>
        <v>45870</v>
      </c>
      <c r="K53" s="88">
        <f t="shared" si="14"/>
        <v>45901</v>
      </c>
      <c r="L53" s="88">
        <f t="shared" si="14"/>
        <v>45931</v>
      </c>
      <c r="M53" s="88">
        <f t="shared" si="14"/>
        <v>45962</v>
      </c>
      <c r="N53" s="88">
        <f t="shared" si="14"/>
        <v>45992</v>
      </c>
      <c r="O53" s="129" t="s">
        <v>61</v>
      </c>
      <c r="P53" s="61">
        <f t="shared" si="1"/>
        <v>51</v>
      </c>
    </row>
    <row r="54" spans="1:16" x14ac:dyDescent="0.3">
      <c r="A54" s="11">
        <f t="shared" si="2"/>
        <v>52</v>
      </c>
      <c r="B54" s="235" t="s">
        <v>399</v>
      </c>
      <c r="C54" s="2">
        <f t="shared" ref="C54:N54" si="15">C11</f>
        <v>665128.40457376174</v>
      </c>
      <c r="D54" s="2">
        <f t="shared" si="15"/>
        <v>638768.16550925153</v>
      </c>
      <c r="E54" s="2">
        <f t="shared" si="15"/>
        <v>634906.37665919401</v>
      </c>
      <c r="F54" s="2">
        <f t="shared" si="15"/>
        <v>634614.63028510415</v>
      </c>
      <c r="G54" s="2">
        <f t="shared" si="15"/>
        <v>642422.3679788115</v>
      </c>
      <c r="H54" s="2">
        <f t="shared" si="15"/>
        <v>674302.30225451861</v>
      </c>
      <c r="I54" s="2">
        <f t="shared" si="15"/>
        <v>739126.30591458536</v>
      </c>
      <c r="J54" s="2">
        <f t="shared" si="15"/>
        <v>777952.89032439666</v>
      </c>
      <c r="K54" s="2">
        <f t="shared" si="15"/>
        <v>818733.95977402898</v>
      </c>
      <c r="L54" s="2">
        <f t="shared" si="15"/>
        <v>743327.39731253241</v>
      </c>
      <c r="M54" s="2">
        <f t="shared" si="15"/>
        <v>671314.98969655018</v>
      </c>
      <c r="N54" s="2">
        <f t="shared" si="15"/>
        <v>657765.56516033004</v>
      </c>
      <c r="O54" s="128">
        <f>SUM(C54:N54)</f>
        <v>8298363.355443066</v>
      </c>
      <c r="P54" s="61">
        <f t="shared" si="1"/>
        <v>52</v>
      </c>
    </row>
    <row r="55" spans="1:16" x14ac:dyDescent="0.3">
      <c r="A55" s="11">
        <f t="shared" si="2"/>
        <v>53</v>
      </c>
      <c r="B55" s="23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33"/>
      <c r="P55" s="61">
        <f t="shared" si="1"/>
        <v>53</v>
      </c>
    </row>
    <row r="56" spans="1:16" x14ac:dyDescent="0.3">
      <c r="A56" s="11">
        <f t="shared" si="2"/>
        <v>54</v>
      </c>
      <c r="B56" s="235" t="s">
        <v>400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33"/>
      <c r="P56" s="61">
        <f t="shared" si="1"/>
        <v>54</v>
      </c>
    </row>
    <row r="57" spans="1:16" x14ac:dyDescent="0.3">
      <c r="A57" s="11">
        <f t="shared" si="2"/>
        <v>55</v>
      </c>
      <c r="B57" s="237" t="s">
        <v>401</v>
      </c>
      <c r="C57" s="160">
        <f>'[3]C. 2025 Forecast Sales'!B64</f>
        <v>0.75415030547584305</v>
      </c>
      <c r="D57" s="160">
        <f>'[3]C. 2025 Forecast Sales'!C64</f>
        <v>0.75415030547584305</v>
      </c>
      <c r="E57" s="160">
        <f>'[3]C. 2025 Forecast Sales'!D64</f>
        <v>0.75415030547584305</v>
      </c>
      <c r="F57" s="160">
        <f>'[3]C. 2025 Forecast Sales'!E64</f>
        <v>0.75415030547584305</v>
      </c>
      <c r="G57" s="160">
        <f>'[3]C. 2025 Forecast Sales'!F64</f>
        <v>0.75415030547584305</v>
      </c>
      <c r="H57" s="160">
        <f>'[3]C. 2025 Forecast Sales'!G64</f>
        <v>0.74589791330642297</v>
      </c>
      <c r="I57" s="160">
        <f>'[3]C. 2025 Forecast Sales'!H64</f>
        <v>0.74589791330642297</v>
      </c>
      <c r="J57" s="160">
        <f>'[3]C. 2025 Forecast Sales'!I64</f>
        <v>0.74589791330642297</v>
      </c>
      <c r="K57" s="160">
        <f>'[3]C. 2025 Forecast Sales'!J64</f>
        <v>0.74589791330642297</v>
      </c>
      <c r="L57" s="160">
        <f>'[3]C. 2025 Forecast Sales'!K64</f>
        <v>0.74589791330642297</v>
      </c>
      <c r="M57" s="160">
        <f>'[3]C. 2025 Forecast Sales'!L64</f>
        <v>0.75415030547584305</v>
      </c>
      <c r="N57" s="160">
        <f>'[3]C. 2025 Forecast Sales'!M64</f>
        <v>0.75415030547584305</v>
      </c>
      <c r="O57" s="161">
        <f>O62/O54</f>
        <v>0.75041765590351039</v>
      </c>
      <c r="P57" s="61">
        <f t="shared" si="1"/>
        <v>55</v>
      </c>
    </row>
    <row r="58" spans="1:16" x14ac:dyDescent="0.3">
      <c r="A58" s="11">
        <f t="shared" si="2"/>
        <v>56</v>
      </c>
      <c r="B58" s="237" t="s">
        <v>402</v>
      </c>
      <c r="C58" s="160">
        <f>'[3]C. 2025 Forecast Sales'!B65</f>
        <v>0.22567787532915401</v>
      </c>
      <c r="D58" s="160">
        <f>'[3]C. 2025 Forecast Sales'!C65</f>
        <v>0.22567787532915401</v>
      </c>
      <c r="E58" s="160">
        <f>'[3]C. 2025 Forecast Sales'!D65</f>
        <v>0.22567787532915401</v>
      </c>
      <c r="F58" s="160">
        <f>'[3]C. 2025 Forecast Sales'!E65</f>
        <v>0.22567787532915401</v>
      </c>
      <c r="G58" s="160">
        <f>'[3]C. 2025 Forecast Sales'!F65</f>
        <v>0.22567787532915401</v>
      </c>
      <c r="H58" s="160">
        <f>'[3]C. 2025 Forecast Sales'!G65</f>
        <v>0.23068774979173001</v>
      </c>
      <c r="I58" s="160">
        <f>'[3]C. 2025 Forecast Sales'!H65</f>
        <v>0.23068774979173001</v>
      </c>
      <c r="J58" s="160">
        <f>'[3]C. 2025 Forecast Sales'!I65</f>
        <v>0.23068774979173001</v>
      </c>
      <c r="K58" s="160">
        <f>'[3]C. 2025 Forecast Sales'!J65</f>
        <v>0.23068774979173001</v>
      </c>
      <c r="L58" s="160">
        <f>'[3]C. 2025 Forecast Sales'!K65</f>
        <v>0.23068774979173001</v>
      </c>
      <c r="M58" s="160">
        <f>'[3]C. 2025 Forecast Sales'!L65</f>
        <v>0.22567787532915401</v>
      </c>
      <c r="N58" s="160">
        <f>'[3]C. 2025 Forecast Sales'!M65</f>
        <v>0.22567787532915401</v>
      </c>
      <c r="O58" s="161">
        <f>O63/O54</f>
        <v>0.22794389776074286</v>
      </c>
      <c r="P58" s="61">
        <f t="shared" si="1"/>
        <v>56</v>
      </c>
    </row>
    <row r="59" spans="1:16" x14ac:dyDescent="0.3">
      <c r="A59" s="11">
        <f t="shared" si="2"/>
        <v>57</v>
      </c>
      <c r="B59" s="237" t="s">
        <v>403</v>
      </c>
      <c r="C59" s="160">
        <f>'[3]C. 2025 Forecast Sales'!B66</f>
        <v>2.0171819195002601E-2</v>
      </c>
      <c r="D59" s="160">
        <f>'[3]C. 2025 Forecast Sales'!C66</f>
        <v>2.0171819195002601E-2</v>
      </c>
      <c r="E59" s="160">
        <f>'[3]C. 2025 Forecast Sales'!D66</f>
        <v>2.0171819195002601E-2</v>
      </c>
      <c r="F59" s="160">
        <f>'[3]C. 2025 Forecast Sales'!E66</f>
        <v>2.0171819195002601E-2</v>
      </c>
      <c r="G59" s="160">
        <f>'[3]C. 2025 Forecast Sales'!F66</f>
        <v>2.0171819195002601E-2</v>
      </c>
      <c r="H59" s="160">
        <f>'[3]C. 2025 Forecast Sales'!G66</f>
        <v>2.3414336901846002E-2</v>
      </c>
      <c r="I59" s="160">
        <f>'[3]C. 2025 Forecast Sales'!H66</f>
        <v>2.3414336901846002E-2</v>
      </c>
      <c r="J59" s="160">
        <f>'[3]C. 2025 Forecast Sales'!I66</f>
        <v>2.3414336901846002E-2</v>
      </c>
      <c r="K59" s="160">
        <f>'[3]C. 2025 Forecast Sales'!J66</f>
        <v>2.3414336901846002E-2</v>
      </c>
      <c r="L59" s="160">
        <f>'[3]C. 2025 Forecast Sales'!K66</f>
        <v>2.3414336901846002E-2</v>
      </c>
      <c r="M59" s="160">
        <f>'[3]C. 2025 Forecast Sales'!L66</f>
        <v>2.0171819195002601E-2</v>
      </c>
      <c r="N59" s="160">
        <f>'[3]C. 2025 Forecast Sales'!M66</f>
        <v>2.0171819195002601E-2</v>
      </c>
      <c r="O59" s="162">
        <f>O64/O54</f>
        <v>2.1638446335745992E-2</v>
      </c>
      <c r="P59" s="61">
        <f t="shared" si="1"/>
        <v>57</v>
      </c>
    </row>
    <row r="60" spans="1:16" x14ac:dyDescent="0.3">
      <c r="A60" s="11">
        <f t="shared" si="2"/>
        <v>58</v>
      </c>
      <c r="C60" s="160">
        <f>'[3]C. 2025 Forecast Sales'!B67</f>
        <v>0.99999999999999967</v>
      </c>
      <c r="D60" s="160">
        <f>'[3]C. 2025 Forecast Sales'!C67</f>
        <v>0.99999999999999967</v>
      </c>
      <c r="E60" s="160">
        <f>'[3]C. 2025 Forecast Sales'!D67</f>
        <v>0.99999999999999967</v>
      </c>
      <c r="F60" s="160">
        <f>'[3]C. 2025 Forecast Sales'!E67</f>
        <v>0.99999999999999967</v>
      </c>
      <c r="G60" s="160">
        <f>'[3]C. 2025 Forecast Sales'!F67</f>
        <v>0.99999999999999967</v>
      </c>
      <c r="H60" s="160">
        <f>'[3]C. 2025 Forecast Sales'!G67</f>
        <v>0.999999999999999</v>
      </c>
      <c r="I60" s="160">
        <f>'[3]C. 2025 Forecast Sales'!H67</f>
        <v>0.999999999999999</v>
      </c>
      <c r="J60" s="160">
        <f>'[3]C. 2025 Forecast Sales'!I67</f>
        <v>0.999999999999999</v>
      </c>
      <c r="K60" s="160">
        <f>'[3]C. 2025 Forecast Sales'!J67</f>
        <v>0.999999999999999</v>
      </c>
      <c r="L60" s="160">
        <f>'[3]C. 2025 Forecast Sales'!K67</f>
        <v>0.999999999999999</v>
      </c>
      <c r="M60" s="160">
        <f>'[3]C. 2025 Forecast Sales'!L67</f>
        <v>0.99999999999999967</v>
      </c>
      <c r="N60" s="160">
        <f>'[3]C. 2025 Forecast Sales'!M67</f>
        <v>0.99999999999999967</v>
      </c>
      <c r="O60" s="161">
        <f>SUM(O57:O59)</f>
        <v>0.99999999999999922</v>
      </c>
      <c r="P60" s="61">
        <f t="shared" si="1"/>
        <v>58</v>
      </c>
    </row>
    <row r="61" spans="1:16" x14ac:dyDescent="0.3">
      <c r="A61" s="11">
        <f t="shared" si="2"/>
        <v>59</v>
      </c>
      <c r="B61" s="235" t="s">
        <v>399</v>
      </c>
      <c r="O61" s="133"/>
      <c r="P61" s="61">
        <f t="shared" si="1"/>
        <v>59</v>
      </c>
    </row>
    <row r="62" spans="1:16" x14ac:dyDescent="0.3">
      <c r="A62" s="11">
        <f t="shared" si="2"/>
        <v>60</v>
      </c>
      <c r="B62" s="127" t="s">
        <v>404</v>
      </c>
      <c r="C62" s="84">
        <f t="shared" ref="C62:N62" si="16">C54*C57</f>
        <v>501606.78948996257</v>
      </c>
      <c r="D62" s="84">
        <f t="shared" si="16"/>
        <v>481727.20714704593</v>
      </c>
      <c r="E62" s="84">
        <f t="shared" si="16"/>
        <v>478814.83790609182</v>
      </c>
      <c r="F62" s="84">
        <f t="shared" si="16"/>
        <v>478594.81728895049</v>
      </c>
      <c r="G62" s="84">
        <f t="shared" si="16"/>
        <v>484483.02505573514</v>
      </c>
      <c r="H62" s="84">
        <f t="shared" si="16"/>
        <v>502960.68018936232</v>
      </c>
      <c r="I62" s="84">
        <f t="shared" si="16"/>
        <v>551312.76925157406</v>
      </c>
      <c r="J62" s="84">
        <f t="shared" si="16"/>
        <v>580273.43754366797</v>
      </c>
      <c r="K62" s="84">
        <f t="shared" si="16"/>
        <v>610691.9521485531</v>
      </c>
      <c r="L62" s="84">
        <f t="shared" si="16"/>
        <v>554446.35455891234</v>
      </c>
      <c r="M62" s="84">
        <f t="shared" si="16"/>
        <v>506272.40455016575</v>
      </c>
      <c r="N62" s="84">
        <f t="shared" si="16"/>
        <v>496054.10189715342</v>
      </c>
      <c r="O62" s="128">
        <f>SUM(C62:N62)</f>
        <v>6227238.3770271745</v>
      </c>
      <c r="P62" s="61">
        <f t="shared" si="1"/>
        <v>60</v>
      </c>
    </row>
    <row r="63" spans="1:16" x14ac:dyDescent="0.3">
      <c r="A63" s="11">
        <f t="shared" si="2"/>
        <v>61</v>
      </c>
      <c r="B63" s="127" t="s">
        <v>414</v>
      </c>
      <c r="C63" s="84">
        <f t="shared" ref="C63:N63" si="17">C54*C58</f>
        <v>150104.76516527651</v>
      </c>
      <c r="D63" s="84">
        <f t="shared" si="17"/>
        <v>144155.84242002928</v>
      </c>
      <c r="E63" s="84">
        <f t="shared" si="17"/>
        <v>143284.32211737847</v>
      </c>
      <c r="F63" s="84">
        <f t="shared" si="17"/>
        <v>143218.4814155389</v>
      </c>
      <c r="G63" s="84">
        <f t="shared" si="17"/>
        <v>144980.51506938212</v>
      </c>
      <c r="H63" s="84">
        <f t="shared" si="17"/>
        <v>155553.2807864779</v>
      </c>
      <c r="I63" s="84">
        <f t="shared" si="17"/>
        <v>170507.38432330955</v>
      </c>
      <c r="J63" s="84">
        <f t="shared" si="17"/>
        <v>179464.20171290758</v>
      </c>
      <c r="K63" s="84">
        <f t="shared" si="17"/>
        <v>188871.89485834353</v>
      </c>
      <c r="L63" s="84">
        <f t="shared" si="17"/>
        <v>171476.52464457136</v>
      </c>
      <c r="M63" s="84">
        <f t="shared" si="17"/>
        <v>151500.94055133036</v>
      </c>
      <c r="N63" s="84">
        <f t="shared" si="17"/>
        <v>148443.13521006348</v>
      </c>
      <c r="O63" s="128">
        <f>SUM(C63:N63)</f>
        <v>1891561.2882746093</v>
      </c>
      <c r="P63" s="61">
        <f t="shared" si="1"/>
        <v>61</v>
      </c>
    </row>
    <row r="64" spans="1:16" x14ac:dyDescent="0.3">
      <c r="A64" s="11">
        <f t="shared" si="2"/>
        <v>62</v>
      </c>
      <c r="B64" s="127" t="s">
        <v>406</v>
      </c>
      <c r="C64" s="85">
        <f t="shared" ref="C64:N64" si="18">C54*C59</f>
        <v>13416.849918522463</v>
      </c>
      <c r="D64" s="85">
        <f t="shared" si="18"/>
        <v>12885.115942176119</v>
      </c>
      <c r="E64" s="85">
        <f t="shared" si="18"/>
        <v>12807.216635723482</v>
      </c>
      <c r="F64" s="85">
        <f t="shared" si="18"/>
        <v>12801.331580614544</v>
      </c>
      <c r="G64" s="85">
        <f t="shared" si="18"/>
        <v>12958.827853694014</v>
      </c>
      <c r="H64" s="85">
        <f t="shared" si="18"/>
        <v>15788.341278677692</v>
      </c>
      <c r="I64" s="85">
        <f t="shared" si="18"/>
        <v>17306.152339700991</v>
      </c>
      <c r="J64" s="85">
        <f t="shared" si="18"/>
        <v>18215.251067820274</v>
      </c>
      <c r="K64" s="85">
        <f t="shared" si="18"/>
        <v>19170.112767131548</v>
      </c>
      <c r="L64" s="85">
        <f t="shared" si="18"/>
        <v>17404.518109047971</v>
      </c>
      <c r="M64" s="85">
        <f t="shared" si="18"/>
        <v>13541.644595053845</v>
      </c>
      <c r="N64" s="85">
        <f t="shared" si="18"/>
        <v>13268.32805311288</v>
      </c>
      <c r="O64" s="131">
        <f>SUM(C64:N64)</f>
        <v>179563.69014127582</v>
      </c>
      <c r="P64" s="61">
        <f t="shared" si="1"/>
        <v>62</v>
      </c>
    </row>
    <row r="65" spans="1:21" x14ac:dyDescent="0.3">
      <c r="A65" s="11">
        <f t="shared" si="2"/>
        <v>63</v>
      </c>
      <c r="B65" s="238"/>
      <c r="C65" s="84">
        <f t="shared" ref="C65:O65" si="19">SUM(C62:C64)</f>
        <v>665128.40457376151</v>
      </c>
      <c r="D65" s="84">
        <f t="shared" si="19"/>
        <v>638768.1655092513</v>
      </c>
      <c r="E65" s="84">
        <f t="shared" si="19"/>
        <v>634906.37665919377</v>
      </c>
      <c r="F65" s="84">
        <f t="shared" si="19"/>
        <v>634614.63028510392</v>
      </c>
      <c r="G65" s="84">
        <f t="shared" si="19"/>
        <v>642422.36797881126</v>
      </c>
      <c r="H65" s="84">
        <f t="shared" si="19"/>
        <v>674302.30225451791</v>
      </c>
      <c r="I65" s="84">
        <f t="shared" si="19"/>
        <v>739126.30591458455</v>
      </c>
      <c r="J65" s="84">
        <f t="shared" si="19"/>
        <v>777952.89032439585</v>
      </c>
      <c r="K65" s="84">
        <f t="shared" si="19"/>
        <v>818733.95977402816</v>
      </c>
      <c r="L65" s="84">
        <f t="shared" si="19"/>
        <v>743327.39731253171</v>
      </c>
      <c r="M65" s="84">
        <f t="shared" si="19"/>
        <v>671314.98969654995</v>
      </c>
      <c r="N65" s="84">
        <f t="shared" si="19"/>
        <v>657765.56516032969</v>
      </c>
      <c r="O65" s="132">
        <f t="shared" si="19"/>
        <v>8298363.3554430595</v>
      </c>
      <c r="P65" s="61">
        <f t="shared" si="1"/>
        <v>63</v>
      </c>
    </row>
    <row r="66" spans="1:21" x14ac:dyDescent="0.3">
      <c r="A66" s="11">
        <f t="shared" si="2"/>
        <v>64</v>
      </c>
      <c r="B66" s="235" t="s">
        <v>415</v>
      </c>
      <c r="O66" s="133"/>
      <c r="P66" s="61">
        <f t="shared" si="1"/>
        <v>64</v>
      </c>
    </row>
    <row r="67" spans="1:21" x14ac:dyDescent="0.3">
      <c r="A67" s="11">
        <f t="shared" si="2"/>
        <v>65</v>
      </c>
      <c r="B67" s="237" t="s">
        <v>401</v>
      </c>
      <c r="C67" s="385">
        <f>'[3]C. 2025 Forecast Sales'!B74</f>
        <v>2.6298102470112199E-3</v>
      </c>
      <c r="D67" s="385">
        <f>'[3]C. 2025 Forecast Sales'!C74</f>
        <v>2.6298102470112199E-3</v>
      </c>
      <c r="E67" s="385">
        <f>'[3]C. 2025 Forecast Sales'!D74</f>
        <v>2.6298102470112199E-3</v>
      </c>
      <c r="F67" s="385">
        <f>'[3]C. 2025 Forecast Sales'!E74</f>
        <v>2.6298102470112199E-3</v>
      </c>
      <c r="G67" s="385">
        <f>'[3]C. 2025 Forecast Sales'!F74</f>
        <v>2.6298102470112199E-3</v>
      </c>
      <c r="H67" s="385">
        <f>'[3]C. 2025 Forecast Sales'!G74</f>
        <v>2.6316031131861498E-3</v>
      </c>
      <c r="I67" s="385">
        <f>'[3]C. 2025 Forecast Sales'!H74</f>
        <v>2.6316031131861498E-3</v>
      </c>
      <c r="J67" s="385">
        <f>'[3]C. 2025 Forecast Sales'!I74</f>
        <v>2.6316031131861498E-3</v>
      </c>
      <c r="K67" s="385">
        <f>'[3]C. 2025 Forecast Sales'!J74</f>
        <v>2.6316031131861498E-3</v>
      </c>
      <c r="L67" s="385">
        <f>'[3]C. 2025 Forecast Sales'!K74</f>
        <v>2.6316031131861498E-3</v>
      </c>
      <c r="M67" s="385">
        <f>'[3]C. 2025 Forecast Sales'!L74</f>
        <v>2.6298102470112199E-3</v>
      </c>
      <c r="N67" s="385">
        <f>'[3]C. 2025 Forecast Sales'!M74</f>
        <v>2.6298102470112199E-3</v>
      </c>
      <c r="O67" s="163">
        <f>O72/O62</f>
        <v>2.6306162962709914E-3</v>
      </c>
      <c r="P67" s="61">
        <f t="shared" si="1"/>
        <v>65</v>
      </c>
    </row>
    <row r="68" spans="1:21" x14ac:dyDescent="0.3">
      <c r="A68" s="11">
        <f t="shared" si="2"/>
        <v>66</v>
      </c>
      <c r="B68" s="237" t="s">
        <v>402</v>
      </c>
      <c r="C68" s="385">
        <f>'[3]C. 2025 Forecast Sales'!B75</f>
        <v>2.0769697098581802E-3</v>
      </c>
      <c r="D68" s="385">
        <f>'[3]C. 2025 Forecast Sales'!C75</f>
        <v>2.0769697098581802E-3</v>
      </c>
      <c r="E68" s="385">
        <f>'[3]C. 2025 Forecast Sales'!D75</f>
        <v>2.0769697098581802E-3</v>
      </c>
      <c r="F68" s="385">
        <f>'[3]C. 2025 Forecast Sales'!E75</f>
        <v>2.0769697098581802E-3</v>
      </c>
      <c r="G68" s="385">
        <f>'[3]C. 2025 Forecast Sales'!F75</f>
        <v>2.0769697098581802E-3</v>
      </c>
      <c r="H68" s="385">
        <f>'[3]C. 2025 Forecast Sales'!G75</f>
        <v>2.0708496727374799E-3</v>
      </c>
      <c r="I68" s="385">
        <f>'[3]C. 2025 Forecast Sales'!H75</f>
        <v>2.0708496727374799E-3</v>
      </c>
      <c r="J68" s="385">
        <f>'[3]C. 2025 Forecast Sales'!I75</f>
        <v>2.0708496727374799E-3</v>
      </c>
      <c r="K68" s="385">
        <f>'[3]C. 2025 Forecast Sales'!J75</f>
        <v>2.0708496727374799E-3</v>
      </c>
      <c r="L68" s="385">
        <f>'[3]C. 2025 Forecast Sales'!K75</f>
        <v>2.0708496727374799E-3</v>
      </c>
      <c r="M68" s="385">
        <f>'[3]C. 2025 Forecast Sales'!L75</f>
        <v>2.0769697098581802E-3</v>
      </c>
      <c r="N68" s="385">
        <f>'[3]C. 2025 Forecast Sales'!M75</f>
        <v>2.0769697098581802E-3</v>
      </c>
      <c r="O68" s="163">
        <f>O73/O63</f>
        <v>2.0741682269313595E-3</v>
      </c>
      <c r="P68" s="61">
        <f t="shared" si="1"/>
        <v>66</v>
      </c>
    </row>
    <row r="69" spans="1:21" x14ac:dyDescent="0.3">
      <c r="A69" s="11">
        <f t="shared" si="2"/>
        <v>67</v>
      </c>
      <c r="B69" s="237" t="s">
        <v>403</v>
      </c>
      <c r="C69" s="385">
        <f>'[3]C. 2025 Forecast Sales'!B76</f>
        <v>1.2646285631947799E-3</v>
      </c>
      <c r="D69" s="385">
        <f>'[3]C. 2025 Forecast Sales'!C76</f>
        <v>1.2646285631947799E-3</v>
      </c>
      <c r="E69" s="385">
        <f>'[3]C. 2025 Forecast Sales'!D76</f>
        <v>1.2646285631947799E-3</v>
      </c>
      <c r="F69" s="385">
        <f>'[3]C. 2025 Forecast Sales'!E76</f>
        <v>1.2646285631947799E-3</v>
      </c>
      <c r="G69" s="385">
        <f>'[3]C. 2025 Forecast Sales'!F76</f>
        <v>1.2646285631947799E-3</v>
      </c>
      <c r="H69" s="385">
        <f>'[3]C. 2025 Forecast Sales'!G76</f>
        <v>1.2611481991004899E-3</v>
      </c>
      <c r="I69" s="385">
        <f>'[3]C. 2025 Forecast Sales'!H76</f>
        <v>1.2611481991004899E-3</v>
      </c>
      <c r="J69" s="385">
        <f>'[3]C. 2025 Forecast Sales'!I76</f>
        <v>1.2611481991004899E-3</v>
      </c>
      <c r="K69" s="385">
        <f>'[3]C. 2025 Forecast Sales'!J76</f>
        <v>1.2611481991004899E-3</v>
      </c>
      <c r="L69" s="385">
        <f>'[3]C. 2025 Forecast Sales'!K76</f>
        <v>1.2611481991004899E-3</v>
      </c>
      <c r="M69" s="385">
        <f>'[3]C. 2025 Forecast Sales'!L76</f>
        <v>1.2646285631947799E-3</v>
      </c>
      <c r="N69" s="385">
        <f>'[3]C. 2025 Forecast Sales'!M76</f>
        <v>1.2646285631947799E-3</v>
      </c>
      <c r="O69" s="163">
        <f>O74/O64</f>
        <v>1.2629251585425602E-3</v>
      </c>
      <c r="P69" s="61">
        <f t="shared" si="1"/>
        <v>67</v>
      </c>
    </row>
    <row r="70" spans="1:21" x14ac:dyDescent="0.3">
      <c r="A70" s="11">
        <f t="shared" si="2"/>
        <v>68</v>
      </c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133"/>
      <c r="P70" s="61">
        <f t="shared" si="1"/>
        <v>68</v>
      </c>
    </row>
    <row r="71" spans="1:21" x14ac:dyDescent="0.3">
      <c r="A71" s="11">
        <f t="shared" si="2"/>
        <v>69</v>
      </c>
      <c r="B71" s="235" t="s">
        <v>416</v>
      </c>
      <c r="O71" s="133"/>
      <c r="P71" s="61">
        <f t="shared" si="1"/>
        <v>69</v>
      </c>
    </row>
    <row r="72" spans="1:21" x14ac:dyDescent="0.3">
      <c r="A72" s="11">
        <f t="shared" si="2"/>
        <v>70</v>
      </c>
      <c r="B72" s="127" t="s">
        <v>409</v>
      </c>
      <c r="C72" s="83">
        <f>C62*C67</f>
        <v>1319.1306749711034</v>
      </c>
      <c r="D72" s="83">
        <f t="shared" ref="C72:N74" si="20">D62*D67</f>
        <v>1266.851145619398</v>
      </c>
      <c r="E72" s="83">
        <f t="shared" si="20"/>
        <v>1259.1921671464565</v>
      </c>
      <c r="F72" s="83">
        <f t="shared" si="20"/>
        <v>1258.6135546729445</v>
      </c>
      <c r="G72" s="83">
        <f t="shared" si="20"/>
        <v>1274.0984237945659</v>
      </c>
      <c r="H72" s="83">
        <f t="shared" si="20"/>
        <v>1323.5928917965493</v>
      </c>
      <c r="I72" s="83">
        <f t="shared" si="20"/>
        <v>1450.8363999017197</v>
      </c>
      <c r="J72" s="83">
        <f t="shared" si="20"/>
        <v>1527.0493847391456</v>
      </c>
      <c r="K72" s="83">
        <f t="shared" si="20"/>
        <v>1607.0988424718596</v>
      </c>
      <c r="L72" s="83">
        <f t="shared" si="20"/>
        <v>1459.0827527519455</v>
      </c>
      <c r="M72" s="83">
        <f t="shared" si="20"/>
        <v>1331.4003572650356</v>
      </c>
      <c r="N72" s="83">
        <f t="shared" si="20"/>
        <v>1304.5281602410819</v>
      </c>
      <c r="O72" s="135">
        <f>SUM(C72:N72)</f>
        <v>16381.474755371806</v>
      </c>
      <c r="P72" s="61">
        <f t="shared" si="1"/>
        <v>70</v>
      </c>
    </row>
    <row r="73" spans="1:21" x14ac:dyDescent="0.3">
      <c r="A73" s="11">
        <f t="shared" si="2"/>
        <v>71</v>
      </c>
      <c r="B73" s="127" t="s">
        <v>410</v>
      </c>
      <c r="C73" s="83">
        <f t="shared" si="20"/>
        <v>311.76305055365464</v>
      </c>
      <c r="D73" s="83">
        <f t="shared" si="20"/>
        <v>299.40731820548973</v>
      </c>
      <c r="E73" s="83">
        <f t="shared" si="20"/>
        <v>297.5971969353576</v>
      </c>
      <c r="F73" s="83">
        <f t="shared" si="20"/>
        <v>297.46044779196103</v>
      </c>
      <c r="G73" s="83">
        <f t="shared" si="20"/>
        <v>301.12013831874413</v>
      </c>
      <c r="H73" s="83">
        <f t="shared" si="20"/>
        <v>322.12746060991907</v>
      </c>
      <c r="I73" s="83">
        <f t="shared" si="20"/>
        <v>353.0951610252493</v>
      </c>
      <c r="J73" s="83">
        <f t="shared" si="20"/>
        <v>371.64338338526773</v>
      </c>
      <c r="K73" s="83">
        <f t="shared" si="20"/>
        <v>391.12530165670842</v>
      </c>
      <c r="L73" s="83">
        <f t="shared" si="20"/>
        <v>355.102104942371</v>
      </c>
      <c r="M73" s="83">
        <f t="shared" si="20"/>
        <v>314.662864540138</v>
      </c>
      <c r="N73" s="83">
        <f t="shared" si="20"/>
        <v>308.31189546768417</v>
      </c>
      <c r="O73" s="135">
        <f>SUM(C73:N73)</f>
        <v>3923.4163234325447</v>
      </c>
      <c r="P73" s="61">
        <f t="shared" si="1"/>
        <v>71</v>
      </c>
    </row>
    <row r="74" spans="1:21" x14ac:dyDescent="0.3">
      <c r="A74" s="11">
        <f t="shared" ref="A74:A157" si="21">A73+1</f>
        <v>72</v>
      </c>
      <c r="B74" s="127" t="s">
        <v>411</v>
      </c>
      <c r="C74" s="86">
        <f t="shared" si="20"/>
        <v>16.967331635061061</v>
      </c>
      <c r="D74" s="86">
        <f t="shared" si="20"/>
        <v>16.294885660552339</v>
      </c>
      <c r="E74" s="86">
        <f t="shared" si="20"/>
        <v>16.19637197255927</v>
      </c>
      <c r="F74" s="86">
        <f t="shared" si="20"/>
        <v>16.188929563772533</v>
      </c>
      <c r="G74" s="86">
        <f t="shared" si="20"/>
        <v>16.388103849305555</v>
      </c>
      <c r="H74" s="86">
        <f t="shared" si="20"/>
        <v>19.911438170388298</v>
      </c>
      <c r="I74" s="86">
        <f t="shared" si="20"/>
        <v>21.825622856572636</v>
      </c>
      <c r="J74" s="86">
        <f t="shared" si="20"/>
        <v>22.972131080344816</v>
      </c>
      <c r="K74" s="86">
        <f t="shared" si="20"/>
        <v>24.17635319282126</v>
      </c>
      <c r="L74" s="86">
        <f t="shared" si="20"/>
        <v>21.949676669437714</v>
      </c>
      <c r="M74" s="86">
        <f t="shared" si="20"/>
        <v>17.125150547537302</v>
      </c>
      <c r="N74" s="86">
        <f t="shared" si="20"/>
        <v>16.779506641805135</v>
      </c>
      <c r="O74" s="136">
        <f>SUM(C74:N74)</f>
        <v>226.77550184015792</v>
      </c>
      <c r="P74" s="61">
        <f t="shared" ref="P74:P137" si="22">P73+1</f>
        <v>72</v>
      </c>
    </row>
    <row r="75" spans="1:21" x14ac:dyDescent="0.3">
      <c r="A75" s="11">
        <f t="shared" si="21"/>
        <v>73</v>
      </c>
      <c r="C75" s="83">
        <f t="shared" ref="C75:O75" si="23">SUM(C72:C74)</f>
        <v>1647.8610571598192</v>
      </c>
      <c r="D75" s="83">
        <f t="shared" si="23"/>
        <v>1582.5533494854401</v>
      </c>
      <c r="E75" s="83">
        <f t="shared" si="23"/>
        <v>1572.9857360543735</v>
      </c>
      <c r="F75" s="83">
        <f t="shared" si="23"/>
        <v>1572.2629320286781</v>
      </c>
      <c r="G75" s="83">
        <f t="shared" si="23"/>
        <v>1591.6066659626154</v>
      </c>
      <c r="H75" s="83">
        <f t="shared" si="23"/>
        <v>1665.6317905768567</v>
      </c>
      <c r="I75" s="83">
        <f t="shared" si="23"/>
        <v>1825.7571837835417</v>
      </c>
      <c r="J75" s="83">
        <f t="shared" si="23"/>
        <v>1921.6648992047581</v>
      </c>
      <c r="K75" s="83">
        <f t="shared" si="23"/>
        <v>2022.4004973213894</v>
      </c>
      <c r="L75" s="83">
        <f t="shared" si="23"/>
        <v>1836.134534363754</v>
      </c>
      <c r="M75" s="83">
        <f t="shared" si="23"/>
        <v>1663.188372352711</v>
      </c>
      <c r="N75" s="83">
        <f t="shared" si="23"/>
        <v>1629.6195623505712</v>
      </c>
      <c r="O75" s="137">
        <f t="shared" si="23"/>
        <v>20531.666580644509</v>
      </c>
      <c r="P75" s="61">
        <f t="shared" si="22"/>
        <v>73</v>
      </c>
      <c r="U75" s="83"/>
    </row>
    <row r="76" spans="1:21" ht="21.75" x14ac:dyDescent="0.3">
      <c r="A76" s="11">
        <f t="shared" si="21"/>
        <v>74</v>
      </c>
      <c r="B76" s="235" t="s">
        <v>417</v>
      </c>
      <c r="O76" s="130"/>
      <c r="P76" s="61">
        <f t="shared" si="22"/>
        <v>74</v>
      </c>
    </row>
    <row r="77" spans="1:21" x14ac:dyDescent="0.3">
      <c r="A77" s="11">
        <f t="shared" si="21"/>
        <v>75</v>
      </c>
      <c r="B77" s="237" t="s">
        <v>401</v>
      </c>
      <c r="C77" s="385">
        <f>'[3]C. 2025 Forecast Sales'!B84</f>
        <v>2.5121846258207301E-3</v>
      </c>
      <c r="D77" s="385">
        <f>'[3]C. 2025 Forecast Sales'!C84</f>
        <v>2.5121846258207301E-3</v>
      </c>
      <c r="E77" s="385">
        <f>'[3]C. 2025 Forecast Sales'!D84</f>
        <v>2.5121846258207301E-3</v>
      </c>
      <c r="F77" s="385">
        <f>'[3]C. 2025 Forecast Sales'!E84</f>
        <v>2.5121846258207301E-3</v>
      </c>
      <c r="G77" s="385">
        <f>'[3]C. 2025 Forecast Sales'!F84</f>
        <v>2.5121846258207301E-3</v>
      </c>
      <c r="H77" s="385">
        <f>'[3]C. 2025 Forecast Sales'!G84</f>
        <v>2.4824306488214899E-3</v>
      </c>
      <c r="I77" s="385">
        <f>'[3]C. 2025 Forecast Sales'!H84</f>
        <v>2.4824306488214899E-3</v>
      </c>
      <c r="J77" s="385">
        <f>'[3]C. 2025 Forecast Sales'!I84</f>
        <v>2.4824306488214899E-3</v>
      </c>
      <c r="K77" s="385">
        <f>'[3]C. 2025 Forecast Sales'!J84</f>
        <v>2.4824306488214899E-3</v>
      </c>
      <c r="L77" s="385">
        <f>'[3]C. 2025 Forecast Sales'!K84</f>
        <v>2.4824306488214899E-3</v>
      </c>
      <c r="M77" s="385">
        <f>'[3]C. 2025 Forecast Sales'!L84</f>
        <v>2.5121846258207301E-3</v>
      </c>
      <c r="N77" s="385">
        <f>'[3]C. 2025 Forecast Sales'!M84</f>
        <v>2.5121846258207301E-3</v>
      </c>
      <c r="O77" s="164">
        <f>O82/O62</f>
        <v>2.4988076256458962E-3</v>
      </c>
      <c r="P77" s="61">
        <f t="shared" si="22"/>
        <v>75</v>
      </c>
    </row>
    <row r="78" spans="1:21" x14ac:dyDescent="0.3">
      <c r="A78" s="11">
        <f t="shared" si="21"/>
        <v>76</v>
      </c>
      <c r="B78" s="237" t="s">
        <v>402</v>
      </c>
      <c r="C78" s="385">
        <f>'[3]C. 2025 Forecast Sales'!B85</f>
        <v>2.07619007261288E-3</v>
      </c>
      <c r="D78" s="385">
        <f>'[3]C. 2025 Forecast Sales'!C85</f>
        <v>2.07619007261288E-3</v>
      </c>
      <c r="E78" s="385">
        <f>'[3]C. 2025 Forecast Sales'!D85</f>
        <v>2.07619007261288E-3</v>
      </c>
      <c r="F78" s="385">
        <f>'[3]C. 2025 Forecast Sales'!E85</f>
        <v>2.07619007261288E-3</v>
      </c>
      <c r="G78" s="385">
        <f>'[3]C. 2025 Forecast Sales'!F85</f>
        <v>2.07619007261288E-3</v>
      </c>
      <c r="H78" s="385">
        <f>'[3]C. 2025 Forecast Sales'!G85</f>
        <v>2.00255414800548E-3</v>
      </c>
      <c r="I78" s="385">
        <f>'[3]C. 2025 Forecast Sales'!H85</f>
        <v>2.00255414800548E-3</v>
      </c>
      <c r="J78" s="385">
        <f>'[3]C. 2025 Forecast Sales'!I85</f>
        <v>2.00255414800548E-3</v>
      </c>
      <c r="K78" s="385">
        <f>'[3]C. 2025 Forecast Sales'!J85</f>
        <v>2.00255414800548E-3</v>
      </c>
      <c r="L78" s="385">
        <f>'[3]C. 2025 Forecast Sales'!K85</f>
        <v>2.00255414800548E-3</v>
      </c>
      <c r="M78" s="385">
        <f>'[3]C. 2025 Forecast Sales'!L85</f>
        <v>2.07619007261288E-3</v>
      </c>
      <c r="N78" s="385">
        <f>'[3]C. 2025 Forecast Sales'!M85</f>
        <v>2.07619007261288E-3</v>
      </c>
      <c r="O78" s="164">
        <f>O83/O63</f>
        <v>2.0424827957582175E-3</v>
      </c>
      <c r="P78" s="61">
        <f t="shared" si="22"/>
        <v>76</v>
      </c>
    </row>
    <row r="79" spans="1:21" x14ac:dyDescent="0.3">
      <c r="A79" s="11">
        <f t="shared" si="21"/>
        <v>77</v>
      </c>
      <c r="B79" s="237" t="s">
        <v>403</v>
      </c>
      <c r="C79" s="385">
        <f>'[3]C. 2025 Forecast Sales'!B86</f>
        <v>2.85406647290126E-3</v>
      </c>
      <c r="D79" s="385">
        <f>'[3]C. 2025 Forecast Sales'!C86</f>
        <v>2.85406647290126E-3</v>
      </c>
      <c r="E79" s="385">
        <f>'[3]C. 2025 Forecast Sales'!D86</f>
        <v>2.85406647290126E-3</v>
      </c>
      <c r="F79" s="385">
        <f>'[3]C. 2025 Forecast Sales'!E86</f>
        <v>2.85406647290126E-3</v>
      </c>
      <c r="G79" s="385">
        <f>'[3]C. 2025 Forecast Sales'!F86</f>
        <v>2.85406647290126E-3</v>
      </c>
      <c r="H79" s="385">
        <f>'[3]C. 2025 Forecast Sales'!G86</f>
        <v>2.8102425987092099E-3</v>
      </c>
      <c r="I79" s="385">
        <f>'[3]C. 2025 Forecast Sales'!H86</f>
        <v>2.8102425987092099E-3</v>
      </c>
      <c r="J79" s="385">
        <f>'[3]C. 2025 Forecast Sales'!I86</f>
        <v>2.8102425987092099E-3</v>
      </c>
      <c r="K79" s="385">
        <f>'[3]C. 2025 Forecast Sales'!J86</f>
        <v>2.8102425987092099E-3</v>
      </c>
      <c r="L79" s="385">
        <f>'[3]C. 2025 Forecast Sales'!K86</f>
        <v>2.8102425987092099E-3</v>
      </c>
      <c r="M79" s="385">
        <f>'[3]C. 2025 Forecast Sales'!L86</f>
        <v>2.85406647290126E-3</v>
      </c>
      <c r="N79" s="385">
        <f>'[3]C. 2025 Forecast Sales'!M86</f>
        <v>2.85406647290126E-3</v>
      </c>
      <c r="O79" s="164">
        <f>O84/O64</f>
        <v>2.8326176275636403E-3</v>
      </c>
      <c r="P79" s="61">
        <f t="shared" si="22"/>
        <v>77</v>
      </c>
    </row>
    <row r="80" spans="1:21" x14ac:dyDescent="0.3">
      <c r="A80" s="11">
        <f t="shared" si="21"/>
        <v>78</v>
      </c>
      <c r="B80" s="237"/>
      <c r="C80" s="83"/>
      <c r="D80" s="83"/>
      <c r="E80" s="83"/>
      <c r="F80" s="83"/>
      <c r="G80" s="389"/>
      <c r="H80" s="83"/>
      <c r="I80" s="83"/>
      <c r="J80" s="83"/>
      <c r="K80" s="83"/>
      <c r="L80" s="83"/>
      <c r="M80" s="83"/>
      <c r="N80" s="83"/>
      <c r="O80" s="133"/>
      <c r="P80" s="61">
        <f t="shared" si="22"/>
        <v>78</v>
      </c>
    </row>
    <row r="81" spans="1:21" ht="21.75" x14ac:dyDescent="0.3">
      <c r="A81" s="11">
        <f t="shared" si="21"/>
        <v>79</v>
      </c>
      <c r="B81" s="235" t="s">
        <v>418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33"/>
      <c r="P81" s="61">
        <f t="shared" si="22"/>
        <v>79</v>
      </c>
    </row>
    <row r="82" spans="1:21" x14ac:dyDescent="0.3">
      <c r="A82" s="11">
        <f t="shared" si="21"/>
        <v>80</v>
      </c>
      <c r="B82" s="127" t="s">
        <v>409</v>
      </c>
      <c r="C82" s="83">
        <f>C62*C77</f>
        <v>1260.1288647639794</v>
      </c>
      <c r="D82" s="83">
        <f t="shared" ref="C82:N84" si="24">D62*D77</f>
        <v>1210.187683634367</v>
      </c>
      <c r="E82" s="83">
        <f t="shared" si="24"/>
        <v>1202.8712744025288</v>
      </c>
      <c r="F82" s="83">
        <f t="shared" si="24"/>
        <v>1202.3185419907827</v>
      </c>
      <c r="G82" s="83">
        <f t="shared" si="24"/>
        <v>1217.1108070161374</v>
      </c>
      <c r="H82" s="83">
        <f t="shared" si="24"/>
        <v>1248.5650076541765</v>
      </c>
      <c r="I82" s="83">
        <f t="shared" si="24"/>
        <v>1368.5957154767573</v>
      </c>
      <c r="J82" s="83">
        <f t="shared" si="24"/>
        <v>1440.4885660554039</v>
      </c>
      <c r="K82" s="83">
        <f t="shared" si="24"/>
        <v>1516.000419002195</v>
      </c>
      <c r="L82" s="83">
        <f t="shared" si="24"/>
        <v>1376.3746236843906</v>
      </c>
      <c r="M82" s="83">
        <f t="shared" si="24"/>
        <v>1271.8497511882194</v>
      </c>
      <c r="N82" s="83">
        <f t="shared" si="24"/>
        <v>1246.1794883613386</v>
      </c>
      <c r="O82" s="135">
        <f>SUM(C82:N82)</f>
        <v>15560.670743230277</v>
      </c>
      <c r="P82" s="61">
        <f t="shared" si="22"/>
        <v>80</v>
      </c>
    </row>
    <row r="83" spans="1:21" x14ac:dyDescent="0.3">
      <c r="A83" s="11">
        <f t="shared" si="21"/>
        <v>81</v>
      </c>
      <c r="B83" s="127" t="s">
        <v>410</v>
      </c>
      <c r="C83" s="83">
        <f t="shared" si="24"/>
        <v>311.64602328803471</v>
      </c>
      <c r="D83" s="83">
        <f t="shared" si="24"/>
        <v>299.29492894161149</v>
      </c>
      <c r="E83" s="83">
        <f t="shared" si="24"/>
        <v>297.48548714116731</v>
      </c>
      <c r="F83" s="83">
        <f t="shared" si="24"/>
        <v>297.34878932963414</v>
      </c>
      <c r="G83" s="83">
        <f t="shared" si="24"/>
        <v>301.00710610935323</v>
      </c>
      <c r="H83" s="83">
        <f t="shared" si="24"/>
        <v>311.50386767482246</v>
      </c>
      <c r="I83" s="83">
        <f t="shared" si="24"/>
        <v>341.45026974220809</v>
      </c>
      <c r="J83" s="83">
        <f t="shared" si="24"/>
        <v>359.38678155867524</v>
      </c>
      <c r="K83" s="83">
        <f t="shared" si="24"/>
        <v>378.22619649023073</v>
      </c>
      <c r="L83" s="83">
        <f t="shared" si="24"/>
        <v>343.39102571255029</v>
      </c>
      <c r="M83" s="83">
        <f t="shared" si="24"/>
        <v>314.54474876418618</v>
      </c>
      <c r="N83" s="83">
        <f t="shared" si="24"/>
        <v>308.19616367066527</v>
      </c>
      <c r="O83" s="135">
        <f>SUM(C83:N83)</f>
        <v>3863.4813884231394</v>
      </c>
      <c r="P83" s="61">
        <f t="shared" si="22"/>
        <v>81</v>
      </c>
    </row>
    <row r="84" spans="1:21" x14ac:dyDescent="0.3">
      <c r="A84" s="11">
        <f t="shared" si="21"/>
        <v>82</v>
      </c>
      <c r="B84" s="127" t="s">
        <v>411</v>
      </c>
      <c r="C84" s="86">
        <f t="shared" si="24"/>
        <v>38.292581524402962</v>
      </c>
      <c r="D84" s="86">
        <f t="shared" si="24"/>
        <v>36.774977410010393</v>
      </c>
      <c r="E84" s="86">
        <f t="shared" si="24"/>
        <v>36.552647611201657</v>
      </c>
      <c r="F84" s="86">
        <f t="shared" si="24"/>
        <v>36.535851272724059</v>
      </c>
      <c r="G84" s="86">
        <f t="shared" si="24"/>
        <v>36.985356105327078</v>
      </c>
      <c r="H84" s="86">
        <f t="shared" si="24"/>
        <v>44.369069224299089</v>
      </c>
      <c r="I84" s="86">
        <f t="shared" si="24"/>
        <v>48.634486524778787</v>
      </c>
      <c r="J84" s="86">
        <f t="shared" si="24"/>
        <v>51.189274496971962</v>
      </c>
      <c r="K84" s="86">
        <f t="shared" si="24"/>
        <v>53.872667520252364</v>
      </c>
      <c r="L84" s="86">
        <f t="shared" si="24"/>
        <v>48.910918200052471</v>
      </c>
      <c r="M84" s="86">
        <f t="shared" si="24"/>
        <v>38.648753826687738</v>
      </c>
      <c r="N84" s="86">
        <f t="shared" si="24"/>
        <v>37.868690247844718</v>
      </c>
      <c r="O84" s="136">
        <f>SUM(C84:N84)</f>
        <v>508.63527396455333</v>
      </c>
      <c r="P84" s="61">
        <f t="shared" si="22"/>
        <v>82</v>
      </c>
    </row>
    <row r="85" spans="1:21" x14ac:dyDescent="0.3">
      <c r="A85" s="11">
        <f t="shared" si="21"/>
        <v>83</v>
      </c>
      <c r="C85" s="83">
        <f t="shared" ref="C85:O85" si="25">SUM(C82:C84)</f>
        <v>1610.0674695764171</v>
      </c>
      <c r="D85" s="83">
        <f t="shared" si="25"/>
        <v>1546.2575899859889</v>
      </c>
      <c r="E85" s="83">
        <f t="shared" si="25"/>
        <v>1536.9094091548977</v>
      </c>
      <c r="F85" s="83">
        <f t="shared" si="25"/>
        <v>1536.203182593141</v>
      </c>
      <c r="G85" s="83">
        <f t="shared" si="25"/>
        <v>1555.1032692308179</v>
      </c>
      <c r="H85" s="83">
        <f t="shared" si="25"/>
        <v>1604.4379445532979</v>
      </c>
      <c r="I85" s="83">
        <f t="shared" si="25"/>
        <v>1758.6804717437442</v>
      </c>
      <c r="J85" s="83">
        <f t="shared" si="25"/>
        <v>1851.064622111051</v>
      </c>
      <c r="K85" s="83">
        <f t="shared" si="25"/>
        <v>1948.0992830126781</v>
      </c>
      <c r="L85" s="83">
        <f t="shared" si="25"/>
        <v>1768.6765675969934</v>
      </c>
      <c r="M85" s="83">
        <f t="shared" si="25"/>
        <v>1625.0432537790932</v>
      </c>
      <c r="N85" s="83">
        <f t="shared" si="25"/>
        <v>1592.2443422798488</v>
      </c>
      <c r="O85" s="137">
        <f t="shared" si="25"/>
        <v>19932.787405617968</v>
      </c>
      <c r="P85" s="61">
        <f t="shared" si="22"/>
        <v>83</v>
      </c>
      <c r="U85" s="83"/>
    </row>
    <row r="86" spans="1:21" ht="21.75" x14ac:dyDescent="0.3">
      <c r="A86" s="11">
        <f t="shared" si="21"/>
        <v>84</v>
      </c>
      <c r="B86" s="235" t="s">
        <v>419</v>
      </c>
      <c r="O86" s="130"/>
      <c r="P86" s="61">
        <f t="shared" si="22"/>
        <v>84</v>
      </c>
      <c r="U86" s="83"/>
    </row>
    <row r="87" spans="1:21" x14ac:dyDescent="0.3">
      <c r="A87" s="11">
        <f t="shared" si="21"/>
        <v>85</v>
      </c>
      <c r="B87" s="237" t="s">
        <v>401</v>
      </c>
      <c r="C87" s="385">
        <f>'[3]C. 2025 Forecast Sales'!B95</f>
        <v>2.34388768580474E-3</v>
      </c>
      <c r="D87" s="385">
        <f>'[3]C. 2025 Forecast Sales'!C95</f>
        <v>2.34388768580474E-3</v>
      </c>
      <c r="E87" s="385">
        <f>'[3]C. 2025 Forecast Sales'!D95</f>
        <v>2.34388768580474E-3</v>
      </c>
      <c r="F87" s="385">
        <f>'[3]C. 2025 Forecast Sales'!E95</f>
        <v>2.34388768580474E-3</v>
      </c>
      <c r="G87" s="385">
        <f>'[3]C. 2025 Forecast Sales'!F95</f>
        <v>2.34388768580474E-3</v>
      </c>
      <c r="H87" s="385">
        <f>'[3]C. 2025 Forecast Sales'!G95</f>
        <v>2.6459920720553602E-3</v>
      </c>
      <c r="I87" s="385">
        <f>'[3]C. 2025 Forecast Sales'!H95</f>
        <v>2.6459920720553602E-3</v>
      </c>
      <c r="J87" s="385">
        <f>'[3]C. 2025 Forecast Sales'!I95</f>
        <v>2.6459920720553602E-3</v>
      </c>
      <c r="K87" s="385">
        <f>'[3]C. 2025 Forecast Sales'!J95</f>
        <v>2.6459920720553602E-3</v>
      </c>
      <c r="L87" s="385">
        <f>'[3]C. 2025 Forecast Sales'!K95</f>
        <v>2.6459920720553602E-3</v>
      </c>
      <c r="M87" s="385">
        <f>'[3]C. 2025 Forecast Sales'!L95</f>
        <v>2.34388768580474E-3</v>
      </c>
      <c r="N87" s="385">
        <f>'[3]C. 2025 Forecast Sales'!M95</f>
        <v>2.34388768580474E-3</v>
      </c>
      <c r="O87" s="246">
        <f>O92/O62</f>
        <v>2.4797098795167252E-3</v>
      </c>
      <c r="P87" s="61">
        <f t="shared" si="22"/>
        <v>85</v>
      </c>
      <c r="U87" s="83"/>
    </row>
    <row r="88" spans="1:21" x14ac:dyDescent="0.3">
      <c r="A88" s="11">
        <f t="shared" si="21"/>
        <v>86</v>
      </c>
      <c r="B88" s="237" t="s">
        <v>402</v>
      </c>
      <c r="C88" s="385">
        <f>'[3]C. 2025 Forecast Sales'!B96</f>
        <v>1.9963150572872199E-3</v>
      </c>
      <c r="D88" s="385">
        <f>'[3]C. 2025 Forecast Sales'!C96</f>
        <v>1.9963150572872199E-3</v>
      </c>
      <c r="E88" s="385">
        <f>'[3]C. 2025 Forecast Sales'!D96</f>
        <v>1.9963150572872199E-3</v>
      </c>
      <c r="F88" s="385">
        <f>'[3]C. 2025 Forecast Sales'!E96</f>
        <v>1.9963150572872199E-3</v>
      </c>
      <c r="G88" s="385">
        <f>'[3]C. 2025 Forecast Sales'!F96</f>
        <v>1.9963150572872199E-3</v>
      </c>
      <c r="H88" s="385">
        <f>'[3]C. 2025 Forecast Sales'!G96</f>
        <v>2.0955668231644499E-3</v>
      </c>
      <c r="I88" s="385">
        <f>'[3]C. 2025 Forecast Sales'!H96</f>
        <v>2.0955668231644499E-3</v>
      </c>
      <c r="J88" s="385">
        <f>'[3]C. 2025 Forecast Sales'!I96</f>
        <v>2.0955668231644499E-3</v>
      </c>
      <c r="K88" s="385">
        <f>'[3]C. 2025 Forecast Sales'!J96</f>
        <v>2.0955668231644499E-3</v>
      </c>
      <c r="L88" s="385">
        <f>'[3]C. 2025 Forecast Sales'!K96</f>
        <v>2.0955668231644499E-3</v>
      </c>
      <c r="M88" s="385">
        <f>'[3]C. 2025 Forecast Sales'!L96</f>
        <v>1.9963150572872199E-3</v>
      </c>
      <c r="N88" s="385">
        <f>'[3]C. 2025 Forecast Sales'!M96</f>
        <v>1.9963150572872199E-3</v>
      </c>
      <c r="O88" s="246">
        <f>O93/O63</f>
        <v>2.0417481358908358E-3</v>
      </c>
      <c r="P88" s="61">
        <f t="shared" si="22"/>
        <v>86</v>
      </c>
      <c r="U88" s="83"/>
    </row>
    <row r="89" spans="1:21" x14ac:dyDescent="0.3">
      <c r="A89" s="11">
        <f t="shared" si="21"/>
        <v>87</v>
      </c>
      <c r="B89" s="237" t="s">
        <v>403</v>
      </c>
      <c r="C89" s="385">
        <f>'[3]C. 2025 Forecast Sales'!B97</f>
        <v>2.6737376719563298E-3</v>
      </c>
      <c r="D89" s="385">
        <f>'[3]C. 2025 Forecast Sales'!C97</f>
        <v>2.6737376719563298E-3</v>
      </c>
      <c r="E89" s="385">
        <f>'[3]C. 2025 Forecast Sales'!D97</f>
        <v>2.6737376719563298E-3</v>
      </c>
      <c r="F89" s="385">
        <f>'[3]C. 2025 Forecast Sales'!E97</f>
        <v>2.6737376719563298E-3</v>
      </c>
      <c r="G89" s="385">
        <f>'[3]C. 2025 Forecast Sales'!F97</f>
        <v>2.6737376719563298E-3</v>
      </c>
      <c r="H89" s="385">
        <f>'[3]C. 2025 Forecast Sales'!G97</f>
        <v>2.7083771453924399E-3</v>
      </c>
      <c r="I89" s="385">
        <f>'[3]C. 2025 Forecast Sales'!H97</f>
        <v>2.7083771453924399E-3</v>
      </c>
      <c r="J89" s="385">
        <f>'[3]C. 2025 Forecast Sales'!I97</f>
        <v>2.7083771453924399E-3</v>
      </c>
      <c r="K89" s="385">
        <f>'[3]C. 2025 Forecast Sales'!J97</f>
        <v>2.7083771453924399E-3</v>
      </c>
      <c r="L89" s="385">
        <f>'[3]C. 2025 Forecast Sales'!K97</f>
        <v>2.7083771453924399E-3</v>
      </c>
      <c r="M89" s="385">
        <f>'[3]C. 2025 Forecast Sales'!L97</f>
        <v>2.6737376719563298E-3</v>
      </c>
      <c r="N89" s="385">
        <f>'[3]C. 2025 Forecast Sales'!M97</f>
        <v>2.6737376719563298E-3</v>
      </c>
      <c r="O89" s="246">
        <f>O94/O64</f>
        <v>2.690691369501457E-3</v>
      </c>
      <c r="P89" s="61">
        <f t="shared" si="22"/>
        <v>87</v>
      </c>
      <c r="U89" s="83"/>
    </row>
    <row r="90" spans="1:21" x14ac:dyDescent="0.3">
      <c r="A90" s="11">
        <f t="shared" si="21"/>
        <v>88</v>
      </c>
      <c r="B90" s="237"/>
      <c r="C90" s="83"/>
      <c r="D90" s="83"/>
      <c r="E90" s="83"/>
      <c r="F90" s="83"/>
      <c r="G90" s="389"/>
      <c r="H90" s="83"/>
      <c r="I90" s="83"/>
      <c r="J90" s="83"/>
      <c r="K90" s="83"/>
      <c r="L90" s="83"/>
      <c r="M90" s="83"/>
      <c r="N90" s="83"/>
      <c r="O90" s="133"/>
      <c r="P90" s="61">
        <f t="shared" si="22"/>
        <v>88</v>
      </c>
      <c r="U90" s="83"/>
    </row>
    <row r="91" spans="1:21" ht="21.75" x14ac:dyDescent="0.3">
      <c r="A91" s="11">
        <f t="shared" si="21"/>
        <v>89</v>
      </c>
      <c r="B91" s="235" t="s">
        <v>420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33"/>
      <c r="P91" s="61">
        <f t="shared" si="22"/>
        <v>89</v>
      </c>
      <c r="U91" s="83"/>
    </row>
    <row r="92" spans="1:21" x14ac:dyDescent="0.3">
      <c r="A92" s="11">
        <f t="shared" si="21"/>
        <v>90</v>
      </c>
      <c r="B92" s="127" t="s">
        <v>409</v>
      </c>
      <c r="C92" s="83">
        <f>C62*C87</f>
        <v>1175.7099770015739</v>
      </c>
      <c r="D92" s="83">
        <f t="shared" ref="D92:N92" si="26">D62*D87</f>
        <v>1129.1144687490701</v>
      </c>
      <c r="E92" s="83">
        <f t="shared" si="26"/>
        <v>1122.2882023486814</v>
      </c>
      <c r="F92" s="83">
        <f t="shared" si="26"/>
        <v>1121.7724987335405</v>
      </c>
      <c r="G92" s="83">
        <f t="shared" si="26"/>
        <v>1135.573796409567</v>
      </c>
      <c r="H92" s="83">
        <f t="shared" si="26"/>
        <v>1330.8299723366242</v>
      </c>
      <c r="I92" s="83">
        <f t="shared" si="26"/>
        <v>1458.7692166625511</v>
      </c>
      <c r="J92" s="83">
        <f t="shared" si="26"/>
        <v>1535.3989153648565</v>
      </c>
      <c r="K92" s="83">
        <f t="shared" si="26"/>
        <v>1615.886063853083</v>
      </c>
      <c r="L92" s="83">
        <f t="shared" si="26"/>
        <v>1467.0606585428773</v>
      </c>
      <c r="M92" s="83">
        <f t="shared" si="26"/>
        <v>1186.6456546878892</v>
      </c>
      <c r="N92" s="83">
        <f t="shared" si="26"/>
        <v>1162.6951009296677</v>
      </c>
      <c r="O92" s="135">
        <f>SUM(C92:N92)</f>
        <v>15441.744525619981</v>
      </c>
      <c r="P92" s="61">
        <f t="shared" si="22"/>
        <v>90</v>
      </c>
      <c r="U92" s="83"/>
    </row>
    <row r="93" spans="1:21" x14ac:dyDescent="0.3">
      <c r="A93" s="11">
        <f t="shared" si="21"/>
        <v>91</v>
      </c>
      <c r="B93" s="127" t="s">
        <v>410</v>
      </c>
      <c r="C93" s="83">
        <f t="shared" ref="C93:N94" si="27">C63*C88</f>
        <v>299.65640287000366</v>
      </c>
      <c r="D93" s="83">
        <f t="shared" si="27"/>
        <v>287.78047881902819</v>
      </c>
      <c r="E93" s="83">
        <f t="shared" si="27"/>
        <v>286.0406497161149</v>
      </c>
      <c r="F93" s="83">
        <f t="shared" si="27"/>
        <v>285.90921093165019</v>
      </c>
      <c r="G93" s="83">
        <f t="shared" si="27"/>
        <v>289.42678524626422</v>
      </c>
      <c r="H93" s="83">
        <f t="shared" si="27"/>
        <v>325.97229445052716</v>
      </c>
      <c r="I93" s="83">
        <f t="shared" si="27"/>
        <v>357.30961769247773</v>
      </c>
      <c r="J93" s="83">
        <f t="shared" si="27"/>
        <v>376.07922705526175</v>
      </c>
      <c r="K93" s="83">
        <f t="shared" si="27"/>
        <v>395.79367669334897</v>
      </c>
      <c r="L93" s="83">
        <f t="shared" si="27"/>
        <v>359.34051599670488</v>
      </c>
      <c r="M93" s="83">
        <f t="shared" si="27"/>
        <v>302.44360881579678</v>
      </c>
      <c r="N93" s="83">
        <f t="shared" si="27"/>
        <v>296.33926597077243</v>
      </c>
      <c r="O93" s="135">
        <f>SUM(C93:N93)</f>
        <v>3862.091734257951</v>
      </c>
      <c r="P93" s="61">
        <f t="shared" si="22"/>
        <v>91</v>
      </c>
      <c r="U93" s="83"/>
    </row>
    <row r="94" spans="1:21" x14ac:dyDescent="0.3">
      <c r="A94" s="11">
        <f t="shared" si="21"/>
        <v>92</v>
      </c>
      <c r="B94" s="127" t="s">
        <v>411</v>
      </c>
      <c r="C94" s="86">
        <f t="shared" si="27"/>
        <v>35.873137066137723</v>
      </c>
      <c r="D94" s="86">
        <f t="shared" si="27"/>
        <v>34.451419902121366</v>
      </c>
      <c r="E94" s="86">
        <f t="shared" si="27"/>
        <v>34.243137591839684</v>
      </c>
      <c r="F94" s="86">
        <f t="shared" si="27"/>
        <v>34.227402498293372</v>
      </c>
      <c r="G94" s="86">
        <f t="shared" si="27"/>
        <v>34.648506216818674</v>
      </c>
      <c r="H94" s="86">
        <f t="shared" si="27"/>
        <v>42.760782682826715</v>
      </c>
      <c r="I94" s="86">
        <f t="shared" si="27"/>
        <v>46.87158747152607</v>
      </c>
      <c r="J94" s="86">
        <f t="shared" si="27"/>
        <v>49.333769689669666</v>
      </c>
      <c r="K94" s="86">
        <f t="shared" si="27"/>
        <v>51.91989529309491</v>
      </c>
      <c r="L94" s="86">
        <f t="shared" si="27"/>
        <v>47.137999073114372</v>
      </c>
      <c r="M94" s="86">
        <f t="shared" si="27"/>
        <v>36.206805294039285</v>
      </c>
      <c r="N94" s="86">
        <f t="shared" si="27"/>
        <v>35.476028559482891</v>
      </c>
      <c r="O94" s="136">
        <f>SUM(C94:N94)</f>
        <v>483.15047133896468</v>
      </c>
      <c r="P94" s="61">
        <f t="shared" si="22"/>
        <v>92</v>
      </c>
      <c r="U94" s="83"/>
    </row>
    <row r="95" spans="1:21" x14ac:dyDescent="0.3">
      <c r="A95" s="11">
        <f t="shared" si="21"/>
        <v>93</v>
      </c>
      <c r="C95" s="83">
        <f t="shared" ref="C95:O95" si="28">SUM(C92:C94)</f>
        <v>1511.2395169377153</v>
      </c>
      <c r="D95" s="83">
        <f t="shared" si="28"/>
        <v>1451.3463674702198</v>
      </c>
      <c r="E95" s="83">
        <f t="shared" si="28"/>
        <v>1442.5719896566359</v>
      </c>
      <c r="F95" s="83">
        <f t="shared" si="28"/>
        <v>1441.9091121634842</v>
      </c>
      <c r="G95" s="83">
        <f t="shared" si="28"/>
        <v>1459.6490878726499</v>
      </c>
      <c r="H95" s="83">
        <f t="shared" si="28"/>
        <v>1699.5630494699781</v>
      </c>
      <c r="I95" s="83">
        <f t="shared" si="28"/>
        <v>1862.9504218265549</v>
      </c>
      <c r="J95" s="83">
        <f t="shared" si="28"/>
        <v>1960.811912109788</v>
      </c>
      <c r="K95" s="83">
        <f t="shared" si="28"/>
        <v>2063.5996358395269</v>
      </c>
      <c r="L95" s="83">
        <f t="shared" si="28"/>
        <v>1873.5391736126965</v>
      </c>
      <c r="M95" s="83">
        <f t="shared" si="28"/>
        <v>1525.2960687977252</v>
      </c>
      <c r="N95" s="83">
        <f t="shared" si="28"/>
        <v>1494.5103954599231</v>
      </c>
      <c r="O95" s="137">
        <f t="shared" si="28"/>
        <v>19786.986731216897</v>
      </c>
      <c r="P95" s="61">
        <f t="shared" si="22"/>
        <v>93</v>
      </c>
      <c r="U95" s="83"/>
    </row>
    <row r="96" spans="1:21" x14ac:dyDescent="0.3">
      <c r="A96" s="11">
        <f t="shared" si="21"/>
        <v>94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133"/>
      <c r="P96" s="61">
        <f t="shared" si="22"/>
        <v>94</v>
      </c>
      <c r="U96" s="83"/>
    </row>
    <row r="97" spans="1:16" x14ac:dyDescent="0.3">
      <c r="A97" s="11">
        <f t="shared" si="21"/>
        <v>95</v>
      </c>
      <c r="B97" s="326"/>
      <c r="C97" s="379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227"/>
      <c r="P97" s="61">
        <f t="shared" si="22"/>
        <v>95</v>
      </c>
    </row>
    <row r="98" spans="1:16" x14ac:dyDescent="0.3">
      <c r="A98" s="11">
        <f t="shared" si="21"/>
        <v>96</v>
      </c>
      <c r="B98" s="329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9"/>
      <c r="P98" s="61">
        <f t="shared" si="22"/>
        <v>96</v>
      </c>
    </row>
    <row r="99" spans="1:16" x14ac:dyDescent="0.3">
      <c r="A99" s="11">
        <f t="shared" si="21"/>
        <v>97</v>
      </c>
      <c r="B99" s="239" t="s">
        <v>421</v>
      </c>
      <c r="C99" s="88">
        <f>C53</f>
        <v>45658</v>
      </c>
      <c r="D99" s="88">
        <f t="shared" ref="D99:N99" si="29">D53</f>
        <v>45689</v>
      </c>
      <c r="E99" s="88">
        <f t="shared" si="29"/>
        <v>45717</v>
      </c>
      <c r="F99" s="88">
        <f t="shared" si="29"/>
        <v>45748</v>
      </c>
      <c r="G99" s="88">
        <f t="shared" si="29"/>
        <v>45778</v>
      </c>
      <c r="H99" s="88">
        <f t="shared" si="29"/>
        <v>45809</v>
      </c>
      <c r="I99" s="88">
        <f t="shared" si="29"/>
        <v>45839</v>
      </c>
      <c r="J99" s="88">
        <f t="shared" si="29"/>
        <v>45870</v>
      </c>
      <c r="K99" s="88">
        <f t="shared" si="29"/>
        <v>45901</v>
      </c>
      <c r="L99" s="88">
        <f t="shared" si="29"/>
        <v>45931</v>
      </c>
      <c r="M99" s="88">
        <f t="shared" si="29"/>
        <v>45962</v>
      </c>
      <c r="N99" s="88">
        <f t="shared" si="29"/>
        <v>45992</v>
      </c>
      <c r="O99" s="129" t="s">
        <v>61</v>
      </c>
      <c r="P99" s="61">
        <f t="shared" si="22"/>
        <v>97</v>
      </c>
    </row>
    <row r="100" spans="1:16" x14ac:dyDescent="0.3">
      <c r="A100" s="11">
        <f t="shared" si="21"/>
        <v>98</v>
      </c>
      <c r="B100" s="235" t="s">
        <v>399</v>
      </c>
      <c r="C100" s="2">
        <f t="shared" ref="C100:N100" si="30">C12</f>
        <v>86063.849876274791</v>
      </c>
      <c r="D100" s="2">
        <f t="shared" si="30"/>
        <v>74763.168183969552</v>
      </c>
      <c r="E100" s="2">
        <f t="shared" si="30"/>
        <v>79850.254449063767</v>
      </c>
      <c r="F100" s="2">
        <f t="shared" si="30"/>
        <v>83893.668552719435</v>
      </c>
      <c r="G100" s="2">
        <f t="shared" si="30"/>
        <v>82494.516567459548</v>
      </c>
      <c r="H100" s="2">
        <f t="shared" si="30"/>
        <v>86037.699489391714</v>
      </c>
      <c r="I100" s="2">
        <f t="shared" si="30"/>
        <v>99719.875448313775</v>
      </c>
      <c r="J100" s="2">
        <f t="shared" si="30"/>
        <v>97528.717043731289</v>
      </c>
      <c r="K100" s="2">
        <f t="shared" si="30"/>
        <v>96434.86221579017</v>
      </c>
      <c r="L100" s="2">
        <f t="shared" si="30"/>
        <v>87398.897344817757</v>
      </c>
      <c r="M100" s="2">
        <f t="shared" si="30"/>
        <v>86076.559012121768</v>
      </c>
      <c r="N100" s="2">
        <f t="shared" si="30"/>
        <v>102103.08582474214</v>
      </c>
      <c r="O100" s="128">
        <f>SUM(C100:N100)</f>
        <v>1062365.1540083957</v>
      </c>
      <c r="P100" s="61">
        <f t="shared" si="22"/>
        <v>98</v>
      </c>
    </row>
    <row r="101" spans="1:16" x14ac:dyDescent="0.3">
      <c r="A101" s="11">
        <f t="shared" si="21"/>
        <v>99</v>
      </c>
      <c r="B101" s="2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33"/>
      <c r="P101" s="61">
        <f t="shared" si="22"/>
        <v>99</v>
      </c>
    </row>
    <row r="102" spans="1:16" x14ac:dyDescent="0.3">
      <c r="A102" s="11">
        <f t="shared" si="21"/>
        <v>100</v>
      </c>
      <c r="B102" s="235" t="s">
        <v>400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133"/>
      <c r="P102" s="61">
        <f t="shared" si="22"/>
        <v>100</v>
      </c>
    </row>
    <row r="103" spans="1:16" x14ac:dyDescent="0.3">
      <c r="A103" s="11">
        <f t="shared" si="21"/>
        <v>101</v>
      </c>
      <c r="B103" s="237" t="s">
        <v>401</v>
      </c>
      <c r="C103" s="160">
        <f>'[3]C. 2025 Forecast Sales'!B111</f>
        <v>0</v>
      </c>
      <c r="D103" s="160">
        <f>'[3]C. 2025 Forecast Sales'!C111</f>
        <v>0</v>
      </c>
      <c r="E103" s="160">
        <f>'[3]C. 2025 Forecast Sales'!D111</f>
        <v>0</v>
      </c>
      <c r="F103" s="160">
        <f>'[3]C. 2025 Forecast Sales'!E111</f>
        <v>0</v>
      </c>
      <c r="G103" s="160">
        <f>'[3]C. 2025 Forecast Sales'!F111</f>
        <v>0</v>
      </c>
      <c r="H103" s="160">
        <f>'[3]C. 2025 Forecast Sales'!G111</f>
        <v>0</v>
      </c>
      <c r="I103" s="160">
        <f>'[3]C. 2025 Forecast Sales'!H111</f>
        <v>0</v>
      </c>
      <c r="J103" s="160">
        <f>'[3]C. 2025 Forecast Sales'!I111</f>
        <v>0</v>
      </c>
      <c r="K103" s="160">
        <f>'[3]C. 2025 Forecast Sales'!J111</f>
        <v>0</v>
      </c>
      <c r="L103" s="160">
        <f>'[3]C. 2025 Forecast Sales'!K111</f>
        <v>0</v>
      </c>
      <c r="M103" s="160">
        <f>'[3]C. 2025 Forecast Sales'!L111</f>
        <v>0</v>
      </c>
      <c r="N103" s="160">
        <f>'[3]C. 2025 Forecast Sales'!M111</f>
        <v>0</v>
      </c>
      <c r="O103" s="161">
        <f>O108/O100</f>
        <v>0</v>
      </c>
      <c r="P103" s="61">
        <f t="shared" si="22"/>
        <v>101</v>
      </c>
    </row>
    <row r="104" spans="1:16" x14ac:dyDescent="0.3">
      <c r="A104" s="11">
        <f t="shared" si="21"/>
        <v>102</v>
      </c>
      <c r="B104" s="237" t="s">
        <v>402</v>
      </c>
      <c r="C104" s="160">
        <f>'[3]C. 2025 Forecast Sales'!B112</f>
        <v>0.29032134761179901</v>
      </c>
      <c r="D104" s="160">
        <f>'[3]C. 2025 Forecast Sales'!C112</f>
        <v>0.29032134761179901</v>
      </c>
      <c r="E104" s="160">
        <f>'[3]C. 2025 Forecast Sales'!D112</f>
        <v>0.29032134761179901</v>
      </c>
      <c r="F104" s="160">
        <f>'[3]C. 2025 Forecast Sales'!E112</f>
        <v>0.29032134761179901</v>
      </c>
      <c r="G104" s="160">
        <f>'[3]C. 2025 Forecast Sales'!F112</f>
        <v>0.29032134761179901</v>
      </c>
      <c r="H104" s="160">
        <f>'[3]C. 2025 Forecast Sales'!G112</f>
        <v>0.28541470483171499</v>
      </c>
      <c r="I104" s="160">
        <f>'[3]C. 2025 Forecast Sales'!H112</f>
        <v>0.28541470483171499</v>
      </c>
      <c r="J104" s="160">
        <f>'[3]C. 2025 Forecast Sales'!I112</f>
        <v>0.28541470483171499</v>
      </c>
      <c r="K104" s="160">
        <f>'[3]C. 2025 Forecast Sales'!J112</f>
        <v>0.28541470483171499</v>
      </c>
      <c r="L104" s="160">
        <f>'[3]C. 2025 Forecast Sales'!K112</f>
        <v>0.28541470483171499</v>
      </c>
      <c r="M104" s="160">
        <f>'[3]C. 2025 Forecast Sales'!L112</f>
        <v>0.29032134761179901</v>
      </c>
      <c r="N104" s="160">
        <f>'[3]C. 2025 Forecast Sales'!M112</f>
        <v>0.29032134761179901</v>
      </c>
      <c r="O104" s="161">
        <f>O109/O100</f>
        <v>0.28816390558757277</v>
      </c>
      <c r="P104" s="61">
        <f t="shared" si="22"/>
        <v>102</v>
      </c>
    </row>
    <row r="105" spans="1:16" x14ac:dyDescent="0.3">
      <c r="A105" s="11">
        <f t="shared" si="21"/>
        <v>103</v>
      </c>
      <c r="B105" s="237" t="s">
        <v>403</v>
      </c>
      <c r="C105" s="160">
        <f>'[3]C. 2025 Forecast Sales'!B113</f>
        <v>0.70967865238820005</v>
      </c>
      <c r="D105" s="160">
        <f>'[3]C. 2025 Forecast Sales'!C113</f>
        <v>0.70967865238820005</v>
      </c>
      <c r="E105" s="160">
        <f>'[3]C. 2025 Forecast Sales'!D113</f>
        <v>0.70967865238820005</v>
      </c>
      <c r="F105" s="160">
        <f>'[3]C. 2025 Forecast Sales'!E113</f>
        <v>0.70967865238820005</v>
      </c>
      <c r="G105" s="160">
        <f>'[3]C. 2025 Forecast Sales'!F113</f>
        <v>0.70967865238820005</v>
      </c>
      <c r="H105" s="160">
        <f>'[3]C. 2025 Forecast Sales'!G113</f>
        <v>0.71458529516828395</v>
      </c>
      <c r="I105" s="160">
        <f>'[3]C. 2025 Forecast Sales'!H113</f>
        <v>0.71458529516828395</v>
      </c>
      <c r="J105" s="160">
        <f>'[3]C. 2025 Forecast Sales'!I113</f>
        <v>0.71458529516828395</v>
      </c>
      <c r="K105" s="160">
        <f>'[3]C. 2025 Forecast Sales'!J113</f>
        <v>0.71458529516828395</v>
      </c>
      <c r="L105" s="160">
        <f>'[3]C. 2025 Forecast Sales'!K113</f>
        <v>0.71458529516828395</v>
      </c>
      <c r="M105" s="160">
        <f>'[3]C. 2025 Forecast Sales'!L113</f>
        <v>0.70967865238820005</v>
      </c>
      <c r="N105" s="160">
        <f>'[3]C. 2025 Forecast Sales'!M113</f>
        <v>0.70967865238820005</v>
      </c>
      <c r="O105" s="162">
        <f>O110/O100</f>
        <v>0.71183609441242623</v>
      </c>
      <c r="P105" s="61">
        <f t="shared" si="22"/>
        <v>103</v>
      </c>
    </row>
    <row r="106" spans="1:16" x14ac:dyDescent="0.3">
      <c r="A106" s="11">
        <f t="shared" si="21"/>
        <v>104</v>
      </c>
      <c r="C106" s="160">
        <f>'[3]C. 2025 Forecast Sales'!B114</f>
        <v>0.99999999999999911</v>
      </c>
      <c r="D106" s="160">
        <f>'[3]C. 2025 Forecast Sales'!C114</f>
        <v>0.99999999999999911</v>
      </c>
      <c r="E106" s="160">
        <f>'[3]C. 2025 Forecast Sales'!D114</f>
        <v>0.99999999999999911</v>
      </c>
      <c r="F106" s="160">
        <f>'[3]C. 2025 Forecast Sales'!E114</f>
        <v>0.99999999999999911</v>
      </c>
      <c r="G106" s="160">
        <f>'[3]C. 2025 Forecast Sales'!F114</f>
        <v>0.99999999999999911</v>
      </c>
      <c r="H106" s="160">
        <f>'[3]C. 2025 Forecast Sales'!G114</f>
        <v>0.99999999999999889</v>
      </c>
      <c r="I106" s="160">
        <f>'[3]C. 2025 Forecast Sales'!H114</f>
        <v>0.99999999999999889</v>
      </c>
      <c r="J106" s="160">
        <f>'[3]C. 2025 Forecast Sales'!I114</f>
        <v>0.99999999999999889</v>
      </c>
      <c r="K106" s="160">
        <f>'[3]C. 2025 Forecast Sales'!J114</f>
        <v>0.99999999999999889</v>
      </c>
      <c r="L106" s="160">
        <f>'[3]C. 2025 Forecast Sales'!K114</f>
        <v>0.99999999999999889</v>
      </c>
      <c r="M106" s="160">
        <f>'[3]C. 2025 Forecast Sales'!L114</f>
        <v>0.99999999999999911</v>
      </c>
      <c r="N106" s="160">
        <f>'[3]C. 2025 Forecast Sales'!M114</f>
        <v>0.99999999999999911</v>
      </c>
      <c r="O106" s="161">
        <f>SUM(O103:O105)</f>
        <v>0.999999999999999</v>
      </c>
      <c r="P106" s="61">
        <f t="shared" si="22"/>
        <v>104</v>
      </c>
    </row>
    <row r="107" spans="1:16" x14ac:dyDescent="0.3">
      <c r="A107" s="11">
        <f t="shared" si="21"/>
        <v>105</v>
      </c>
      <c r="B107" s="235" t="s">
        <v>399</v>
      </c>
      <c r="O107" s="133"/>
      <c r="P107" s="61">
        <f t="shared" si="22"/>
        <v>105</v>
      </c>
    </row>
    <row r="108" spans="1:16" x14ac:dyDescent="0.3">
      <c r="A108" s="11">
        <f t="shared" si="21"/>
        <v>106</v>
      </c>
      <c r="B108" s="127" t="s">
        <v>404</v>
      </c>
      <c r="C108" s="84">
        <f t="shared" ref="C108" si="31">C100*C103</f>
        <v>0</v>
      </c>
      <c r="D108" s="84">
        <f t="shared" ref="D108:N108" si="32">D100*D103</f>
        <v>0</v>
      </c>
      <c r="E108" s="84">
        <f t="shared" si="32"/>
        <v>0</v>
      </c>
      <c r="F108" s="84">
        <f t="shared" si="32"/>
        <v>0</v>
      </c>
      <c r="G108" s="84">
        <f t="shared" si="32"/>
        <v>0</v>
      </c>
      <c r="H108" s="84">
        <f t="shared" si="32"/>
        <v>0</v>
      </c>
      <c r="I108" s="84">
        <f t="shared" si="32"/>
        <v>0</v>
      </c>
      <c r="J108" s="84">
        <f t="shared" si="32"/>
        <v>0</v>
      </c>
      <c r="K108" s="84">
        <f t="shared" si="32"/>
        <v>0</v>
      </c>
      <c r="L108" s="84">
        <f t="shared" si="32"/>
        <v>0</v>
      </c>
      <c r="M108" s="84">
        <f t="shared" si="32"/>
        <v>0</v>
      </c>
      <c r="N108" s="84">
        <f t="shared" si="32"/>
        <v>0</v>
      </c>
      <c r="O108" s="128">
        <f>SUM(C108:N108)</f>
        <v>0</v>
      </c>
      <c r="P108" s="61">
        <f t="shared" si="22"/>
        <v>106</v>
      </c>
    </row>
    <row r="109" spans="1:16" x14ac:dyDescent="0.3">
      <c r="A109" s="11">
        <f t="shared" si="21"/>
        <v>107</v>
      </c>
      <c r="B109" s="127" t="s">
        <v>405</v>
      </c>
      <c r="C109" s="84">
        <f t="shared" ref="C109" si="33">C100*C104</f>
        <v>24986.17287673966</v>
      </c>
      <c r="D109" s="84">
        <f t="shared" ref="D109:N109" si="34">D100*D104</f>
        <v>21705.343738897616</v>
      </c>
      <c r="E109" s="84">
        <f t="shared" si="34"/>
        <v>23182.233478797243</v>
      </c>
      <c r="F109" s="84">
        <f t="shared" si="34"/>
        <v>24356.122910323109</v>
      </c>
      <c r="G109" s="84">
        <f t="shared" si="34"/>
        <v>23949.919220448737</v>
      </c>
      <c r="H109" s="84">
        <f t="shared" si="34"/>
        <v>24556.424604164531</v>
      </c>
      <c r="I109" s="84">
        <f t="shared" si="34"/>
        <v>28461.518816935859</v>
      </c>
      <c r="J109" s="84">
        <f t="shared" si="34"/>
        <v>27836.129987652417</v>
      </c>
      <c r="K109" s="84">
        <f t="shared" si="34"/>
        <v>27523.927734806857</v>
      </c>
      <c r="L109" s="84">
        <f t="shared" si="34"/>
        <v>24944.930488288519</v>
      </c>
      <c r="M109" s="84">
        <f t="shared" si="34"/>
        <v>24989.862610185734</v>
      </c>
      <c r="N109" s="84">
        <f t="shared" si="34"/>
        <v>29642.705471962312</v>
      </c>
      <c r="O109" s="128">
        <f>SUM(C109:N109)</f>
        <v>306135.29193920258</v>
      </c>
      <c r="P109" s="61">
        <f t="shared" si="22"/>
        <v>107</v>
      </c>
    </row>
    <row r="110" spans="1:16" x14ac:dyDescent="0.3">
      <c r="A110" s="11">
        <f t="shared" si="21"/>
        <v>108</v>
      </c>
      <c r="B110" s="127" t="s">
        <v>406</v>
      </c>
      <c r="C110" s="85">
        <f t="shared" ref="C110" si="35">C100*C105</f>
        <v>61077.676999535048</v>
      </c>
      <c r="D110" s="85">
        <f t="shared" ref="D110:N110" si="36">D100*D105</f>
        <v>53057.824445071863</v>
      </c>
      <c r="E110" s="85">
        <f t="shared" si="36"/>
        <v>56668.020970266451</v>
      </c>
      <c r="F110" s="85">
        <f t="shared" si="36"/>
        <v>59537.545642396246</v>
      </c>
      <c r="G110" s="85">
        <f t="shared" si="36"/>
        <v>58544.597347010735</v>
      </c>
      <c r="H110" s="85">
        <f t="shared" si="36"/>
        <v>61481.274885227089</v>
      </c>
      <c r="I110" s="85">
        <f t="shared" si="36"/>
        <v>71258.356631377814</v>
      </c>
      <c r="J110" s="85">
        <f t="shared" si="36"/>
        <v>69692.587056078773</v>
      </c>
      <c r="K110" s="85">
        <f t="shared" si="36"/>
        <v>68910.934480983211</v>
      </c>
      <c r="L110" s="85">
        <f t="shared" si="36"/>
        <v>62453.966856529143</v>
      </c>
      <c r="M110" s="85">
        <f t="shared" si="36"/>
        <v>61086.696401935951</v>
      </c>
      <c r="N110" s="85">
        <f t="shared" si="36"/>
        <v>72460.380352779728</v>
      </c>
      <c r="O110" s="131">
        <f>SUM(C110:N110)</f>
        <v>756229.86206919211</v>
      </c>
      <c r="P110" s="61">
        <f t="shared" si="22"/>
        <v>108</v>
      </c>
    </row>
    <row r="111" spans="1:16" x14ac:dyDescent="0.3">
      <c r="A111" s="11">
        <f t="shared" si="21"/>
        <v>109</v>
      </c>
      <c r="B111" s="238"/>
      <c r="C111" s="84">
        <f t="shared" ref="C111:O111" si="37">SUM(C108:C110)</f>
        <v>86063.849876274704</v>
      </c>
      <c r="D111" s="84">
        <f t="shared" si="37"/>
        <v>74763.168183969479</v>
      </c>
      <c r="E111" s="84">
        <f t="shared" si="37"/>
        <v>79850.254449063694</v>
      </c>
      <c r="F111" s="84">
        <f t="shared" si="37"/>
        <v>83893.668552719348</v>
      </c>
      <c r="G111" s="84">
        <f t="shared" si="37"/>
        <v>82494.516567459475</v>
      </c>
      <c r="H111" s="84">
        <f t="shared" si="37"/>
        <v>86037.699489391613</v>
      </c>
      <c r="I111" s="84">
        <f t="shared" si="37"/>
        <v>99719.875448313673</v>
      </c>
      <c r="J111" s="84">
        <f t="shared" si="37"/>
        <v>97528.717043731187</v>
      </c>
      <c r="K111" s="84">
        <f t="shared" si="37"/>
        <v>96434.862215790068</v>
      </c>
      <c r="L111" s="84">
        <f t="shared" si="37"/>
        <v>87398.897344817669</v>
      </c>
      <c r="M111" s="84">
        <f t="shared" si="37"/>
        <v>86076.559012121681</v>
      </c>
      <c r="N111" s="84">
        <f t="shared" si="37"/>
        <v>102103.08582474204</v>
      </c>
      <c r="O111" s="132">
        <f t="shared" si="37"/>
        <v>1062365.1540083946</v>
      </c>
      <c r="P111" s="61">
        <f t="shared" si="22"/>
        <v>109</v>
      </c>
    </row>
    <row r="112" spans="1:16" x14ac:dyDescent="0.3">
      <c r="A112" s="11">
        <f t="shared" si="21"/>
        <v>110</v>
      </c>
      <c r="B112" s="235" t="s">
        <v>415</v>
      </c>
      <c r="O112" s="134"/>
      <c r="P112" s="61">
        <f t="shared" si="22"/>
        <v>110</v>
      </c>
    </row>
    <row r="113" spans="1:16" x14ac:dyDescent="0.3">
      <c r="A113" s="11">
        <f t="shared" si="21"/>
        <v>111</v>
      </c>
      <c r="B113" s="237" t="s">
        <v>401</v>
      </c>
      <c r="C113" s="385">
        <f>'[3]C. 2025 Forecast Sales'!B121</f>
        <v>0</v>
      </c>
      <c r="D113" s="385">
        <f>'[3]C. 2025 Forecast Sales'!C121</f>
        <v>0</v>
      </c>
      <c r="E113" s="385">
        <f>'[3]C. 2025 Forecast Sales'!D121</f>
        <v>0</v>
      </c>
      <c r="F113" s="385">
        <f>'[3]C. 2025 Forecast Sales'!E121</f>
        <v>0</v>
      </c>
      <c r="G113" s="385">
        <f>'[3]C. 2025 Forecast Sales'!F121</f>
        <v>0</v>
      </c>
      <c r="H113" s="385">
        <f>'[3]C. 2025 Forecast Sales'!G121</f>
        <v>0</v>
      </c>
      <c r="I113" s="385">
        <f>'[3]C. 2025 Forecast Sales'!H121</f>
        <v>0</v>
      </c>
      <c r="J113" s="385">
        <f>'[3]C. 2025 Forecast Sales'!I121</f>
        <v>0</v>
      </c>
      <c r="K113" s="385">
        <f>'[3]C. 2025 Forecast Sales'!J121</f>
        <v>0</v>
      </c>
      <c r="L113" s="385">
        <f>'[3]C. 2025 Forecast Sales'!K121</f>
        <v>0</v>
      </c>
      <c r="M113" s="385">
        <f>'[3]C. 2025 Forecast Sales'!L121</f>
        <v>0</v>
      </c>
      <c r="N113" s="385">
        <f>'[3]C. 2025 Forecast Sales'!M121</f>
        <v>0</v>
      </c>
      <c r="O113" s="163">
        <f>IFERROR(O118/O108,0)</f>
        <v>0</v>
      </c>
      <c r="P113" s="61">
        <f t="shared" si="22"/>
        <v>111</v>
      </c>
    </row>
    <row r="114" spans="1:16" x14ac:dyDescent="0.3">
      <c r="A114" s="11">
        <f t="shared" si="21"/>
        <v>112</v>
      </c>
      <c r="B114" s="237" t="s">
        <v>402</v>
      </c>
      <c r="C114" s="385">
        <f>'[3]C. 2025 Forecast Sales'!B122</f>
        <v>2.2450940293153102E-3</v>
      </c>
      <c r="D114" s="385">
        <f>'[3]C. 2025 Forecast Sales'!C122</f>
        <v>2.2450940293153102E-3</v>
      </c>
      <c r="E114" s="385">
        <f>'[3]C. 2025 Forecast Sales'!D122</f>
        <v>2.2450940293153102E-3</v>
      </c>
      <c r="F114" s="385">
        <f>'[3]C. 2025 Forecast Sales'!E122</f>
        <v>2.2450940293153102E-3</v>
      </c>
      <c r="G114" s="385">
        <f>'[3]C. 2025 Forecast Sales'!F122</f>
        <v>2.2450940293153102E-3</v>
      </c>
      <c r="H114" s="385">
        <f>'[3]C. 2025 Forecast Sales'!G122</f>
        <v>2.2359944619016101E-3</v>
      </c>
      <c r="I114" s="385">
        <f>'[3]C. 2025 Forecast Sales'!H122</f>
        <v>2.2359944619016101E-3</v>
      </c>
      <c r="J114" s="385">
        <f>'[3]C. 2025 Forecast Sales'!I122</f>
        <v>2.2359944619016101E-3</v>
      </c>
      <c r="K114" s="385">
        <f>'[3]C. 2025 Forecast Sales'!J122</f>
        <v>2.2359944619016101E-3</v>
      </c>
      <c r="L114" s="385">
        <f>'[3]C. 2025 Forecast Sales'!K122</f>
        <v>2.2359944619016101E-3</v>
      </c>
      <c r="M114" s="385">
        <f>'[3]C. 2025 Forecast Sales'!L122</f>
        <v>2.2450940293153102E-3</v>
      </c>
      <c r="N114" s="385">
        <f>'[3]C. 2025 Forecast Sales'!M122</f>
        <v>2.2450940293153102E-3</v>
      </c>
      <c r="O114" s="163">
        <f>O119/O109</f>
        <v>2.2411311376261778E-3</v>
      </c>
      <c r="P114" s="61">
        <f t="shared" si="22"/>
        <v>112</v>
      </c>
    </row>
    <row r="115" spans="1:16" x14ac:dyDescent="0.3">
      <c r="A115" s="11">
        <f t="shared" si="21"/>
        <v>113</v>
      </c>
      <c r="B115" s="237" t="s">
        <v>403</v>
      </c>
      <c r="C115" s="385">
        <f>'[3]C. 2025 Forecast Sales'!B123</f>
        <v>1.7420107192995E-3</v>
      </c>
      <c r="D115" s="385">
        <f>'[3]C. 2025 Forecast Sales'!C123</f>
        <v>1.7420107192995E-3</v>
      </c>
      <c r="E115" s="385">
        <f>'[3]C. 2025 Forecast Sales'!D123</f>
        <v>1.7420107192995E-3</v>
      </c>
      <c r="F115" s="385">
        <f>'[3]C. 2025 Forecast Sales'!E123</f>
        <v>1.7420107192995E-3</v>
      </c>
      <c r="G115" s="385">
        <f>'[3]C. 2025 Forecast Sales'!F123</f>
        <v>1.7420107192995E-3</v>
      </c>
      <c r="H115" s="385">
        <f>'[3]C. 2025 Forecast Sales'!G123</f>
        <v>1.74201071929949E-3</v>
      </c>
      <c r="I115" s="385">
        <f>'[3]C. 2025 Forecast Sales'!H123</f>
        <v>1.74201071929949E-3</v>
      </c>
      <c r="J115" s="385">
        <f>'[3]C. 2025 Forecast Sales'!I123</f>
        <v>1.74201071929949E-3</v>
      </c>
      <c r="K115" s="385">
        <f>'[3]C. 2025 Forecast Sales'!J123</f>
        <v>1.74201071929949E-3</v>
      </c>
      <c r="L115" s="385">
        <f>'[3]C. 2025 Forecast Sales'!K123</f>
        <v>1.74201071929949E-3</v>
      </c>
      <c r="M115" s="385">
        <f>'[3]C. 2025 Forecast Sales'!L123</f>
        <v>1.7420107192995E-3</v>
      </c>
      <c r="N115" s="385">
        <f>'[3]C. 2025 Forecast Sales'!M123</f>
        <v>1.7420107192995E-3</v>
      </c>
      <c r="O115" s="163">
        <f>O120/O110</f>
        <v>1.742010719299495E-3</v>
      </c>
      <c r="P115" s="61">
        <f t="shared" si="22"/>
        <v>113</v>
      </c>
    </row>
    <row r="116" spans="1:16" x14ac:dyDescent="0.3">
      <c r="A116" s="11">
        <f t="shared" si="21"/>
        <v>114</v>
      </c>
      <c r="C116" s="388"/>
      <c r="D116" s="388"/>
      <c r="E116" s="388"/>
      <c r="F116" s="388"/>
      <c r="G116" s="388"/>
      <c r="H116" s="388"/>
      <c r="I116" s="388"/>
      <c r="J116" s="388"/>
      <c r="K116" s="388"/>
      <c r="L116" s="388"/>
      <c r="M116" s="388"/>
      <c r="N116" s="388"/>
      <c r="O116" s="133"/>
      <c r="P116" s="61">
        <f t="shared" si="22"/>
        <v>114</v>
      </c>
    </row>
    <row r="117" spans="1:16" x14ac:dyDescent="0.3">
      <c r="A117" s="11">
        <f t="shared" si="21"/>
        <v>115</v>
      </c>
      <c r="B117" s="235" t="s">
        <v>416</v>
      </c>
      <c r="O117" s="133"/>
      <c r="P117" s="61">
        <f t="shared" si="22"/>
        <v>115</v>
      </c>
    </row>
    <row r="118" spans="1:16" x14ac:dyDescent="0.3">
      <c r="A118" s="11">
        <f t="shared" si="21"/>
        <v>116</v>
      </c>
      <c r="B118" s="127" t="s">
        <v>409</v>
      </c>
      <c r="C118" s="83">
        <f>C108*C113</f>
        <v>0</v>
      </c>
      <c r="D118" s="83">
        <f t="shared" ref="C118:N120" si="38">D108*D113</f>
        <v>0</v>
      </c>
      <c r="E118" s="83">
        <f t="shared" si="38"/>
        <v>0</v>
      </c>
      <c r="F118" s="83">
        <f t="shared" si="38"/>
        <v>0</v>
      </c>
      <c r="G118" s="83">
        <f t="shared" si="38"/>
        <v>0</v>
      </c>
      <c r="H118" s="83">
        <f t="shared" si="38"/>
        <v>0</v>
      </c>
      <c r="I118" s="83">
        <f t="shared" si="38"/>
        <v>0</v>
      </c>
      <c r="J118" s="83">
        <f t="shared" si="38"/>
        <v>0</v>
      </c>
      <c r="K118" s="83">
        <f t="shared" si="38"/>
        <v>0</v>
      </c>
      <c r="L118" s="83">
        <f t="shared" si="38"/>
        <v>0</v>
      </c>
      <c r="M118" s="83">
        <f t="shared" si="38"/>
        <v>0</v>
      </c>
      <c r="N118" s="83">
        <f t="shared" si="38"/>
        <v>0</v>
      </c>
      <c r="O118" s="135">
        <f>SUM(C118:N118)</f>
        <v>0</v>
      </c>
      <c r="P118" s="61">
        <f t="shared" si="22"/>
        <v>116</v>
      </c>
    </row>
    <row r="119" spans="1:16" x14ac:dyDescent="0.3">
      <c r="A119" s="11">
        <f t="shared" si="21"/>
        <v>117</v>
      </c>
      <c r="B119" s="127" t="s">
        <v>410</v>
      </c>
      <c r="C119" s="83">
        <f t="shared" si="38"/>
        <v>56.096307541008358</v>
      </c>
      <c r="D119" s="83">
        <f t="shared" si="38"/>
        <v>48.730537632435485</v>
      </c>
      <c r="E119" s="83">
        <f t="shared" si="38"/>
        <v>52.04629396944118</v>
      </c>
      <c r="F119" s="83">
        <f t="shared" si="38"/>
        <v>54.68178612323625</v>
      </c>
      <c r="G119" s="83">
        <f t="shared" si="38"/>
        <v>53.76982064441345</v>
      </c>
      <c r="H119" s="83">
        <f t="shared" si="38"/>
        <v>54.90802941901633</v>
      </c>
      <c r="I119" s="83">
        <f t="shared" si="38"/>
        <v>63.639798451977043</v>
      </c>
      <c r="J119" s="83">
        <f t="shared" si="38"/>
        <v>62.24143249316414</v>
      </c>
      <c r="K119" s="83">
        <f t="shared" si="38"/>
        <v>61.543349984808259</v>
      </c>
      <c r="L119" s="83">
        <f t="shared" si="38"/>
        <v>55.776726424333752</v>
      </c>
      <c r="M119" s="83">
        <f t="shared" si="38"/>
        <v>56.104591339537905</v>
      </c>
      <c r="N119" s="83">
        <f>N109*N114</f>
        <v>66.550661067854861</v>
      </c>
      <c r="O119" s="135">
        <f>SUM(C119:N119)</f>
        <v>686.0893350912271</v>
      </c>
      <c r="P119" s="61">
        <f t="shared" si="22"/>
        <v>117</v>
      </c>
    </row>
    <row r="120" spans="1:16" x14ac:dyDescent="0.3">
      <c r="A120" s="11">
        <f t="shared" si="21"/>
        <v>118</v>
      </c>
      <c r="B120" s="127" t="s">
        <v>411</v>
      </c>
      <c r="C120" s="86">
        <f t="shared" si="38"/>
        <v>106.39796804310257</v>
      </c>
      <c r="D120" s="86">
        <f t="shared" si="38"/>
        <v>92.427298926026225</v>
      </c>
      <c r="E120" s="86">
        <f t="shared" si="38"/>
        <v>98.716299971693005</v>
      </c>
      <c r="F120" s="86">
        <f t="shared" si="38"/>
        <v>103.71504270983749</v>
      </c>
      <c r="G120" s="86">
        <f t="shared" si="38"/>
        <v>101.98531613556577</v>
      </c>
      <c r="H120" s="86">
        <f t="shared" si="38"/>
        <v>107.1010398862641</v>
      </c>
      <c r="I120" s="86">
        <f t="shared" si="38"/>
        <v>124.13282109152604</v>
      </c>
      <c r="J120" s="86">
        <f t="shared" si="38"/>
        <v>121.4052337074021</v>
      </c>
      <c r="K120" s="86">
        <f t="shared" si="38"/>
        <v>120.04358654281759</v>
      </c>
      <c r="L120" s="86">
        <f t="shared" si="38"/>
        <v>108.79547972684884</v>
      </c>
      <c r="M120" s="86">
        <f t="shared" si="38"/>
        <v>106.41367993876662</v>
      </c>
      <c r="N120" s="86">
        <f t="shared" si="38"/>
        <v>126.22675929906117</v>
      </c>
      <c r="O120" s="136">
        <f>SUM(C120:N120)</f>
        <v>1317.3605259789113</v>
      </c>
      <c r="P120" s="61">
        <f t="shared" si="22"/>
        <v>118</v>
      </c>
    </row>
    <row r="121" spans="1:16" x14ac:dyDescent="0.3">
      <c r="A121" s="11">
        <f t="shared" si="21"/>
        <v>119</v>
      </c>
      <c r="C121" s="83">
        <f t="shared" ref="C121:N121" si="39">SUM(C118:C120)</f>
        <v>162.49427558411094</v>
      </c>
      <c r="D121" s="83">
        <f t="shared" si="39"/>
        <v>141.15783655846172</v>
      </c>
      <c r="E121" s="83">
        <f t="shared" si="39"/>
        <v>150.76259394113418</v>
      </c>
      <c r="F121" s="83">
        <f t="shared" si="39"/>
        <v>158.39682883307376</v>
      </c>
      <c r="G121" s="83">
        <f t="shared" si="39"/>
        <v>155.75513677997921</v>
      </c>
      <c r="H121" s="83">
        <f t="shared" si="39"/>
        <v>162.00906930528043</v>
      </c>
      <c r="I121" s="83">
        <f t="shared" si="39"/>
        <v>187.77261954350308</v>
      </c>
      <c r="J121" s="83">
        <f t="shared" si="39"/>
        <v>183.64666620056624</v>
      </c>
      <c r="K121" s="83">
        <f t="shared" si="39"/>
        <v>181.58693652762585</v>
      </c>
      <c r="L121" s="83">
        <f t="shared" si="39"/>
        <v>164.5722061511826</v>
      </c>
      <c r="M121" s="83">
        <f t="shared" si="39"/>
        <v>162.51827127830452</v>
      </c>
      <c r="N121" s="83">
        <f t="shared" si="39"/>
        <v>192.77742036691603</v>
      </c>
      <c r="O121" s="137">
        <f>SUM(O118:O120)</f>
        <v>2003.4498610701385</v>
      </c>
      <c r="P121" s="61">
        <f t="shared" si="22"/>
        <v>119</v>
      </c>
    </row>
    <row r="122" spans="1:16" ht="21.75" x14ac:dyDescent="0.3">
      <c r="A122" s="11">
        <f t="shared" si="21"/>
        <v>120</v>
      </c>
      <c r="B122" s="235" t="s">
        <v>422</v>
      </c>
      <c r="O122" s="127"/>
      <c r="P122" s="61">
        <f t="shared" si="22"/>
        <v>120</v>
      </c>
    </row>
    <row r="123" spans="1:16" x14ac:dyDescent="0.3">
      <c r="A123" s="11">
        <f t="shared" si="21"/>
        <v>121</v>
      </c>
      <c r="B123" s="237" t="s">
        <v>401</v>
      </c>
      <c r="C123" s="385">
        <f>'[3]C. 2025 Forecast Sales'!B131</f>
        <v>0</v>
      </c>
      <c r="D123" s="385">
        <f>'[3]C. 2025 Forecast Sales'!C131</f>
        <v>0</v>
      </c>
      <c r="E123" s="385">
        <f>'[3]C. 2025 Forecast Sales'!D131</f>
        <v>0</v>
      </c>
      <c r="F123" s="385">
        <f>'[3]C. 2025 Forecast Sales'!E131</f>
        <v>0</v>
      </c>
      <c r="G123" s="385">
        <f>'[3]C. 2025 Forecast Sales'!F131</f>
        <v>0</v>
      </c>
      <c r="H123" s="385">
        <f>'[3]C. 2025 Forecast Sales'!G131</f>
        <v>0</v>
      </c>
      <c r="I123" s="385">
        <f>'[3]C. 2025 Forecast Sales'!H131</f>
        <v>0</v>
      </c>
      <c r="J123" s="385">
        <f>'[3]C. 2025 Forecast Sales'!I131</f>
        <v>0</v>
      </c>
      <c r="K123" s="385">
        <f>'[3]C. 2025 Forecast Sales'!J131</f>
        <v>0</v>
      </c>
      <c r="L123" s="385">
        <f>'[3]C. 2025 Forecast Sales'!K131</f>
        <v>0</v>
      </c>
      <c r="M123" s="385">
        <f>'[3]C. 2025 Forecast Sales'!L131</f>
        <v>0</v>
      </c>
      <c r="N123" s="385">
        <f>'[3]C. 2025 Forecast Sales'!M131</f>
        <v>0</v>
      </c>
      <c r="O123" s="164">
        <v>0</v>
      </c>
      <c r="P123" s="61">
        <f t="shared" si="22"/>
        <v>121</v>
      </c>
    </row>
    <row r="124" spans="1:16" x14ac:dyDescent="0.3">
      <c r="A124" s="11">
        <f t="shared" si="21"/>
        <v>122</v>
      </c>
      <c r="B124" s="237" t="s">
        <v>402</v>
      </c>
      <c r="C124" s="385">
        <f>'[3]C. 2025 Forecast Sales'!B132</f>
        <v>1.51059656915934E-3</v>
      </c>
      <c r="D124" s="385">
        <f>'[3]C. 2025 Forecast Sales'!C132</f>
        <v>1.51059656915934E-3</v>
      </c>
      <c r="E124" s="385">
        <f>'[3]C. 2025 Forecast Sales'!D132</f>
        <v>1.51059656915934E-3</v>
      </c>
      <c r="F124" s="385">
        <f>'[3]C. 2025 Forecast Sales'!E132</f>
        <v>1.51059656915934E-3</v>
      </c>
      <c r="G124" s="385">
        <f>'[3]C. 2025 Forecast Sales'!F132</f>
        <v>1.51059656915934E-3</v>
      </c>
      <c r="H124" s="385">
        <f>'[3]C. 2025 Forecast Sales'!G132</f>
        <v>1.5481914215753499E-3</v>
      </c>
      <c r="I124" s="385">
        <f>'[3]C. 2025 Forecast Sales'!H132</f>
        <v>1.5481914215753499E-3</v>
      </c>
      <c r="J124" s="385">
        <f>'[3]C. 2025 Forecast Sales'!I132</f>
        <v>1.5481914215753499E-3</v>
      </c>
      <c r="K124" s="385">
        <f>'[3]C. 2025 Forecast Sales'!J132</f>
        <v>1.5481914215753499E-3</v>
      </c>
      <c r="L124" s="385">
        <f>'[3]C. 2025 Forecast Sales'!K132</f>
        <v>1.5481914215753499E-3</v>
      </c>
      <c r="M124" s="385">
        <f>'[3]C. 2025 Forecast Sales'!L132</f>
        <v>1.51059656915934E-3</v>
      </c>
      <c r="N124" s="385">
        <f>'[3]C. 2025 Forecast Sales'!M132</f>
        <v>1.51059656915934E-3</v>
      </c>
      <c r="O124" s="164">
        <f>O129/O109</f>
        <v>1.5269692516639254E-3</v>
      </c>
      <c r="P124" s="61">
        <f t="shared" si="22"/>
        <v>122</v>
      </c>
    </row>
    <row r="125" spans="1:16" x14ac:dyDescent="0.3">
      <c r="A125" s="11">
        <f t="shared" si="21"/>
        <v>123</v>
      </c>
      <c r="B125" s="237" t="s">
        <v>403</v>
      </c>
      <c r="C125" s="385">
        <f>'[3]C. 2025 Forecast Sales'!B133</f>
        <v>1.4102411622621E-3</v>
      </c>
      <c r="D125" s="385">
        <f>'[3]C. 2025 Forecast Sales'!C133</f>
        <v>1.4102411622621E-3</v>
      </c>
      <c r="E125" s="385">
        <f>'[3]C. 2025 Forecast Sales'!D133</f>
        <v>1.4102411622621E-3</v>
      </c>
      <c r="F125" s="385">
        <f>'[3]C. 2025 Forecast Sales'!E133</f>
        <v>1.4102411622621E-3</v>
      </c>
      <c r="G125" s="385">
        <f>'[3]C. 2025 Forecast Sales'!F133</f>
        <v>1.4102411622621E-3</v>
      </c>
      <c r="H125" s="385">
        <f>'[3]C. 2025 Forecast Sales'!G133</f>
        <v>1.3730847260213E-3</v>
      </c>
      <c r="I125" s="385">
        <f>'[3]C. 2025 Forecast Sales'!H133</f>
        <v>1.3730847260213E-3</v>
      </c>
      <c r="J125" s="385">
        <f>'[3]C. 2025 Forecast Sales'!I133</f>
        <v>1.3730847260213E-3</v>
      </c>
      <c r="K125" s="385">
        <f>'[3]C. 2025 Forecast Sales'!J133</f>
        <v>1.3730847260213E-3</v>
      </c>
      <c r="L125" s="385">
        <f>'[3]C. 2025 Forecast Sales'!K133</f>
        <v>1.3730847260213E-3</v>
      </c>
      <c r="M125" s="385">
        <f>'[3]C. 2025 Forecast Sales'!L133</f>
        <v>1.4102411622621E-3</v>
      </c>
      <c r="N125" s="385">
        <f>'[3]C. 2025 Forecast Sales'!M133</f>
        <v>1.4102411622621E-3</v>
      </c>
      <c r="O125" s="164">
        <f>O130/O110</f>
        <v>1.3938404459912961E-3</v>
      </c>
      <c r="P125" s="61">
        <f t="shared" si="22"/>
        <v>123</v>
      </c>
    </row>
    <row r="126" spans="1:16" x14ac:dyDescent="0.3">
      <c r="A126" s="11">
        <f t="shared" si="21"/>
        <v>124</v>
      </c>
      <c r="B126" s="237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27"/>
      <c r="P126" s="61">
        <f t="shared" si="22"/>
        <v>124</v>
      </c>
    </row>
    <row r="127" spans="1:16" ht="21.75" x14ac:dyDescent="0.3">
      <c r="A127" s="11">
        <f t="shared" si="21"/>
        <v>125</v>
      </c>
      <c r="B127" s="235" t="s">
        <v>423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27"/>
      <c r="P127" s="61">
        <f t="shared" si="22"/>
        <v>125</v>
      </c>
    </row>
    <row r="128" spans="1:16" x14ac:dyDescent="0.3">
      <c r="A128" s="11">
        <f t="shared" si="21"/>
        <v>126</v>
      </c>
      <c r="B128" s="127" t="s">
        <v>409</v>
      </c>
      <c r="C128" s="83">
        <f t="shared" ref="C128:N130" si="40">C108*C123</f>
        <v>0</v>
      </c>
      <c r="D128" s="83">
        <f t="shared" si="40"/>
        <v>0</v>
      </c>
      <c r="E128" s="83">
        <f t="shared" si="40"/>
        <v>0</v>
      </c>
      <c r="F128" s="83">
        <f t="shared" si="40"/>
        <v>0</v>
      </c>
      <c r="G128" s="83">
        <f t="shared" si="40"/>
        <v>0</v>
      </c>
      <c r="H128" s="83">
        <f t="shared" si="40"/>
        <v>0</v>
      </c>
      <c r="I128" s="83">
        <f t="shared" si="40"/>
        <v>0</v>
      </c>
      <c r="J128" s="83">
        <f t="shared" si="40"/>
        <v>0</v>
      </c>
      <c r="K128" s="83">
        <f t="shared" si="40"/>
        <v>0</v>
      </c>
      <c r="L128" s="83">
        <f t="shared" si="40"/>
        <v>0</v>
      </c>
      <c r="M128" s="83">
        <f t="shared" si="40"/>
        <v>0</v>
      </c>
      <c r="N128" s="83">
        <f t="shared" si="40"/>
        <v>0</v>
      </c>
      <c r="O128" s="135">
        <f>SUM(C128:N128)</f>
        <v>0</v>
      </c>
      <c r="P128" s="61">
        <f t="shared" si="22"/>
        <v>126</v>
      </c>
    </row>
    <row r="129" spans="1:21" x14ac:dyDescent="0.3">
      <c r="A129" s="11">
        <f t="shared" si="21"/>
        <v>127</v>
      </c>
      <c r="B129" s="127" t="s">
        <v>410</v>
      </c>
      <c r="C129" s="83">
        <f t="shared" si="40"/>
        <v>37.744027024025087</v>
      </c>
      <c r="D129" s="83">
        <f t="shared" si="40"/>
        <v>32.788017784402903</v>
      </c>
      <c r="E129" s="83">
        <f t="shared" si="40"/>
        <v>35.019002358521909</v>
      </c>
      <c r="F129" s="83">
        <f t="shared" si="40"/>
        <v>36.792275706357287</v>
      </c>
      <c r="G129" s="83">
        <f t="shared" si="40"/>
        <v>36.178665806053196</v>
      </c>
      <c r="H129" s="83">
        <f t="shared" si="40"/>
        <v>38.018045916729385</v>
      </c>
      <c r="I129" s="83">
        <f t="shared" si="40"/>
        <v>44.063879277385496</v>
      </c>
      <c r="J129" s="83">
        <f t="shared" si="40"/>
        <v>43.095657656739824</v>
      </c>
      <c r="K129" s="83">
        <f t="shared" si="40"/>
        <v>42.612308807087828</v>
      </c>
      <c r="L129" s="83">
        <f t="shared" si="40"/>
        <v>38.619527393761686</v>
      </c>
      <c r="M129" s="83">
        <f t="shared" si="40"/>
        <v>37.749600722709836</v>
      </c>
      <c r="N129" s="83">
        <f>N109*N124</f>
        <v>44.778169186547061</v>
      </c>
      <c r="O129" s="135">
        <f>SUM(C129:N129)</f>
        <v>467.45917764032151</v>
      </c>
      <c r="P129" s="61">
        <f t="shared" si="22"/>
        <v>127</v>
      </c>
    </row>
    <row r="130" spans="1:21" x14ac:dyDescent="0.3">
      <c r="A130" s="11">
        <f t="shared" si="21"/>
        <v>128</v>
      </c>
      <c r="B130" s="127" t="s">
        <v>411</v>
      </c>
      <c r="C130" s="86">
        <f t="shared" si="40"/>
        <v>86.134254200093437</v>
      </c>
      <c r="D130" s="86">
        <f t="shared" si="40"/>
        <v>74.824328012516602</v>
      </c>
      <c r="E130" s="86">
        <f t="shared" si="40"/>
        <v>79.915575756201619</v>
      </c>
      <c r="F130" s="86">
        <f t="shared" si="40"/>
        <v>83.962297564965709</v>
      </c>
      <c r="G130" s="86">
        <f t="shared" si="40"/>
        <v>82.56200100681508</v>
      </c>
      <c r="H130" s="86">
        <f t="shared" si="40"/>
        <v>84.418999481222272</v>
      </c>
      <c r="I130" s="86">
        <f t="shared" si="40"/>
        <v>97.843761091923497</v>
      </c>
      <c r="J130" s="86">
        <f t="shared" si="40"/>
        <v>95.693826803611529</v>
      </c>
      <c r="K130" s="86">
        <f t="shared" si="40"/>
        <v>94.620551591692589</v>
      </c>
      <c r="L130" s="86">
        <f t="shared" si="40"/>
        <v>85.754587970140676</v>
      </c>
      <c r="M130" s="86">
        <f t="shared" si="40"/>
        <v>86.146973732618207</v>
      </c>
      <c r="N130" s="86">
        <f t="shared" si="40"/>
        <v>102.18661100665793</v>
      </c>
      <c r="O130" s="136">
        <f>SUM(C130:N130)</f>
        <v>1054.063768218459</v>
      </c>
      <c r="P130" s="61">
        <f t="shared" si="22"/>
        <v>128</v>
      </c>
    </row>
    <row r="131" spans="1:21" x14ac:dyDescent="0.3">
      <c r="A131" s="11">
        <f t="shared" si="21"/>
        <v>129</v>
      </c>
      <c r="C131" s="83">
        <f t="shared" ref="C131:O131" si="41">SUM(C128:C130)</f>
        <v>123.87828122411852</v>
      </c>
      <c r="D131" s="83">
        <f t="shared" si="41"/>
        <v>107.6123457969195</v>
      </c>
      <c r="E131" s="83">
        <f t="shared" si="41"/>
        <v>114.93457811472354</v>
      </c>
      <c r="F131" s="83">
        <f t="shared" si="41"/>
        <v>120.754573271323</v>
      </c>
      <c r="G131" s="83">
        <f t="shared" si="41"/>
        <v>118.74066681286828</v>
      </c>
      <c r="H131" s="83">
        <f t="shared" si="41"/>
        <v>122.43704539795166</v>
      </c>
      <c r="I131" s="83">
        <f t="shared" si="41"/>
        <v>141.90764036930898</v>
      </c>
      <c r="J131" s="83">
        <f t="shared" si="41"/>
        <v>138.78948446035136</v>
      </c>
      <c r="K131" s="83">
        <f t="shared" si="41"/>
        <v>137.23286039878042</v>
      </c>
      <c r="L131" s="83">
        <f t="shared" si="41"/>
        <v>124.37411536390236</v>
      </c>
      <c r="M131" s="83">
        <f t="shared" si="41"/>
        <v>123.89657445532805</v>
      </c>
      <c r="N131" s="83">
        <f t="shared" si="41"/>
        <v>146.964780193205</v>
      </c>
      <c r="O131" s="137">
        <f t="shared" si="41"/>
        <v>1521.5229458587805</v>
      </c>
      <c r="P131" s="61">
        <f t="shared" si="22"/>
        <v>129</v>
      </c>
      <c r="U131" s="83"/>
    </row>
    <row r="132" spans="1:21" ht="21.75" x14ac:dyDescent="0.3">
      <c r="A132" s="11">
        <f t="shared" si="21"/>
        <v>130</v>
      </c>
      <c r="B132" s="235" t="s">
        <v>424</v>
      </c>
      <c r="O132" s="127"/>
      <c r="P132" s="61">
        <f t="shared" si="22"/>
        <v>130</v>
      </c>
      <c r="U132" s="83"/>
    </row>
    <row r="133" spans="1:21" x14ac:dyDescent="0.3">
      <c r="A133" s="11">
        <f t="shared" si="21"/>
        <v>131</v>
      </c>
      <c r="B133" s="237" t="s">
        <v>401</v>
      </c>
      <c r="C133" s="385">
        <f>'[3]C. 2025 Forecast Sales'!B142</f>
        <v>0</v>
      </c>
      <c r="D133" s="385">
        <f>'[3]C. 2025 Forecast Sales'!C142</f>
        <v>0</v>
      </c>
      <c r="E133" s="385">
        <f>'[3]C. 2025 Forecast Sales'!D142</f>
        <v>0</v>
      </c>
      <c r="F133" s="385">
        <f>'[3]C. 2025 Forecast Sales'!E142</f>
        <v>0</v>
      </c>
      <c r="G133" s="385">
        <f>'[3]C. 2025 Forecast Sales'!F142</f>
        <v>0</v>
      </c>
      <c r="H133" s="385">
        <f>'[3]C. 2025 Forecast Sales'!G142</f>
        <v>0</v>
      </c>
      <c r="I133" s="385">
        <f>'[3]C. 2025 Forecast Sales'!H142</f>
        <v>0</v>
      </c>
      <c r="J133" s="385">
        <f>'[3]C. 2025 Forecast Sales'!I142</f>
        <v>0</v>
      </c>
      <c r="K133" s="385">
        <f>'[3]C. 2025 Forecast Sales'!J142</f>
        <v>0</v>
      </c>
      <c r="L133" s="385">
        <f>'[3]C. 2025 Forecast Sales'!K142</f>
        <v>0</v>
      </c>
      <c r="M133" s="385">
        <f>'[3]C. 2025 Forecast Sales'!L142</f>
        <v>0</v>
      </c>
      <c r="N133" s="385">
        <f>'[3]C. 2025 Forecast Sales'!M142</f>
        <v>0</v>
      </c>
      <c r="O133" s="163">
        <f>IFERROR(O138/O128,0)</f>
        <v>0</v>
      </c>
      <c r="P133" s="61">
        <f t="shared" si="22"/>
        <v>131</v>
      </c>
      <c r="U133" s="83"/>
    </row>
    <row r="134" spans="1:21" x14ac:dyDescent="0.3">
      <c r="A134" s="11">
        <f t="shared" si="21"/>
        <v>132</v>
      </c>
      <c r="B134" s="237" t="s">
        <v>402</v>
      </c>
      <c r="C134" s="385">
        <f>'[3]C. 2025 Forecast Sales'!B143</f>
        <v>1.5100343100952699E-3</v>
      </c>
      <c r="D134" s="385">
        <f>'[3]C. 2025 Forecast Sales'!C143</f>
        <v>1.5100343100952699E-3</v>
      </c>
      <c r="E134" s="385">
        <f>'[3]C. 2025 Forecast Sales'!D143</f>
        <v>1.5100343100952699E-3</v>
      </c>
      <c r="F134" s="385">
        <f>'[3]C. 2025 Forecast Sales'!E143</f>
        <v>1.5100343100952699E-3</v>
      </c>
      <c r="G134" s="385">
        <f>'[3]C. 2025 Forecast Sales'!F143</f>
        <v>1.5100343100952699E-3</v>
      </c>
      <c r="H134" s="385">
        <f>'[3]C. 2025 Forecast Sales'!G143</f>
        <v>1.57885906380829E-3</v>
      </c>
      <c r="I134" s="385">
        <f>'[3]C. 2025 Forecast Sales'!H143</f>
        <v>1.57885906380829E-3</v>
      </c>
      <c r="J134" s="385">
        <f>'[3]C. 2025 Forecast Sales'!I143</f>
        <v>1.57885906380829E-3</v>
      </c>
      <c r="K134" s="385">
        <f>'[3]C. 2025 Forecast Sales'!J143</f>
        <v>1.57885906380829E-3</v>
      </c>
      <c r="L134" s="385">
        <f>'[3]C. 2025 Forecast Sales'!K143</f>
        <v>1.57885906380829E-3</v>
      </c>
      <c r="M134" s="385">
        <f>'[3]C. 2025 Forecast Sales'!L143</f>
        <v>1.5100343100952699E-3</v>
      </c>
      <c r="N134" s="385">
        <f>'[3]C. 2025 Forecast Sales'!M143</f>
        <v>1.5100343100952699E-3</v>
      </c>
      <c r="O134" s="246">
        <f>O139/O109</f>
        <v>1.5400077178514791E-3</v>
      </c>
      <c r="P134" s="61">
        <f t="shared" si="22"/>
        <v>132</v>
      </c>
      <c r="U134" s="83"/>
    </row>
    <row r="135" spans="1:21" x14ac:dyDescent="0.3">
      <c r="A135" s="11">
        <f t="shared" si="21"/>
        <v>133</v>
      </c>
      <c r="B135" s="237" t="s">
        <v>403</v>
      </c>
      <c r="C135" s="385">
        <f>'[3]C. 2025 Forecast Sales'!B144</f>
        <v>1.3963972491719001E-3</v>
      </c>
      <c r="D135" s="385">
        <f>'[3]C. 2025 Forecast Sales'!C144</f>
        <v>1.3963972491719001E-3</v>
      </c>
      <c r="E135" s="385">
        <f>'[3]C. 2025 Forecast Sales'!D144</f>
        <v>1.3963972491719001E-3</v>
      </c>
      <c r="F135" s="385">
        <f>'[3]C. 2025 Forecast Sales'!E144</f>
        <v>1.3963972491719001E-3</v>
      </c>
      <c r="G135" s="385">
        <f>'[3]C. 2025 Forecast Sales'!F144</f>
        <v>1.3963972491719001E-3</v>
      </c>
      <c r="H135" s="385">
        <f>'[3]C. 2025 Forecast Sales'!G144</f>
        <v>1.38330828728879E-3</v>
      </c>
      <c r="I135" s="385">
        <f>'[3]C. 2025 Forecast Sales'!H144</f>
        <v>1.38330828728879E-3</v>
      </c>
      <c r="J135" s="385">
        <f>'[3]C. 2025 Forecast Sales'!I144</f>
        <v>1.38330828728879E-3</v>
      </c>
      <c r="K135" s="385">
        <f>'[3]C. 2025 Forecast Sales'!J144</f>
        <v>1.38330828728879E-3</v>
      </c>
      <c r="L135" s="385">
        <f>'[3]C. 2025 Forecast Sales'!K144</f>
        <v>1.38330828728879E-3</v>
      </c>
      <c r="M135" s="385">
        <f>'[3]C. 2025 Forecast Sales'!L144</f>
        <v>1.3963972491719001E-3</v>
      </c>
      <c r="N135" s="385">
        <f>'[3]C. 2025 Forecast Sales'!M144</f>
        <v>1.3963972491719001E-3</v>
      </c>
      <c r="O135" s="246">
        <f>O140/O110</f>
        <v>1.3906198288419994E-3</v>
      </c>
      <c r="P135" s="61">
        <f t="shared" si="22"/>
        <v>133</v>
      </c>
      <c r="U135" s="83"/>
    </row>
    <row r="136" spans="1:21" x14ac:dyDescent="0.3">
      <c r="A136" s="11">
        <f t="shared" si="21"/>
        <v>134</v>
      </c>
      <c r="B136" s="23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127"/>
      <c r="P136" s="61">
        <f t="shared" si="22"/>
        <v>134</v>
      </c>
      <c r="U136" s="83"/>
    </row>
    <row r="137" spans="1:21" ht="21.75" x14ac:dyDescent="0.3">
      <c r="A137" s="11">
        <f t="shared" si="21"/>
        <v>135</v>
      </c>
      <c r="B137" s="235" t="s">
        <v>425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127"/>
      <c r="P137" s="61">
        <f t="shared" si="22"/>
        <v>135</v>
      </c>
      <c r="U137" s="83"/>
    </row>
    <row r="138" spans="1:21" x14ac:dyDescent="0.3">
      <c r="A138" s="11">
        <f t="shared" si="21"/>
        <v>136</v>
      </c>
      <c r="B138" s="127" t="s">
        <v>409</v>
      </c>
      <c r="C138" s="83">
        <f>C133*C108</f>
        <v>0</v>
      </c>
      <c r="D138" s="83">
        <f t="shared" ref="D138:N139" si="42">D133*D108</f>
        <v>0</v>
      </c>
      <c r="E138" s="83">
        <f t="shared" si="42"/>
        <v>0</v>
      </c>
      <c r="F138" s="83">
        <f t="shared" si="42"/>
        <v>0</v>
      </c>
      <c r="G138" s="83">
        <f t="shared" si="42"/>
        <v>0</v>
      </c>
      <c r="H138" s="83">
        <f t="shared" si="42"/>
        <v>0</v>
      </c>
      <c r="I138" s="83">
        <f t="shared" si="42"/>
        <v>0</v>
      </c>
      <c r="J138" s="83">
        <f t="shared" si="42"/>
        <v>0</v>
      </c>
      <c r="K138" s="83">
        <f t="shared" si="42"/>
        <v>0</v>
      </c>
      <c r="L138" s="83">
        <f t="shared" si="42"/>
        <v>0</v>
      </c>
      <c r="M138" s="83">
        <f t="shared" si="42"/>
        <v>0</v>
      </c>
      <c r="N138" s="83">
        <f t="shared" si="42"/>
        <v>0</v>
      </c>
      <c r="O138" s="135">
        <f>SUM(C138:N138)</f>
        <v>0</v>
      </c>
      <c r="P138" s="61">
        <f t="shared" ref="P138:P203" si="43">P137+1</f>
        <v>136</v>
      </c>
      <c r="U138" s="83"/>
    </row>
    <row r="139" spans="1:21" x14ac:dyDescent="0.3">
      <c r="A139" s="11">
        <f t="shared" si="21"/>
        <v>137</v>
      </c>
      <c r="B139" s="127" t="s">
        <v>410</v>
      </c>
      <c r="C139" s="83">
        <f>C134*C109</f>
        <v>37.729978321848719</v>
      </c>
      <c r="D139" s="83">
        <f t="shared" si="42"/>
        <v>32.775813758146946</v>
      </c>
      <c r="E139" s="83">
        <f t="shared" si="42"/>
        <v>35.005967937623062</v>
      </c>
      <c r="F139" s="83">
        <f t="shared" si="42"/>
        <v>36.778581255485356</v>
      </c>
      <c r="G139" s="83">
        <f t="shared" si="42"/>
        <v>36.165199746887751</v>
      </c>
      <c r="H139" s="83">
        <f t="shared" si="42"/>
        <v>38.771133561010068</v>
      </c>
      <c r="I139" s="83">
        <f t="shared" si="42"/>
        <v>44.936726953869382</v>
      </c>
      <c r="J139" s="83">
        <f t="shared" si="42"/>
        <v>43.949326132350762</v>
      </c>
      <c r="K139" s="83">
        <f t="shared" si="42"/>
        <v>43.456402775704184</v>
      </c>
      <c r="L139" s="83">
        <f t="shared" si="42"/>
        <v>39.38452959750208</v>
      </c>
      <c r="M139" s="83">
        <f t="shared" si="42"/>
        <v>37.735549945947398</v>
      </c>
      <c r="N139" s="83">
        <f t="shared" si="42"/>
        <v>44.76150230671189</v>
      </c>
      <c r="O139" s="135">
        <f>SUM(C139:N139)</f>
        <v>471.45071229308769</v>
      </c>
      <c r="P139" s="61">
        <f t="shared" si="43"/>
        <v>137</v>
      </c>
      <c r="U139" s="83"/>
    </row>
    <row r="140" spans="1:21" x14ac:dyDescent="0.3">
      <c r="A140" s="11">
        <f t="shared" si="21"/>
        <v>138</v>
      </c>
      <c r="B140" s="127" t="s">
        <v>411</v>
      </c>
      <c r="C140" s="86">
        <f>C135*C110</f>
        <v>85.288700147960569</v>
      </c>
      <c r="D140" s="86">
        <f t="shared" ref="D140:N140" si="44">D135*D110</f>
        <v>74.08980010214394</v>
      </c>
      <c r="E140" s="86">
        <f t="shared" si="44"/>
        <v>79.131068598895624</v>
      </c>
      <c r="F140" s="86">
        <f t="shared" si="44"/>
        <v>83.138064957488567</v>
      </c>
      <c r="G140" s="86">
        <f t="shared" si="44"/>
        <v>81.751514689242313</v>
      </c>
      <c r="H140" s="86">
        <f t="shared" si="44"/>
        <v>85.047557061814786</v>
      </c>
      <c r="I140" s="86">
        <f t="shared" si="44"/>
        <v>98.572275266765033</v>
      </c>
      <c r="J140" s="86">
        <f t="shared" si="44"/>
        <v>96.406333237269223</v>
      </c>
      <c r="K140" s="86">
        <f t="shared" si="44"/>
        <v>95.325066752358907</v>
      </c>
      <c r="L140" s="86">
        <f t="shared" si="44"/>
        <v>86.393089926696177</v>
      </c>
      <c r="M140" s="86">
        <f t="shared" si="44"/>
        <v>85.301294816662363</v>
      </c>
      <c r="N140" s="86">
        <f t="shared" si="44"/>
        <v>101.18347579857121</v>
      </c>
      <c r="O140" s="136">
        <f>SUM(C140:N140)</f>
        <v>1051.6282413558688</v>
      </c>
      <c r="P140" s="61">
        <f t="shared" si="43"/>
        <v>138</v>
      </c>
      <c r="U140" s="83"/>
    </row>
    <row r="141" spans="1:21" x14ac:dyDescent="0.3">
      <c r="A141" s="11">
        <f t="shared" si="21"/>
        <v>139</v>
      </c>
      <c r="C141" s="83">
        <f t="shared" ref="C141:O141" si="45">SUM(C138:C140)</f>
        <v>123.01867846980929</v>
      </c>
      <c r="D141" s="83">
        <f t="shared" si="45"/>
        <v>106.86561386029089</v>
      </c>
      <c r="E141" s="83">
        <f t="shared" si="45"/>
        <v>114.13703653651868</v>
      </c>
      <c r="F141" s="83">
        <f t="shared" si="45"/>
        <v>119.91664621297392</v>
      </c>
      <c r="G141" s="83">
        <f t="shared" si="45"/>
        <v>117.91671443613006</v>
      </c>
      <c r="H141" s="83">
        <f t="shared" si="45"/>
        <v>123.81869062282485</v>
      </c>
      <c r="I141" s="83">
        <f t="shared" si="45"/>
        <v>143.50900222063441</v>
      </c>
      <c r="J141" s="83">
        <f t="shared" si="45"/>
        <v>140.35565936961999</v>
      </c>
      <c r="K141" s="83">
        <f t="shared" si="45"/>
        <v>138.7814695280631</v>
      </c>
      <c r="L141" s="83">
        <f t="shared" si="45"/>
        <v>125.77761952419826</v>
      </c>
      <c r="M141" s="83">
        <f t="shared" si="45"/>
        <v>123.03684476260976</v>
      </c>
      <c r="N141" s="83">
        <f t="shared" si="45"/>
        <v>145.9449781052831</v>
      </c>
      <c r="O141" s="137">
        <f t="shared" si="45"/>
        <v>1523.0789536489565</v>
      </c>
      <c r="P141" s="61">
        <f t="shared" si="43"/>
        <v>139</v>
      </c>
      <c r="U141" s="83"/>
    </row>
    <row r="142" spans="1:21" x14ac:dyDescent="0.3">
      <c r="A142" s="11">
        <f t="shared" si="21"/>
        <v>140</v>
      </c>
      <c r="B142" s="127" t="s">
        <v>426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37"/>
      <c r="P142" s="61">
        <f t="shared" si="43"/>
        <v>140</v>
      </c>
      <c r="U142" s="83"/>
    </row>
    <row r="143" spans="1:21" x14ac:dyDescent="0.3">
      <c r="A143" s="11">
        <f t="shared" si="21"/>
        <v>141</v>
      </c>
      <c r="B143" s="326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  <c r="M143" s="379"/>
      <c r="N143" s="379"/>
      <c r="O143" s="227"/>
      <c r="P143" s="61">
        <f t="shared" si="43"/>
        <v>141</v>
      </c>
    </row>
    <row r="144" spans="1:21" x14ac:dyDescent="0.3">
      <c r="A144" s="11">
        <f t="shared" si="21"/>
        <v>142</v>
      </c>
      <c r="B144" s="329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9"/>
      <c r="P144" s="61">
        <f t="shared" si="43"/>
        <v>142</v>
      </c>
    </row>
    <row r="145" spans="1:21" x14ac:dyDescent="0.3">
      <c r="A145" s="11">
        <f t="shared" si="21"/>
        <v>143</v>
      </c>
      <c r="B145" s="239" t="s">
        <v>396</v>
      </c>
      <c r="C145" s="88">
        <f>C99</f>
        <v>45658</v>
      </c>
      <c r="D145" s="88">
        <f t="shared" ref="D145:N145" si="46">D99</f>
        <v>45689</v>
      </c>
      <c r="E145" s="88">
        <f t="shared" si="46"/>
        <v>45717</v>
      </c>
      <c r="F145" s="88">
        <f t="shared" si="46"/>
        <v>45748</v>
      </c>
      <c r="G145" s="88">
        <f t="shared" si="46"/>
        <v>45778</v>
      </c>
      <c r="H145" s="88">
        <f t="shared" si="46"/>
        <v>45809</v>
      </c>
      <c r="I145" s="88">
        <f t="shared" si="46"/>
        <v>45839</v>
      </c>
      <c r="J145" s="88">
        <f t="shared" si="46"/>
        <v>45870</v>
      </c>
      <c r="K145" s="88">
        <f t="shared" si="46"/>
        <v>45901</v>
      </c>
      <c r="L145" s="88">
        <f t="shared" si="46"/>
        <v>45931</v>
      </c>
      <c r="M145" s="88">
        <f t="shared" si="46"/>
        <v>45962</v>
      </c>
      <c r="N145" s="88">
        <f t="shared" si="46"/>
        <v>45992</v>
      </c>
      <c r="O145" s="129" t="s">
        <v>61</v>
      </c>
      <c r="P145" s="61">
        <f t="shared" si="43"/>
        <v>143</v>
      </c>
    </row>
    <row r="146" spans="1:21" x14ac:dyDescent="0.3">
      <c r="A146" s="11">
        <f t="shared" si="21"/>
        <v>144</v>
      </c>
      <c r="B146" s="239" t="s">
        <v>427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28"/>
      <c r="P146" s="61">
        <f t="shared" si="43"/>
        <v>144</v>
      </c>
    </row>
    <row r="147" spans="1:21" x14ac:dyDescent="0.3">
      <c r="A147" s="11">
        <f t="shared" si="21"/>
        <v>145</v>
      </c>
      <c r="B147" s="235" t="s">
        <v>399</v>
      </c>
      <c r="C147" s="2">
        <f t="shared" ref="C147:M147" si="47">C100+C54+C27</f>
        <v>751192.25445003656</v>
      </c>
      <c r="D147" s="2">
        <f t="shared" si="47"/>
        <v>713531.3336932211</v>
      </c>
      <c r="E147" s="2">
        <f t="shared" si="47"/>
        <v>714756.6311082578</v>
      </c>
      <c r="F147" s="2">
        <f t="shared" si="47"/>
        <v>718508.29883782356</v>
      </c>
      <c r="G147" s="2">
        <f t="shared" si="47"/>
        <v>724916.88454627106</v>
      </c>
      <c r="H147" s="2">
        <f t="shared" si="47"/>
        <v>760340.00174391037</v>
      </c>
      <c r="I147" s="2">
        <f t="shared" si="47"/>
        <v>838846.18136289914</v>
      </c>
      <c r="J147" s="2">
        <f t="shared" si="47"/>
        <v>875481.60736812791</v>
      </c>
      <c r="K147" s="2">
        <f t="shared" si="47"/>
        <v>915168.82198981917</v>
      </c>
      <c r="L147" s="2">
        <f t="shared" si="47"/>
        <v>830726.29465735017</v>
      </c>
      <c r="M147" s="2">
        <f t="shared" si="47"/>
        <v>757391.54870867194</v>
      </c>
      <c r="N147" s="2">
        <f>N100+N54+N27</f>
        <v>759868.65098507213</v>
      </c>
      <c r="O147" s="128">
        <f>SUM(C147:N147)</f>
        <v>9360728.509451462</v>
      </c>
      <c r="P147" s="61">
        <f t="shared" si="43"/>
        <v>145</v>
      </c>
      <c r="U147" s="83"/>
    </row>
    <row r="148" spans="1:21" x14ac:dyDescent="0.3">
      <c r="A148" s="11">
        <f t="shared" si="21"/>
        <v>146</v>
      </c>
      <c r="B148" s="2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37"/>
      <c r="P148" s="61">
        <f t="shared" si="43"/>
        <v>146</v>
      </c>
    </row>
    <row r="149" spans="1:21" x14ac:dyDescent="0.3">
      <c r="A149" s="11">
        <f t="shared" si="21"/>
        <v>147</v>
      </c>
      <c r="B149" s="235" t="s">
        <v>399</v>
      </c>
      <c r="O149" s="127"/>
      <c r="P149" s="61">
        <f t="shared" si="43"/>
        <v>147</v>
      </c>
    </row>
    <row r="150" spans="1:21" x14ac:dyDescent="0.3">
      <c r="A150" s="11">
        <f t="shared" si="21"/>
        <v>148</v>
      </c>
      <c r="B150" s="127" t="s">
        <v>404</v>
      </c>
      <c r="C150" s="84">
        <f>C108+C62+C35</f>
        <v>501606.78948996257</v>
      </c>
      <c r="D150" s="84">
        <f t="shared" ref="D150:M150" si="48">D108+D62+D35</f>
        <v>481727.20714704593</v>
      </c>
      <c r="E150" s="84">
        <f t="shared" si="48"/>
        <v>478814.83790609182</v>
      </c>
      <c r="F150" s="84">
        <f t="shared" si="48"/>
        <v>478594.81728895049</v>
      </c>
      <c r="G150" s="84">
        <f t="shared" si="48"/>
        <v>484483.02505573514</v>
      </c>
      <c r="H150" s="84">
        <f t="shared" si="48"/>
        <v>502960.68018936232</v>
      </c>
      <c r="I150" s="84">
        <f t="shared" si="48"/>
        <v>551312.76925157406</v>
      </c>
      <c r="J150" s="84">
        <f t="shared" si="48"/>
        <v>580273.43754366797</v>
      </c>
      <c r="K150" s="84">
        <f t="shared" si="48"/>
        <v>610691.9521485531</v>
      </c>
      <c r="L150" s="84">
        <f t="shared" si="48"/>
        <v>554446.35455891234</v>
      </c>
      <c r="M150" s="84">
        <f t="shared" si="48"/>
        <v>506272.40455016575</v>
      </c>
      <c r="N150" s="84">
        <f>N108+N62+N35</f>
        <v>496054.10189715342</v>
      </c>
      <c r="O150" s="132">
        <f>SUM(C150:N150)</f>
        <v>6227238.3770271745</v>
      </c>
      <c r="P150" s="61">
        <f t="shared" si="43"/>
        <v>148</v>
      </c>
    </row>
    <row r="151" spans="1:21" x14ac:dyDescent="0.3">
      <c r="A151" s="11">
        <f t="shared" si="21"/>
        <v>149</v>
      </c>
      <c r="B151" s="127" t="s">
        <v>405</v>
      </c>
      <c r="C151" s="84">
        <f t="shared" ref="C151:N151" si="49">C109+C63+C36</f>
        <v>175090.93804201618</v>
      </c>
      <c r="D151" s="84">
        <f t="shared" si="49"/>
        <v>165861.1861589269</v>
      </c>
      <c r="E151" s="84">
        <f t="shared" si="49"/>
        <v>166466.55559617572</v>
      </c>
      <c r="F151" s="84">
        <f t="shared" si="49"/>
        <v>167574.60432586202</v>
      </c>
      <c r="G151" s="84">
        <f t="shared" si="49"/>
        <v>168930.43428983085</v>
      </c>
      <c r="H151" s="84">
        <f t="shared" si="49"/>
        <v>180109.70539064243</v>
      </c>
      <c r="I151" s="84">
        <f t="shared" si="49"/>
        <v>198968.90314024541</v>
      </c>
      <c r="J151" s="84">
        <f t="shared" si="49"/>
        <v>207300.33170056</v>
      </c>
      <c r="K151" s="84">
        <f t="shared" si="49"/>
        <v>216395.82259315037</v>
      </c>
      <c r="L151" s="84">
        <f t="shared" si="49"/>
        <v>196421.45513285988</v>
      </c>
      <c r="M151" s="84">
        <f t="shared" si="49"/>
        <v>176490.80316151609</v>
      </c>
      <c r="N151" s="84">
        <f t="shared" si="49"/>
        <v>178085.8406820258</v>
      </c>
      <c r="O151" s="132">
        <f>SUM(C151:N151)</f>
        <v>2197696.5802138117</v>
      </c>
      <c r="P151" s="61">
        <f t="shared" si="43"/>
        <v>149</v>
      </c>
    </row>
    <row r="152" spans="1:21" x14ac:dyDescent="0.3">
      <c r="A152" s="11">
        <f t="shared" si="21"/>
        <v>150</v>
      </c>
      <c r="B152" s="127" t="s">
        <v>406</v>
      </c>
      <c r="C152" s="85">
        <f t="shared" ref="C152:N152" si="50">C110+C64+C37</f>
        <v>74494.526918057512</v>
      </c>
      <c r="D152" s="85">
        <f t="shared" si="50"/>
        <v>65942.940387247974</v>
      </c>
      <c r="E152" s="85">
        <f t="shared" si="50"/>
        <v>69475.23760598994</v>
      </c>
      <c r="F152" s="85">
        <f t="shared" si="50"/>
        <v>72338.877223010786</v>
      </c>
      <c r="G152" s="85">
        <f t="shared" si="50"/>
        <v>71503.425200704747</v>
      </c>
      <c r="H152" s="85">
        <f t="shared" si="50"/>
        <v>77269.616163904779</v>
      </c>
      <c r="I152" s="85">
        <f t="shared" si="50"/>
        <v>88564.508971078802</v>
      </c>
      <c r="J152" s="85">
        <f t="shared" si="50"/>
        <v>87907.838123899041</v>
      </c>
      <c r="K152" s="85">
        <f t="shared" si="50"/>
        <v>88081.047248114759</v>
      </c>
      <c r="L152" s="85">
        <f t="shared" si="50"/>
        <v>79858.48496557711</v>
      </c>
      <c r="M152" s="85">
        <f t="shared" si="50"/>
        <v>74628.340996989791</v>
      </c>
      <c r="N152" s="85">
        <f t="shared" si="50"/>
        <v>85728.708405892612</v>
      </c>
      <c r="O152" s="142">
        <f>SUM(C152:N152)</f>
        <v>935793.55221046775</v>
      </c>
      <c r="P152" s="61">
        <f t="shared" si="43"/>
        <v>150</v>
      </c>
    </row>
    <row r="153" spans="1:21" x14ac:dyDescent="0.3">
      <c r="A153" s="11">
        <f t="shared" si="21"/>
        <v>151</v>
      </c>
      <c r="C153" s="84">
        <f>SUM(C150:C152)</f>
        <v>751192.25445003621</v>
      </c>
      <c r="D153" s="84">
        <f t="shared" ref="D153:N153" si="51">SUM(D150:D152)</f>
        <v>713531.33369322075</v>
      </c>
      <c r="E153" s="84">
        <f t="shared" si="51"/>
        <v>714756.63110825745</v>
      </c>
      <c r="F153" s="84">
        <f t="shared" si="51"/>
        <v>718508.29883782321</v>
      </c>
      <c r="G153" s="84">
        <f t="shared" si="51"/>
        <v>724916.88454627071</v>
      </c>
      <c r="H153" s="84">
        <f t="shared" si="51"/>
        <v>760340.00174390955</v>
      </c>
      <c r="I153" s="84">
        <f t="shared" si="51"/>
        <v>838846.18136289832</v>
      </c>
      <c r="J153" s="84">
        <f t="shared" si="51"/>
        <v>875481.60736812709</v>
      </c>
      <c r="K153" s="84">
        <f t="shared" si="51"/>
        <v>915168.82198981813</v>
      </c>
      <c r="L153" s="84">
        <f t="shared" si="51"/>
        <v>830726.29465734935</v>
      </c>
      <c r="M153" s="84">
        <f t="shared" si="51"/>
        <v>757391.54870867159</v>
      </c>
      <c r="N153" s="84">
        <f t="shared" si="51"/>
        <v>759868.65098507178</v>
      </c>
      <c r="O153" s="132">
        <f>SUM(O150:O152)</f>
        <v>9360728.5094514526</v>
      </c>
      <c r="P153" s="61">
        <f t="shared" si="43"/>
        <v>151</v>
      </c>
    </row>
    <row r="154" spans="1:21" x14ac:dyDescent="0.3">
      <c r="A154" s="11">
        <f t="shared" si="21"/>
        <v>152</v>
      </c>
      <c r="B154" s="235" t="s">
        <v>416</v>
      </c>
      <c r="O154" s="127"/>
      <c r="P154" s="61">
        <f t="shared" si="43"/>
        <v>152</v>
      </c>
    </row>
    <row r="155" spans="1:21" x14ac:dyDescent="0.3">
      <c r="A155" s="11">
        <f t="shared" si="21"/>
        <v>153</v>
      </c>
      <c r="B155" s="127" t="s">
        <v>409</v>
      </c>
      <c r="C155" s="83">
        <f>C118+C72+C45</f>
        <v>1319.1306749711034</v>
      </c>
      <c r="D155" s="83">
        <f t="shared" ref="D155:M155" si="52">D118+D72+D45</f>
        <v>1266.851145619398</v>
      </c>
      <c r="E155" s="83">
        <f t="shared" si="52"/>
        <v>1259.1921671464565</v>
      </c>
      <c r="F155" s="83">
        <f t="shared" si="52"/>
        <v>1258.6135546729445</v>
      </c>
      <c r="G155" s="83">
        <f t="shared" si="52"/>
        <v>1274.0984237945659</v>
      </c>
      <c r="H155" s="83">
        <f t="shared" si="52"/>
        <v>1323.5928917965493</v>
      </c>
      <c r="I155" s="83">
        <f t="shared" si="52"/>
        <v>1450.8363999017197</v>
      </c>
      <c r="J155" s="83">
        <f t="shared" si="52"/>
        <v>1527.0493847391456</v>
      </c>
      <c r="K155" s="83">
        <f t="shared" si="52"/>
        <v>1607.0988424718596</v>
      </c>
      <c r="L155" s="83">
        <f t="shared" si="52"/>
        <v>1459.0827527519455</v>
      </c>
      <c r="M155" s="83">
        <f t="shared" si="52"/>
        <v>1331.4003572650356</v>
      </c>
      <c r="N155" s="83">
        <f>N118+N72+N45</f>
        <v>1304.5281602410819</v>
      </c>
      <c r="O155" s="137">
        <f>SUM(C155:N155)</f>
        <v>16381.474755371806</v>
      </c>
      <c r="P155" s="61">
        <f t="shared" si="43"/>
        <v>153</v>
      </c>
    </row>
    <row r="156" spans="1:21" x14ac:dyDescent="0.3">
      <c r="A156" s="11">
        <f t="shared" si="21"/>
        <v>154</v>
      </c>
      <c r="B156" s="127" t="s">
        <v>410</v>
      </c>
      <c r="C156" s="83">
        <f t="shared" ref="C156:N156" si="53">C119+C73+C46</f>
        <v>367.85935809466298</v>
      </c>
      <c r="D156" s="83">
        <f t="shared" si="53"/>
        <v>348.1378558379252</v>
      </c>
      <c r="E156" s="83">
        <f t="shared" si="53"/>
        <v>349.6434909047988</v>
      </c>
      <c r="F156" s="83">
        <f t="shared" si="53"/>
        <v>352.14223391519727</v>
      </c>
      <c r="G156" s="83">
        <f t="shared" si="53"/>
        <v>354.8899589631576</v>
      </c>
      <c r="H156" s="83">
        <f t="shared" si="53"/>
        <v>377.03549002893538</v>
      </c>
      <c r="I156" s="83">
        <f t="shared" si="53"/>
        <v>416.73495947722631</v>
      </c>
      <c r="J156" s="83">
        <f t="shared" si="53"/>
        <v>433.88481587843188</v>
      </c>
      <c r="K156" s="83">
        <f t="shared" si="53"/>
        <v>452.6686516415167</v>
      </c>
      <c r="L156" s="83">
        <f t="shared" si="53"/>
        <v>410.87883136670473</v>
      </c>
      <c r="M156" s="83">
        <f t="shared" si="53"/>
        <v>370.76745587967594</v>
      </c>
      <c r="N156" s="83">
        <f t="shared" si="53"/>
        <v>374.86255653553906</v>
      </c>
      <c r="O156" s="137">
        <f>SUM(C156:N156)</f>
        <v>4609.5056585237717</v>
      </c>
      <c r="P156" s="61">
        <f t="shared" si="43"/>
        <v>154</v>
      </c>
    </row>
    <row r="157" spans="1:21" x14ac:dyDescent="0.3">
      <c r="A157" s="11">
        <f t="shared" si="21"/>
        <v>155</v>
      </c>
      <c r="B157" s="127" t="s">
        <v>411</v>
      </c>
      <c r="C157" s="86">
        <f t="shared" ref="C157:N157" si="54">C120+C74+C47</f>
        <v>123.36529967816362</v>
      </c>
      <c r="D157" s="86">
        <f t="shared" si="54"/>
        <v>108.72218458657856</v>
      </c>
      <c r="E157" s="86">
        <f t="shared" si="54"/>
        <v>114.91267194425228</v>
      </c>
      <c r="F157" s="86">
        <f t="shared" si="54"/>
        <v>119.90397227361002</v>
      </c>
      <c r="G157" s="86">
        <f t="shared" si="54"/>
        <v>118.37341998487132</v>
      </c>
      <c r="H157" s="86">
        <f t="shared" si="54"/>
        <v>127.0124780566524</v>
      </c>
      <c r="I157" s="86">
        <f t="shared" si="54"/>
        <v>145.95844394809868</v>
      </c>
      <c r="J157" s="86">
        <f t="shared" si="54"/>
        <v>144.37736478774693</v>
      </c>
      <c r="K157" s="86">
        <f t="shared" si="54"/>
        <v>144.21993973563886</v>
      </c>
      <c r="L157" s="86">
        <f t="shared" si="54"/>
        <v>130.74515639628655</v>
      </c>
      <c r="M157" s="86">
        <f t="shared" si="54"/>
        <v>123.53883048630392</v>
      </c>
      <c r="N157" s="86">
        <f t="shared" si="54"/>
        <v>143.00626594086631</v>
      </c>
      <c r="O157" s="143">
        <f>SUM(C157:N157)</f>
        <v>1544.1360278190693</v>
      </c>
      <c r="P157" s="61">
        <f t="shared" si="43"/>
        <v>155</v>
      </c>
      <c r="U157" s="125"/>
    </row>
    <row r="158" spans="1:21" x14ac:dyDescent="0.3">
      <c r="A158" s="11">
        <f t="shared" ref="A158:A215" si="55">A157+1</f>
        <v>156</v>
      </c>
      <c r="C158" s="83">
        <f>SUM(C155:C157)</f>
        <v>1810.3553327439301</v>
      </c>
      <c r="D158" s="83">
        <f t="shared" ref="D158:N158" si="56">SUM(D155:D157)</f>
        <v>1723.7111860439018</v>
      </c>
      <c r="E158" s="83">
        <f t="shared" si="56"/>
        <v>1723.7483299955077</v>
      </c>
      <c r="F158" s="83">
        <f t="shared" si="56"/>
        <v>1730.6597608617517</v>
      </c>
      <c r="G158" s="83">
        <f t="shared" si="56"/>
        <v>1747.3618027425948</v>
      </c>
      <c r="H158" s="83">
        <f t="shared" si="56"/>
        <v>1827.640859882137</v>
      </c>
      <c r="I158" s="83">
        <f t="shared" si="56"/>
        <v>2013.5298033270446</v>
      </c>
      <c r="J158" s="83">
        <f t="shared" si="56"/>
        <v>2105.3115654053245</v>
      </c>
      <c r="K158" s="83">
        <f t="shared" si="56"/>
        <v>2203.9874338490154</v>
      </c>
      <c r="L158" s="83">
        <f t="shared" si="56"/>
        <v>2000.7067405149367</v>
      </c>
      <c r="M158" s="83">
        <f t="shared" si="56"/>
        <v>1825.7066436310154</v>
      </c>
      <c r="N158" s="83">
        <f t="shared" si="56"/>
        <v>1822.3969827174874</v>
      </c>
      <c r="O158" s="137">
        <f>SUM(O155:O157)</f>
        <v>22535.116441714646</v>
      </c>
      <c r="P158" s="61">
        <f t="shared" si="43"/>
        <v>156</v>
      </c>
      <c r="U158" s="126"/>
    </row>
    <row r="159" spans="1:21" x14ac:dyDescent="0.3">
      <c r="A159" s="11">
        <f t="shared" si="55"/>
        <v>157</v>
      </c>
      <c r="B159" s="326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8"/>
      <c r="P159" s="61">
        <f t="shared" si="43"/>
        <v>157</v>
      </c>
      <c r="U159" s="233"/>
    </row>
    <row r="160" spans="1:21" x14ac:dyDescent="0.3">
      <c r="A160" s="11">
        <f t="shared" si="55"/>
        <v>158</v>
      </c>
      <c r="B160" s="329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330"/>
      <c r="P160" s="61">
        <f t="shared" si="43"/>
        <v>158</v>
      </c>
      <c r="U160" s="233"/>
    </row>
    <row r="161" spans="1:23" x14ac:dyDescent="0.3">
      <c r="A161" s="11">
        <f t="shared" si="55"/>
        <v>159</v>
      </c>
      <c r="B161" s="372" t="s">
        <v>26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44"/>
      <c r="P161" s="61">
        <f t="shared" si="43"/>
        <v>159</v>
      </c>
      <c r="U161" s="233"/>
    </row>
    <row r="162" spans="1:23" x14ac:dyDescent="0.3">
      <c r="A162" s="11">
        <f t="shared" si="55"/>
        <v>160</v>
      </c>
      <c r="B162" s="235" t="s">
        <v>399</v>
      </c>
      <c r="C162" s="84">
        <f>'[3]C. 2025 Forecast Sales'!B197</f>
        <v>595.72</v>
      </c>
      <c r="D162" s="84">
        <f>'[3]C. 2025 Forecast Sales'!C197</f>
        <v>724.43</v>
      </c>
      <c r="E162" s="84">
        <f>'[3]C. 2025 Forecast Sales'!D197</f>
        <v>727.4</v>
      </c>
      <c r="F162" s="84">
        <f>'[3]C. 2025 Forecast Sales'!E197</f>
        <v>931.38</v>
      </c>
      <c r="G162" s="84">
        <f>'[3]C. 2025 Forecast Sales'!F197</f>
        <v>258.38</v>
      </c>
      <c r="H162" s="84">
        <f>'[3]C. 2025 Forecast Sales'!G197</f>
        <v>110.63</v>
      </c>
      <c r="I162" s="84">
        <f>'[3]C. 2025 Forecast Sales'!H197</f>
        <v>125.9</v>
      </c>
      <c r="J162" s="84">
        <f>'[3]C. 2025 Forecast Sales'!I197</f>
        <v>0.05</v>
      </c>
      <c r="K162" s="84">
        <f>'[3]C. 2025 Forecast Sales'!J197</f>
        <v>40.380000000000003</v>
      </c>
      <c r="L162" s="84">
        <f>'[3]C. 2025 Forecast Sales'!K197</f>
        <v>1332.72</v>
      </c>
      <c r="M162" s="84">
        <f>'[3]C. 2025 Forecast Sales'!L197</f>
        <v>1353.38</v>
      </c>
      <c r="N162" s="84">
        <f>'[3]C. 2025 Forecast Sales'!M197</f>
        <v>517.86</v>
      </c>
      <c r="O162" s="132">
        <f>SUM(C162:N162)</f>
        <v>6718.2300000000005</v>
      </c>
      <c r="P162" s="61">
        <f t="shared" si="43"/>
        <v>160</v>
      </c>
      <c r="U162" s="233"/>
    </row>
    <row r="163" spans="1:23" x14ac:dyDescent="0.3">
      <c r="A163" s="11">
        <f t="shared" si="55"/>
        <v>161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37"/>
      <c r="P163" s="61">
        <f t="shared" si="43"/>
        <v>161</v>
      </c>
      <c r="U163" s="233"/>
    </row>
    <row r="164" spans="1:23" x14ac:dyDescent="0.3">
      <c r="A164" s="11">
        <f t="shared" si="55"/>
        <v>162</v>
      </c>
      <c r="B164" s="235" t="s">
        <v>416</v>
      </c>
      <c r="C164" s="83">
        <f>'[3]C. 2025 Forecast Sales'!B199</f>
        <v>11.856</v>
      </c>
      <c r="D164" s="83">
        <f>'[3]C. 2025 Forecast Sales'!C199</f>
        <v>15.98</v>
      </c>
      <c r="E164" s="83">
        <f>'[3]C. 2025 Forecast Sales'!D199</f>
        <v>15.65</v>
      </c>
      <c r="F164" s="83">
        <f>'[3]C. 2025 Forecast Sales'!E199</f>
        <v>15.84</v>
      </c>
      <c r="G164" s="83">
        <f>'[3]C. 2025 Forecast Sales'!F199</f>
        <v>8.7799999999999994</v>
      </c>
      <c r="H164" s="83">
        <f>'[3]C. 2025 Forecast Sales'!G199</f>
        <v>8.69</v>
      </c>
      <c r="I164" s="83">
        <f>'[3]C. 2025 Forecast Sales'!H199</f>
        <v>9.89</v>
      </c>
      <c r="J164" s="83">
        <f>'[3]C. 2025 Forecast Sales'!I199</f>
        <v>7.99</v>
      </c>
      <c r="K164" s="83">
        <f>'[3]C. 2025 Forecast Sales'!J199</f>
        <v>7.99</v>
      </c>
      <c r="L164" s="83">
        <f>'[3]C. 2025 Forecast Sales'!K199</f>
        <v>16.940000000000001</v>
      </c>
      <c r="M164" s="83">
        <f>'[3]C. 2025 Forecast Sales'!L199</f>
        <v>16.61</v>
      </c>
      <c r="N164" s="83">
        <f>'[3]C. 2025 Forecast Sales'!M199</f>
        <v>9.7899999999999991</v>
      </c>
      <c r="O164" s="137">
        <f t="shared" ref="O164:O166" si="57">SUM(C164:N164)</f>
        <v>146.00599999999997</v>
      </c>
      <c r="P164" s="61">
        <f t="shared" si="43"/>
        <v>162</v>
      </c>
      <c r="U164" s="233"/>
    </row>
    <row r="165" spans="1:23" x14ac:dyDescent="0.3">
      <c r="A165" s="11">
        <f t="shared" si="55"/>
        <v>163</v>
      </c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137"/>
      <c r="P165" s="61">
        <f t="shared" si="43"/>
        <v>163</v>
      </c>
      <c r="U165" s="233"/>
    </row>
    <row r="166" spans="1:23" ht="21.75" x14ac:dyDescent="0.3">
      <c r="A166" s="11">
        <f t="shared" si="55"/>
        <v>164</v>
      </c>
      <c r="B166" s="235" t="s">
        <v>423</v>
      </c>
      <c r="C166" s="83">
        <f>'[3]C. 2025 Forecast Sales'!B201</f>
        <v>0</v>
      </c>
      <c r="D166" s="83">
        <f>'[3]C. 2025 Forecast Sales'!C201</f>
        <v>0</v>
      </c>
      <c r="E166" s="83">
        <f>'[3]C. 2025 Forecast Sales'!D201</f>
        <v>0</v>
      </c>
      <c r="F166" s="83">
        <f>'[3]C. 2025 Forecast Sales'!E201</f>
        <v>0</v>
      </c>
      <c r="G166" s="83">
        <f>'[3]C. 2025 Forecast Sales'!F201</f>
        <v>0</v>
      </c>
      <c r="H166" s="83">
        <f>'[3]C. 2025 Forecast Sales'!G201</f>
        <v>0</v>
      </c>
      <c r="I166" s="83">
        <f>'[3]C. 2025 Forecast Sales'!H201</f>
        <v>0</v>
      </c>
      <c r="J166" s="83">
        <f>'[3]C. 2025 Forecast Sales'!I201</f>
        <v>0</v>
      </c>
      <c r="K166" s="83">
        <f>'[3]C. 2025 Forecast Sales'!J201</f>
        <v>0</v>
      </c>
      <c r="L166" s="83">
        <f>'[3]C. 2025 Forecast Sales'!K201</f>
        <v>0</v>
      </c>
      <c r="M166" s="83">
        <f>'[3]C. 2025 Forecast Sales'!L201</f>
        <v>7.58</v>
      </c>
      <c r="N166" s="83">
        <f>'[3]C. 2025 Forecast Sales'!M201</f>
        <v>0</v>
      </c>
      <c r="O166" s="137">
        <f t="shared" si="57"/>
        <v>7.58</v>
      </c>
      <c r="P166" s="61">
        <f t="shared" si="43"/>
        <v>164</v>
      </c>
      <c r="U166" s="233"/>
    </row>
    <row r="167" spans="1:23" x14ac:dyDescent="0.3">
      <c r="A167" s="11">
        <f t="shared" si="55"/>
        <v>165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40"/>
      <c r="P167" s="61">
        <f t="shared" si="43"/>
        <v>165</v>
      </c>
      <c r="U167" s="233"/>
    </row>
    <row r="168" spans="1:23" x14ac:dyDescent="0.3">
      <c r="A168" s="11">
        <f t="shared" si="55"/>
        <v>166</v>
      </c>
      <c r="B168" s="326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8"/>
      <c r="P168" s="61">
        <f t="shared" si="43"/>
        <v>166</v>
      </c>
      <c r="U168" s="233"/>
    </row>
    <row r="169" spans="1:23" x14ac:dyDescent="0.3">
      <c r="A169" s="11">
        <f t="shared" si="55"/>
        <v>167</v>
      </c>
      <c r="B169" s="329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330"/>
      <c r="P169" s="61">
        <f t="shared" si="43"/>
        <v>167</v>
      </c>
      <c r="U169" s="233"/>
    </row>
    <row r="170" spans="1:23" x14ac:dyDescent="0.3">
      <c r="A170" s="11">
        <f t="shared" si="55"/>
        <v>168</v>
      </c>
      <c r="B170" s="240" t="s">
        <v>428</v>
      </c>
      <c r="C170" s="88">
        <f>C145</f>
        <v>45658</v>
      </c>
      <c r="D170" s="88">
        <f>D145</f>
        <v>45689</v>
      </c>
      <c r="E170" s="88">
        <f t="shared" ref="E170:N170" si="58">E145</f>
        <v>45717</v>
      </c>
      <c r="F170" s="88">
        <f t="shared" si="58"/>
        <v>45748</v>
      </c>
      <c r="G170" s="88">
        <f t="shared" si="58"/>
        <v>45778</v>
      </c>
      <c r="H170" s="88">
        <f t="shared" si="58"/>
        <v>45809</v>
      </c>
      <c r="I170" s="88">
        <f t="shared" si="58"/>
        <v>45839</v>
      </c>
      <c r="J170" s="88">
        <f t="shared" si="58"/>
        <v>45870</v>
      </c>
      <c r="K170" s="88">
        <f t="shared" si="58"/>
        <v>45901</v>
      </c>
      <c r="L170" s="88">
        <f t="shared" si="58"/>
        <v>45931</v>
      </c>
      <c r="M170" s="88">
        <f t="shared" si="58"/>
        <v>45962</v>
      </c>
      <c r="N170" s="88">
        <f t="shared" si="58"/>
        <v>45992</v>
      </c>
      <c r="O170" s="169" t="s">
        <v>61</v>
      </c>
      <c r="P170" s="61">
        <f t="shared" si="43"/>
        <v>168</v>
      </c>
      <c r="U170" s="233"/>
    </row>
    <row r="171" spans="1:23" x14ac:dyDescent="0.3">
      <c r="A171" s="11">
        <f t="shared" si="55"/>
        <v>169</v>
      </c>
      <c r="B171" s="241" t="s">
        <v>399</v>
      </c>
      <c r="C171" s="170">
        <f>C15</f>
        <v>16898.596174145365</v>
      </c>
      <c r="D171" s="170">
        <f t="shared" ref="D171:N171" si="59">D15</f>
        <v>18281.425836751401</v>
      </c>
      <c r="E171" s="170">
        <f t="shared" si="59"/>
        <v>16418.928256802759</v>
      </c>
      <c r="F171" s="170">
        <f t="shared" si="59"/>
        <v>17288.752517243203</v>
      </c>
      <c r="G171" s="170">
        <f t="shared" si="59"/>
        <v>20061.665198170915</v>
      </c>
      <c r="H171" s="170">
        <f t="shared" si="59"/>
        <v>20603.202325132836</v>
      </c>
      <c r="I171" s="170">
        <f t="shared" si="59"/>
        <v>23004.135715861754</v>
      </c>
      <c r="J171" s="170">
        <f t="shared" si="59"/>
        <v>22863.150521633885</v>
      </c>
      <c r="K171" s="170">
        <f t="shared" si="59"/>
        <v>21957.609857486786</v>
      </c>
      <c r="L171" s="170">
        <f t="shared" si="59"/>
        <v>21563.167661901116</v>
      </c>
      <c r="M171" s="170">
        <f t="shared" si="59"/>
        <v>18985.959067639022</v>
      </c>
      <c r="N171" s="170">
        <f t="shared" si="59"/>
        <v>18145.45705354834</v>
      </c>
      <c r="O171" s="171">
        <f>SUM(C171:N171)</f>
        <v>236072.05018631738</v>
      </c>
      <c r="P171" s="61">
        <f t="shared" si="43"/>
        <v>169</v>
      </c>
      <c r="U171" s="233"/>
    </row>
    <row r="172" spans="1:23" x14ac:dyDescent="0.3">
      <c r="A172" s="11">
        <f t="shared" si="55"/>
        <v>170</v>
      </c>
      <c r="B172" s="242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37"/>
      <c r="P172" s="61">
        <f t="shared" si="43"/>
        <v>170</v>
      </c>
      <c r="U172" s="233"/>
      <c r="W172" s="84"/>
    </row>
    <row r="173" spans="1:23" x14ac:dyDescent="0.3">
      <c r="A173" s="11">
        <f t="shared" si="55"/>
        <v>171</v>
      </c>
      <c r="B173" s="241" t="s">
        <v>400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37"/>
      <c r="P173" s="61">
        <f t="shared" si="43"/>
        <v>171</v>
      </c>
      <c r="U173" s="233"/>
    </row>
    <row r="174" spans="1:23" x14ac:dyDescent="0.3">
      <c r="A174" s="11">
        <f t="shared" si="55"/>
        <v>172</v>
      </c>
      <c r="B174" s="243" t="s">
        <v>401</v>
      </c>
      <c r="C174" s="390">
        <f>'[3]C. 2025 Forecast Sales'!B166</f>
        <v>0.70427598116061296</v>
      </c>
      <c r="D174" s="390">
        <f>'[3]C. 2025 Forecast Sales'!C166</f>
        <v>0.70427598116061296</v>
      </c>
      <c r="E174" s="390">
        <f>'[3]C. 2025 Forecast Sales'!D166</f>
        <v>0.70427598116061296</v>
      </c>
      <c r="F174" s="390">
        <f>'[3]C. 2025 Forecast Sales'!E166</f>
        <v>0.70427598116061296</v>
      </c>
      <c r="G174" s="390">
        <f>'[3]C. 2025 Forecast Sales'!F166</f>
        <v>0.70427598116061296</v>
      </c>
      <c r="H174" s="390">
        <f>'[3]C. 2025 Forecast Sales'!G166</f>
        <v>0.72339467985559402</v>
      </c>
      <c r="I174" s="390">
        <f>'[3]C. 2025 Forecast Sales'!H166</f>
        <v>0.72339467985559402</v>
      </c>
      <c r="J174" s="390">
        <f>'[3]C. 2025 Forecast Sales'!I166</f>
        <v>0.72339467985559402</v>
      </c>
      <c r="K174" s="390">
        <f>'[3]C. 2025 Forecast Sales'!J166</f>
        <v>0.72339467985559402</v>
      </c>
      <c r="L174" s="390">
        <f>'[3]C. 2025 Forecast Sales'!K166</f>
        <v>0.72339467985559402</v>
      </c>
      <c r="M174" s="390">
        <f>'[3]C. 2025 Forecast Sales'!L166</f>
        <v>0.70427598116061296</v>
      </c>
      <c r="N174" s="390">
        <f>'[3]C. 2025 Forecast Sales'!M166</f>
        <v>0.70427598116061296</v>
      </c>
      <c r="O174" s="161">
        <f>O179/O171</f>
        <v>0.71318381194211322</v>
      </c>
      <c r="P174" s="61">
        <f t="shared" si="43"/>
        <v>172</v>
      </c>
      <c r="U174" s="233"/>
    </row>
    <row r="175" spans="1:23" x14ac:dyDescent="0.3">
      <c r="A175" s="11">
        <f t="shared" si="55"/>
        <v>173</v>
      </c>
      <c r="B175" s="243" t="s">
        <v>402</v>
      </c>
      <c r="C175" s="390">
        <f>'[3]C. 2025 Forecast Sales'!B167</f>
        <v>0.29572401883938598</v>
      </c>
      <c r="D175" s="390">
        <f>'[3]C. 2025 Forecast Sales'!C167</f>
        <v>0.29572401883938598</v>
      </c>
      <c r="E175" s="390">
        <f>'[3]C. 2025 Forecast Sales'!D167</f>
        <v>0.29572401883938598</v>
      </c>
      <c r="F175" s="390">
        <f>'[3]C. 2025 Forecast Sales'!E167</f>
        <v>0.29572401883938598</v>
      </c>
      <c r="G175" s="390">
        <f>'[3]C. 2025 Forecast Sales'!F167</f>
        <v>0.29572401883938598</v>
      </c>
      <c r="H175" s="390">
        <f>'[3]C. 2025 Forecast Sales'!G167</f>
        <v>0.27660532014440498</v>
      </c>
      <c r="I175" s="390">
        <f>'[3]C. 2025 Forecast Sales'!H167</f>
        <v>0.27660532014440498</v>
      </c>
      <c r="J175" s="390">
        <f>'[3]C. 2025 Forecast Sales'!I167</f>
        <v>0.27660532014440498</v>
      </c>
      <c r="K175" s="390">
        <f>'[3]C. 2025 Forecast Sales'!J167</f>
        <v>0.27660532014440498</v>
      </c>
      <c r="L175" s="390">
        <f>'[3]C. 2025 Forecast Sales'!K167</f>
        <v>0.27660532014440498</v>
      </c>
      <c r="M175" s="390">
        <f>'[3]C. 2025 Forecast Sales'!L167</f>
        <v>0.29572401883938598</v>
      </c>
      <c r="N175" s="390">
        <f>'[3]C. 2025 Forecast Sales'!M167</f>
        <v>0.29572401883938598</v>
      </c>
      <c r="O175" s="161">
        <f>O180/O171</f>
        <v>0.28681618805788572</v>
      </c>
      <c r="P175" s="61">
        <f t="shared" si="43"/>
        <v>173</v>
      </c>
      <c r="U175" s="233"/>
    </row>
    <row r="176" spans="1:23" x14ac:dyDescent="0.3">
      <c r="A176" s="11">
        <f t="shared" si="55"/>
        <v>174</v>
      </c>
      <c r="B176" s="243" t="s">
        <v>403</v>
      </c>
      <c r="C176" s="390">
        <f>'[3]C. 2025 Forecast Sales'!B168</f>
        <v>0</v>
      </c>
      <c r="D176" s="390">
        <f>'[3]C. 2025 Forecast Sales'!C168</f>
        <v>0</v>
      </c>
      <c r="E176" s="390">
        <f>'[3]C. 2025 Forecast Sales'!D168</f>
        <v>0</v>
      </c>
      <c r="F176" s="390">
        <f>'[3]C. 2025 Forecast Sales'!E168</f>
        <v>0</v>
      </c>
      <c r="G176" s="390">
        <f>'[3]C. 2025 Forecast Sales'!F168</f>
        <v>0</v>
      </c>
      <c r="H176" s="390">
        <f>'[3]C. 2025 Forecast Sales'!G168</f>
        <v>0</v>
      </c>
      <c r="I176" s="390">
        <f>'[3]C. 2025 Forecast Sales'!H168</f>
        <v>0</v>
      </c>
      <c r="J176" s="390">
        <f>'[3]C. 2025 Forecast Sales'!I168</f>
        <v>0</v>
      </c>
      <c r="K176" s="390">
        <f>'[3]C. 2025 Forecast Sales'!J168</f>
        <v>0</v>
      </c>
      <c r="L176" s="390">
        <f>'[3]C. 2025 Forecast Sales'!K168</f>
        <v>0</v>
      </c>
      <c r="M176" s="390">
        <f>'[3]C. 2025 Forecast Sales'!L168</f>
        <v>0</v>
      </c>
      <c r="N176" s="390">
        <f>'[3]C. 2025 Forecast Sales'!M168</f>
        <v>0</v>
      </c>
      <c r="O176" s="162">
        <f>O181/O171</f>
        <v>0</v>
      </c>
      <c r="P176" s="61">
        <f t="shared" si="43"/>
        <v>174</v>
      </c>
      <c r="U176" s="233"/>
    </row>
    <row r="177" spans="1:21" x14ac:dyDescent="0.3">
      <c r="A177" s="11">
        <f t="shared" si="55"/>
        <v>175</v>
      </c>
      <c r="B177" s="242"/>
      <c r="C177" s="160">
        <f>SUM(C174:C176)</f>
        <v>0.99999999999999889</v>
      </c>
      <c r="D177" s="160">
        <f>SUM(D174:D176)</f>
        <v>0.99999999999999889</v>
      </c>
      <c r="E177" s="160">
        <f t="shared" ref="E177:N177" si="60">SUM(E174:E176)</f>
        <v>0.99999999999999889</v>
      </c>
      <c r="F177" s="160">
        <f t="shared" si="60"/>
        <v>0.99999999999999889</v>
      </c>
      <c r="G177" s="160">
        <f t="shared" si="60"/>
        <v>0.99999999999999889</v>
      </c>
      <c r="H177" s="160">
        <f t="shared" si="60"/>
        <v>0.999999999999999</v>
      </c>
      <c r="I177" s="160">
        <f t="shared" si="60"/>
        <v>0.999999999999999</v>
      </c>
      <c r="J177" s="160">
        <f t="shared" si="60"/>
        <v>0.999999999999999</v>
      </c>
      <c r="K177" s="160">
        <f t="shared" si="60"/>
        <v>0.999999999999999</v>
      </c>
      <c r="L177" s="160">
        <f t="shared" si="60"/>
        <v>0.999999999999999</v>
      </c>
      <c r="M177" s="160">
        <f t="shared" si="60"/>
        <v>0.99999999999999889</v>
      </c>
      <c r="N177" s="160">
        <f t="shared" si="60"/>
        <v>0.99999999999999889</v>
      </c>
      <c r="O177" s="161">
        <f>SUM(O174:O176)</f>
        <v>0.99999999999999889</v>
      </c>
      <c r="P177" s="61">
        <f t="shared" si="43"/>
        <v>175</v>
      </c>
      <c r="U177" s="233"/>
    </row>
    <row r="178" spans="1:21" x14ac:dyDescent="0.3">
      <c r="A178" s="11">
        <f t="shared" si="55"/>
        <v>176</v>
      </c>
      <c r="B178" s="241" t="s">
        <v>399</v>
      </c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172"/>
      <c r="P178" s="61">
        <f t="shared" si="43"/>
        <v>176</v>
      </c>
      <c r="U178" s="233"/>
    </row>
    <row r="179" spans="1:21" x14ac:dyDescent="0.3">
      <c r="A179" s="11">
        <f t="shared" si="55"/>
        <v>177</v>
      </c>
      <c r="B179" s="242" t="s">
        <v>404</v>
      </c>
      <c r="C179" s="174">
        <f>C$171*C174</f>
        <v>11901.275400783206</v>
      </c>
      <c r="D179" s="174">
        <f t="shared" ref="D179:N179" si="61">D$171*D174</f>
        <v>12875.169118193073</v>
      </c>
      <c r="E179" s="174">
        <f t="shared" si="61"/>
        <v>11563.456807665476</v>
      </c>
      <c r="F179" s="174">
        <f t="shared" si="61"/>
        <v>12176.053142124474</v>
      </c>
      <c r="G179" s="174">
        <f t="shared" si="61"/>
        <v>14128.948941157543</v>
      </c>
      <c r="H179" s="174">
        <f t="shared" si="61"/>
        <v>14904.246949989498</v>
      </c>
      <c r="I179" s="174">
        <f t="shared" si="61"/>
        <v>16641.069391530451</v>
      </c>
      <c r="J179" s="174">
        <f t="shared" si="61"/>
        <v>16539.081452087601</v>
      </c>
      <c r="K179" s="174">
        <f t="shared" si="61"/>
        <v>15884.018153250689</v>
      </c>
      <c r="L179" s="174">
        <f t="shared" si="61"/>
        <v>15598.680767453456</v>
      </c>
      <c r="M179" s="174">
        <f t="shared" si="61"/>
        <v>13371.354950636709</v>
      </c>
      <c r="N179" s="174">
        <f t="shared" si="61"/>
        <v>12779.409569995521</v>
      </c>
      <c r="O179" s="171">
        <f>SUM(C179:N179)</f>
        <v>168362.76464486768</v>
      </c>
      <c r="P179" s="61">
        <f t="shared" si="43"/>
        <v>177</v>
      </c>
      <c r="U179" s="233"/>
    </row>
    <row r="180" spans="1:21" x14ac:dyDescent="0.3">
      <c r="A180" s="11">
        <f t="shared" si="55"/>
        <v>178</v>
      </c>
      <c r="B180" s="242" t="s">
        <v>405</v>
      </c>
      <c r="C180" s="174">
        <f t="shared" ref="C180:N181" si="62">C$171*C175</f>
        <v>4997.3207733621393</v>
      </c>
      <c r="D180" s="174">
        <f t="shared" si="62"/>
        <v>5406.2567185583093</v>
      </c>
      <c r="E180" s="174">
        <f t="shared" si="62"/>
        <v>4855.4714491372661</v>
      </c>
      <c r="F180" s="174">
        <f t="shared" si="62"/>
        <v>5112.699375118711</v>
      </c>
      <c r="G180" s="174">
        <f t="shared" si="62"/>
        <v>5932.7162570133496</v>
      </c>
      <c r="H180" s="174">
        <f t="shared" si="62"/>
        <v>5698.9553751433168</v>
      </c>
      <c r="I180" s="174">
        <f t="shared" si="62"/>
        <v>6363.0663243312811</v>
      </c>
      <c r="J180" s="174">
        <f t="shared" si="62"/>
        <v>6324.0690695462599</v>
      </c>
      <c r="K180" s="174">
        <f t="shared" si="62"/>
        <v>6073.5917042360752</v>
      </c>
      <c r="L180" s="174">
        <f t="shared" si="62"/>
        <v>5964.4868944476384</v>
      </c>
      <c r="M180" s="174">
        <f t="shared" si="62"/>
        <v>5614.6041170022936</v>
      </c>
      <c r="N180" s="174">
        <f t="shared" si="62"/>
        <v>5366.0474835527984</v>
      </c>
      <c r="O180" s="171">
        <f>SUM(C180:N180)</f>
        <v>67709.285541449441</v>
      </c>
      <c r="P180" s="61">
        <f t="shared" si="43"/>
        <v>178</v>
      </c>
      <c r="U180" s="233"/>
    </row>
    <row r="181" spans="1:21" x14ac:dyDescent="0.3">
      <c r="A181" s="11">
        <f t="shared" si="55"/>
        <v>179</v>
      </c>
      <c r="B181" s="242" t="s">
        <v>406</v>
      </c>
      <c r="C181" s="174">
        <f t="shared" si="62"/>
        <v>0</v>
      </c>
      <c r="D181" s="174">
        <f t="shared" si="62"/>
        <v>0</v>
      </c>
      <c r="E181" s="174">
        <f t="shared" si="62"/>
        <v>0</v>
      </c>
      <c r="F181" s="174">
        <f t="shared" si="62"/>
        <v>0</v>
      </c>
      <c r="G181" s="174">
        <f t="shared" si="62"/>
        <v>0</v>
      </c>
      <c r="H181" s="174">
        <f t="shared" si="62"/>
        <v>0</v>
      </c>
      <c r="I181" s="174">
        <f t="shared" si="62"/>
        <v>0</v>
      </c>
      <c r="J181" s="174">
        <f t="shared" si="62"/>
        <v>0</v>
      </c>
      <c r="K181" s="174">
        <f t="shared" si="62"/>
        <v>0</v>
      </c>
      <c r="L181" s="174">
        <f t="shared" si="62"/>
        <v>0</v>
      </c>
      <c r="M181" s="174">
        <f t="shared" si="62"/>
        <v>0</v>
      </c>
      <c r="N181" s="174">
        <f t="shared" si="62"/>
        <v>0</v>
      </c>
      <c r="O181" s="173">
        <f>SUM(C181:N181)</f>
        <v>0</v>
      </c>
      <c r="P181" s="61">
        <f t="shared" si="43"/>
        <v>179</v>
      </c>
      <c r="U181" s="233"/>
    </row>
    <row r="182" spans="1:21" x14ac:dyDescent="0.3">
      <c r="A182" s="11">
        <f t="shared" si="55"/>
        <v>180</v>
      </c>
      <c r="B182" s="242"/>
      <c r="C182" s="174">
        <f>SUM(C179:C181)</f>
        <v>16898.596174145347</v>
      </c>
      <c r="D182" s="174">
        <f>SUM(D179:D181)</f>
        <v>18281.425836751383</v>
      </c>
      <c r="E182" s="174">
        <f t="shared" ref="E182:N182" si="63">SUM(E179:E181)</f>
        <v>16418.928256802741</v>
      </c>
      <c r="F182" s="174">
        <f t="shared" si="63"/>
        <v>17288.752517243185</v>
      </c>
      <c r="G182" s="174">
        <f t="shared" si="63"/>
        <v>20061.665198170893</v>
      </c>
      <c r="H182" s="174">
        <f t="shared" si="63"/>
        <v>20603.202325132814</v>
      </c>
      <c r="I182" s="174">
        <f t="shared" si="63"/>
        <v>23004.135715861732</v>
      </c>
      <c r="J182" s="174">
        <f t="shared" si="63"/>
        <v>22863.150521633863</v>
      </c>
      <c r="K182" s="174">
        <f t="shared" si="63"/>
        <v>21957.609857486765</v>
      </c>
      <c r="L182" s="174">
        <f t="shared" si="63"/>
        <v>21563.167661901094</v>
      </c>
      <c r="M182" s="174">
        <f t="shared" si="63"/>
        <v>18985.959067639003</v>
      </c>
      <c r="N182" s="174">
        <f t="shared" si="63"/>
        <v>18145.457053548322</v>
      </c>
      <c r="O182" s="175">
        <f>SUM(O179:O181)</f>
        <v>236072.05018631712</v>
      </c>
      <c r="P182" s="61">
        <f t="shared" si="43"/>
        <v>180</v>
      </c>
      <c r="U182" s="233"/>
    </row>
    <row r="183" spans="1:21" x14ac:dyDescent="0.3">
      <c r="A183" s="11">
        <f t="shared" si="55"/>
        <v>181</v>
      </c>
      <c r="B183" s="241" t="s">
        <v>415</v>
      </c>
      <c r="C183" s="319"/>
      <c r="D183" s="319"/>
      <c r="E183" s="319"/>
      <c r="F183" s="319"/>
      <c r="G183" s="319"/>
      <c r="H183" s="319"/>
      <c r="I183" s="319"/>
      <c r="J183" s="319"/>
      <c r="K183" s="319"/>
      <c r="L183" s="319"/>
      <c r="M183" s="319"/>
      <c r="N183" s="319"/>
      <c r="O183" s="178"/>
      <c r="P183" s="61">
        <f t="shared" si="43"/>
        <v>181</v>
      </c>
      <c r="U183" s="233"/>
    </row>
    <row r="184" spans="1:21" x14ac:dyDescent="0.3">
      <c r="A184" s="11">
        <f t="shared" si="55"/>
        <v>182</v>
      </c>
      <c r="B184" s="243" t="s">
        <v>401</v>
      </c>
      <c r="C184" s="384">
        <f>'[3]C. 2025 Forecast Sales'!B176</f>
        <v>3.5802184731023499E-3</v>
      </c>
      <c r="D184" s="384">
        <f>'[3]C. 2025 Forecast Sales'!C176</f>
        <v>3.5802184731023499E-3</v>
      </c>
      <c r="E184" s="384">
        <f>'[3]C. 2025 Forecast Sales'!D176</f>
        <v>3.5802184731023499E-3</v>
      </c>
      <c r="F184" s="384">
        <f>'[3]C. 2025 Forecast Sales'!E176</f>
        <v>3.5802184731023499E-3</v>
      </c>
      <c r="G184" s="384">
        <f>'[3]C. 2025 Forecast Sales'!F176</f>
        <v>3.5802184731023499E-3</v>
      </c>
      <c r="H184" s="384">
        <f>'[3]C. 2025 Forecast Sales'!G176</f>
        <v>3.5654415563443598E-3</v>
      </c>
      <c r="I184" s="384">
        <f>'[3]C. 2025 Forecast Sales'!H176</f>
        <v>3.5654415563443598E-3</v>
      </c>
      <c r="J184" s="384">
        <f>'[3]C. 2025 Forecast Sales'!I176</f>
        <v>3.5654415563443598E-3</v>
      </c>
      <c r="K184" s="384">
        <f>'[3]C. 2025 Forecast Sales'!J176</f>
        <v>3.5654415563443598E-3</v>
      </c>
      <c r="L184" s="384">
        <f>'[3]C. 2025 Forecast Sales'!K176</f>
        <v>3.5654415563443598E-3</v>
      </c>
      <c r="M184" s="384">
        <f>'[3]C. 2025 Forecast Sales'!L176</f>
        <v>3.5802184731023499E-3</v>
      </c>
      <c r="N184" s="384">
        <f>'[3]C. 2025 Forecast Sales'!M176</f>
        <v>3.5802184731023499E-3</v>
      </c>
      <c r="O184" s="163">
        <f>IFERROR(O189/O179,0)</f>
        <v>3.5732350028124531E-3</v>
      </c>
      <c r="P184" s="61">
        <f t="shared" si="43"/>
        <v>182</v>
      </c>
      <c r="U184" s="233"/>
    </row>
    <row r="185" spans="1:21" x14ac:dyDescent="0.3">
      <c r="A185" s="11">
        <f t="shared" si="55"/>
        <v>183</v>
      </c>
      <c r="B185" s="243" t="s">
        <v>402</v>
      </c>
      <c r="C185" s="384">
        <f>'[3]C. 2025 Forecast Sales'!B177</f>
        <v>3.73644969719905E-3</v>
      </c>
      <c r="D185" s="384">
        <f>'[3]C. 2025 Forecast Sales'!C177</f>
        <v>3.73644969719905E-3</v>
      </c>
      <c r="E185" s="384">
        <f>'[3]C. 2025 Forecast Sales'!D177</f>
        <v>3.73644969719905E-3</v>
      </c>
      <c r="F185" s="384">
        <f>'[3]C. 2025 Forecast Sales'!E177</f>
        <v>3.73644969719905E-3</v>
      </c>
      <c r="G185" s="384">
        <f>'[3]C. 2025 Forecast Sales'!F177</f>
        <v>3.73644969719905E-3</v>
      </c>
      <c r="H185" s="384">
        <f>'[3]C. 2025 Forecast Sales'!G177</f>
        <v>3.7265297340661301E-3</v>
      </c>
      <c r="I185" s="384">
        <f>'[3]C. 2025 Forecast Sales'!H177</f>
        <v>3.7265297340661301E-3</v>
      </c>
      <c r="J185" s="384">
        <f>'[3]C. 2025 Forecast Sales'!I177</f>
        <v>3.7265297340661301E-3</v>
      </c>
      <c r="K185" s="384">
        <f>'[3]C. 2025 Forecast Sales'!J177</f>
        <v>3.7265297340661301E-3</v>
      </c>
      <c r="L185" s="384">
        <f>'[3]C. 2025 Forecast Sales'!K177</f>
        <v>3.7265297340661301E-3</v>
      </c>
      <c r="M185" s="384">
        <f>'[3]C. 2025 Forecast Sales'!L177</f>
        <v>3.73644969719905E-3</v>
      </c>
      <c r="N185" s="384">
        <f>'[3]C. 2025 Forecast Sales'!M177</f>
        <v>3.73644969719905E-3</v>
      </c>
      <c r="O185" s="163">
        <f t="shared" ref="O185:O186" si="64">IFERROR(O190/O180,0)</f>
        <v>3.7319923079936566E-3</v>
      </c>
      <c r="P185" s="61">
        <f t="shared" si="43"/>
        <v>183</v>
      </c>
      <c r="U185" s="233"/>
    </row>
    <row r="186" spans="1:21" x14ac:dyDescent="0.3">
      <c r="A186" s="11">
        <f t="shared" si="55"/>
        <v>184</v>
      </c>
      <c r="B186" s="243" t="s">
        <v>403</v>
      </c>
      <c r="C186" s="384">
        <f>'[3]C. 2025 Forecast Sales'!B178</f>
        <v>0</v>
      </c>
      <c r="D186" s="384">
        <f>'[3]C. 2025 Forecast Sales'!C178</f>
        <v>0</v>
      </c>
      <c r="E186" s="384">
        <f>'[3]C. 2025 Forecast Sales'!D178</f>
        <v>0</v>
      </c>
      <c r="F186" s="384">
        <f>'[3]C. 2025 Forecast Sales'!E178</f>
        <v>0</v>
      </c>
      <c r="G186" s="384">
        <f>'[3]C. 2025 Forecast Sales'!F178</f>
        <v>0</v>
      </c>
      <c r="H186" s="384">
        <f>'[3]C. 2025 Forecast Sales'!G178</f>
        <v>0</v>
      </c>
      <c r="I186" s="384">
        <f>'[3]C. 2025 Forecast Sales'!H178</f>
        <v>0</v>
      </c>
      <c r="J186" s="384">
        <f>'[3]C. 2025 Forecast Sales'!I178</f>
        <v>0</v>
      </c>
      <c r="K186" s="384">
        <f>'[3]C. 2025 Forecast Sales'!J178</f>
        <v>0</v>
      </c>
      <c r="L186" s="384">
        <f>'[3]C. 2025 Forecast Sales'!K178</f>
        <v>0</v>
      </c>
      <c r="M186" s="384">
        <f>'[3]C. 2025 Forecast Sales'!L178</f>
        <v>0</v>
      </c>
      <c r="N186" s="384">
        <f>'[3]C. 2025 Forecast Sales'!M178</f>
        <v>0</v>
      </c>
      <c r="O186" s="163">
        <f t="shared" si="64"/>
        <v>0</v>
      </c>
      <c r="P186" s="61">
        <f t="shared" si="43"/>
        <v>184</v>
      </c>
      <c r="U186" s="233"/>
    </row>
    <row r="187" spans="1:21" x14ac:dyDescent="0.3">
      <c r="A187" s="11">
        <f t="shared" si="55"/>
        <v>185</v>
      </c>
      <c r="B187" s="242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178"/>
      <c r="P187" s="61">
        <f t="shared" si="43"/>
        <v>185</v>
      </c>
      <c r="U187" s="233"/>
    </row>
    <row r="188" spans="1:21" x14ac:dyDescent="0.3">
      <c r="A188" s="11">
        <f t="shared" si="55"/>
        <v>186</v>
      </c>
      <c r="B188" s="241" t="s">
        <v>416</v>
      </c>
      <c r="C188" s="319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178"/>
      <c r="P188" s="61">
        <f t="shared" si="43"/>
        <v>186</v>
      </c>
      <c r="U188" s="233"/>
    </row>
    <row r="189" spans="1:21" x14ac:dyDescent="0.3">
      <c r="A189" s="11">
        <f t="shared" si="55"/>
        <v>187</v>
      </c>
      <c r="B189" s="242" t="s">
        <v>409</v>
      </c>
      <c r="C189" s="176">
        <f t="shared" ref="C189:N191" si="65">C179*C184</f>
        <v>42.609166043362606</v>
      </c>
      <c r="D189" s="176">
        <f t="shared" si="65"/>
        <v>46.095918321271732</v>
      </c>
      <c r="E189" s="176">
        <f t="shared" si="65"/>
        <v>41.399701675725062</v>
      </c>
      <c r="F189" s="176">
        <f t="shared" si="65"/>
        <v>43.592930388909956</v>
      </c>
      <c r="G189" s="176">
        <f t="shared" si="65"/>
        <v>50.584724004652124</v>
      </c>
      <c r="H189" s="176">
        <f t="shared" si="65"/>
        <v>53.14022144151123</v>
      </c>
      <c r="I189" s="176">
        <f t="shared" si="65"/>
        <v>59.332760350572819</v>
      </c>
      <c r="J189" s="176">
        <f t="shared" si="65"/>
        <v>58.969128313037352</v>
      </c>
      <c r="K189" s="176">
        <f t="shared" si="65"/>
        <v>56.633538405328203</v>
      </c>
      <c r="L189" s="176">
        <f t="shared" si="65"/>
        <v>55.61618463242808</v>
      </c>
      <c r="M189" s="176">
        <f t="shared" si="65"/>
        <v>47.872372004678105</v>
      </c>
      <c r="N189" s="176">
        <f t="shared" si="65"/>
        <v>45.753078217838926</v>
      </c>
      <c r="O189" s="165">
        <f>SUM(C189:N189)</f>
        <v>601.59972379931617</v>
      </c>
      <c r="P189" s="61">
        <f t="shared" si="43"/>
        <v>187</v>
      </c>
      <c r="U189" s="233"/>
    </row>
    <row r="190" spans="1:21" x14ac:dyDescent="0.3">
      <c r="A190" s="11">
        <f t="shared" si="55"/>
        <v>188</v>
      </c>
      <c r="B190" s="242" t="s">
        <v>410</v>
      </c>
      <c r="C190" s="176">
        <f t="shared" si="65"/>
        <v>18.672237690435487</v>
      </c>
      <c r="D190" s="176">
        <f t="shared" si="65"/>
        <v>20.200206279037523</v>
      </c>
      <c r="E190" s="176">
        <f t="shared" si="65"/>
        <v>18.14222482588757</v>
      </c>
      <c r="F190" s="176">
        <f t="shared" si="65"/>
        <v>19.10334403203208</v>
      </c>
      <c r="G190" s="176">
        <f t="shared" si="65"/>
        <v>22.16729586208541</v>
      </c>
      <c r="H190" s="176">
        <f t="shared" si="65"/>
        <v>21.237326658587566</v>
      </c>
      <c r="I190" s="176">
        <f t="shared" si="65"/>
        <v>23.712155857455397</v>
      </c>
      <c r="J190" s="176">
        <f t="shared" si="65"/>
        <v>23.566831427952064</v>
      </c>
      <c r="K190" s="176">
        <f t="shared" si="65"/>
        <v>22.633420078413113</v>
      </c>
      <c r="L190" s="176">
        <f t="shared" si="65"/>
        <v>22.226837760606877</v>
      </c>
      <c r="M190" s="176">
        <f t="shared" si="65"/>
        <v>20.978685852865759</v>
      </c>
      <c r="N190" s="176">
        <f t="shared" si="65"/>
        <v>20.049966495076578</v>
      </c>
      <c r="O190" s="165">
        <f>SUM(C190:N190)</f>
        <v>252.69053282043541</v>
      </c>
      <c r="P190" s="61">
        <f t="shared" si="43"/>
        <v>188</v>
      </c>
      <c r="U190" s="233"/>
    </row>
    <row r="191" spans="1:21" x14ac:dyDescent="0.3">
      <c r="A191" s="11">
        <f t="shared" si="55"/>
        <v>189</v>
      </c>
      <c r="B191" s="242" t="s">
        <v>411</v>
      </c>
      <c r="C191" s="177">
        <f t="shared" si="65"/>
        <v>0</v>
      </c>
      <c r="D191" s="177">
        <f t="shared" si="65"/>
        <v>0</v>
      </c>
      <c r="E191" s="177">
        <f t="shared" si="65"/>
        <v>0</v>
      </c>
      <c r="F191" s="177">
        <f t="shared" si="65"/>
        <v>0</v>
      </c>
      <c r="G191" s="177">
        <f t="shared" si="65"/>
        <v>0</v>
      </c>
      <c r="H191" s="177">
        <f t="shared" si="65"/>
        <v>0</v>
      </c>
      <c r="I191" s="177">
        <f t="shared" si="65"/>
        <v>0</v>
      </c>
      <c r="J191" s="177">
        <f t="shared" si="65"/>
        <v>0</v>
      </c>
      <c r="K191" s="177">
        <f t="shared" si="65"/>
        <v>0</v>
      </c>
      <c r="L191" s="177">
        <f t="shared" si="65"/>
        <v>0</v>
      </c>
      <c r="M191" s="177">
        <f t="shared" si="65"/>
        <v>0</v>
      </c>
      <c r="N191" s="177">
        <f t="shared" si="65"/>
        <v>0</v>
      </c>
      <c r="O191" s="166">
        <f>SUM(C191:N191)</f>
        <v>0</v>
      </c>
      <c r="P191" s="61">
        <f t="shared" si="43"/>
        <v>189</v>
      </c>
      <c r="U191" s="233"/>
    </row>
    <row r="192" spans="1:21" x14ac:dyDescent="0.3">
      <c r="A192" s="11">
        <f t="shared" si="55"/>
        <v>190</v>
      </c>
      <c r="B192" s="242"/>
      <c r="C192" s="176">
        <f>SUM(C189:C191)</f>
        <v>61.281403733798093</v>
      </c>
      <c r="D192" s="176">
        <f>SUM(D189:D191)</f>
        <v>66.296124600309255</v>
      </c>
      <c r="E192" s="176">
        <f t="shared" ref="E192:N192" si="66">SUM(E189:E191)</f>
        <v>59.541926501612636</v>
      </c>
      <c r="F192" s="176">
        <f t="shared" si="66"/>
        <v>62.696274420942032</v>
      </c>
      <c r="G192" s="176">
        <f t="shared" si="66"/>
        <v>72.752019866737527</v>
      </c>
      <c r="H192" s="176">
        <f t="shared" si="66"/>
        <v>74.377548100098792</v>
      </c>
      <c r="I192" s="176">
        <f t="shared" si="66"/>
        <v>83.044916208028212</v>
      </c>
      <c r="J192" s="176">
        <f t="shared" si="66"/>
        <v>82.535959740989412</v>
      </c>
      <c r="K192" s="176">
        <f t="shared" si="66"/>
        <v>79.26695848374132</v>
      </c>
      <c r="L192" s="176">
        <f t="shared" si="66"/>
        <v>77.843022393034957</v>
      </c>
      <c r="M192" s="176">
        <f t="shared" si="66"/>
        <v>68.851057857543864</v>
      </c>
      <c r="N192" s="176">
        <f t="shared" si="66"/>
        <v>65.803044712915508</v>
      </c>
      <c r="O192" s="178">
        <f>SUM(O189:O191)</f>
        <v>854.29025661975152</v>
      </c>
      <c r="P192" s="61">
        <f t="shared" si="43"/>
        <v>190</v>
      </c>
      <c r="U192" s="233"/>
    </row>
    <row r="193" spans="1:21" x14ac:dyDescent="0.3">
      <c r="A193" s="11">
        <f t="shared" si="55"/>
        <v>191</v>
      </c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8"/>
      <c r="P193" s="61">
        <f t="shared" si="43"/>
        <v>191</v>
      </c>
      <c r="U193" s="233"/>
    </row>
    <row r="194" spans="1:21" x14ac:dyDescent="0.3">
      <c r="A194" s="11">
        <f t="shared" si="55"/>
        <v>192</v>
      </c>
      <c r="B194" s="287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1"/>
      <c r="N194" s="431"/>
      <c r="O194" s="432"/>
      <c r="P194" s="61">
        <f t="shared" si="43"/>
        <v>192</v>
      </c>
      <c r="U194" s="233"/>
    </row>
    <row r="195" spans="1:21" x14ac:dyDescent="0.3">
      <c r="A195" s="11">
        <f t="shared" si="55"/>
        <v>193</v>
      </c>
      <c r="B195" s="288"/>
      <c r="C195" s="435"/>
      <c r="D195" s="435"/>
      <c r="E195" s="435"/>
      <c r="F195" s="435"/>
      <c r="G195" s="435"/>
      <c r="H195" s="435"/>
      <c r="I195" s="435"/>
      <c r="J195" s="435"/>
      <c r="K195" s="435"/>
      <c r="L195" s="435"/>
      <c r="M195" s="435"/>
      <c r="N195" s="435"/>
      <c r="O195" s="436"/>
      <c r="P195" s="61">
        <f t="shared" si="43"/>
        <v>193</v>
      </c>
      <c r="U195" s="233"/>
    </row>
    <row r="196" spans="1:21" x14ac:dyDescent="0.3">
      <c r="A196" s="11">
        <f t="shared" si="55"/>
        <v>194</v>
      </c>
      <c r="B196" s="234" t="s">
        <v>429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44"/>
      <c r="P196" s="61">
        <f t="shared" si="43"/>
        <v>194</v>
      </c>
    </row>
    <row r="197" spans="1:21" x14ac:dyDescent="0.3">
      <c r="A197" s="11">
        <f t="shared" si="55"/>
        <v>195</v>
      </c>
      <c r="B197" s="239" t="s">
        <v>430</v>
      </c>
      <c r="C197" s="88">
        <f t="shared" ref="C197:N197" si="67">C145</f>
        <v>45658</v>
      </c>
      <c r="D197" s="88">
        <f t="shared" si="67"/>
        <v>45689</v>
      </c>
      <c r="E197" s="88">
        <f t="shared" si="67"/>
        <v>45717</v>
      </c>
      <c r="F197" s="88">
        <f t="shared" si="67"/>
        <v>45748</v>
      </c>
      <c r="G197" s="88">
        <f t="shared" si="67"/>
        <v>45778</v>
      </c>
      <c r="H197" s="88">
        <f t="shared" si="67"/>
        <v>45809</v>
      </c>
      <c r="I197" s="88">
        <f t="shared" si="67"/>
        <v>45839</v>
      </c>
      <c r="J197" s="88">
        <f t="shared" si="67"/>
        <v>45870</v>
      </c>
      <c r="K197" s="88">
        <f t="shared" si="67"/>
        <v>45901</v>
      </c>
      <c r="L197" s="88">
        <f t="shared" si="67"/>
        <v>45931</v>
      </c>
      <c r="M197" s="88">
        <f t="shared" si="67"/>
        <v>45962</v>
      </c>
      <c r="N197" s="88">
        <f t="shared" si="67"/>
        <v>45992</v>
      </c>
      <c r="O197" s="129" t="s">
        <v>61</v>
      </c>
      <c r="P197" s="61">
        <f t="shared" si="43"/>
        <v>195</v>
      </c>
      <c r="U197" s="83"/>
    </row>
    <row r="198" spans="1:21" x14ac:dyDescent="0.3">
      <c r="A198" s="11">
        <f t="shared" si="55"/>
        <v>196</v>
      </c>
      <c r="B198" s="235" t="s">
        <v>431</v>
      </c>
      <c r="O198" s="127"/>
      <c r="P198" s="61">
        <f t="shared" si="43"/>
        <v>196</v>
      </c>
    </row>
    <row r="199" spans="1:21" x14ac:dyDescent="0.3">
      <c r="A199" s="11">
        <f t="shared" si="55"/>
        <v>197</v>
      </c>
      <c r="B199" s="127" t="s">
        <v>409</v>
      </c>
      <c r="C199" s="386">
        <f>'[3]C. 2025 Forecast Sales'!B190</f>
        <v>6.1479999999999997</v>
      </c>
      <c r="D199" s="386">
        <f>'[3]C. 2025 Forecast Sales'!C190</f>
        <v>6.1479999999999997</v>
      </c>
      <c r="E199" s="386">
        <f>'[3]C. 2025 Forecast Sales'!D190</f>
        <v>6.1479999999999997</v>
      </c>
      <c r="F199" s="387">
        <f>'[3]C. 2025 Forecast Sales'!E190</f>
        <v>6.1479999999999997</v>
      </c>
      <c r="G199" s="387">
        <f>'[3]C. 2025 Forecast Sales'!F190</f>
        <v>6.1479999999999997</v>
      </c>
      <c r="H199" s="387">
        <f>'[3]C. 2025 Forecast Sales'!G190</f>
        <v>6.1479999999999997</v>
      </c>
      <c r="I199" s="387">
        <f>'[3]C. 2025 Forecast Sales'!H190</f>
        <v>6.1479999999999997</v>
      </c>
      <c r="J199" s="387">
        <f>'[3]C. 2025 Forecast Sales'!I190</f>
        <v>6.1479999999999997</v>
      </c>
      <c r="K199" s="387">
        <f>'[3]C. 2025 Forecast Sales'!J190</f>
        <v>6.1479999999999997</v>
      </c>
      <c r="L199" s="387">
        <f>'[3]C. 2025 Forecast Sales'!K190</f>
        <v>6.1479999999999997</v>
      </c>
      <c r="M199" s="387">
        <f>'[3]C. 2025 Forecast Sales'!L190</f>
        <v>6.1479999999999997</v>
      </c>
      <c r="N199" s="387">
        <f>'[3]C. 2025 Forecast Sales'!M190</f>
        <v>6.1479999999999997</v>
      </c>
      <c r="O199" s="165">
        <f>SUM(C199:N199)</f>
        <v>73.775999999999982</v>
      </c>
      <c r="P199" s="61">
        <f t="shared" si="43"/>
        <v>197</v>
      </c>
    </row>
    <row r="200" spans="1:21" x14ac:dyDescent="0.3">
      <c r="A200" s="11">
        <f t="shared" si="55"/>
        <v>198</v>
      </c>
      <c r="B200" s="127" t="s">
        <v>410</v>
      </c>
      <c r="C200" s="386">
        <f>'[3]C. 2025 Forecast Sales'!B191</f>
        <v>84.682000000000002</v>
      </c>
      <c r="D200" s="386">
        <f>'[3]C. 2025 Forecast Sales'!C191</f>
        <v>84.682000000000002</v>
      </c>
      <c r="E200" s="386">
        <f>'[3]C. 2025 Forecast Sales'!D191</f>
        <v>84.682000000000002</v>
      </c>
      <c r="F200" s="387">
        <f>'[3]C. 2025 Forecast Sales'!E191</f>
        <v>84.682000000000002</v>
      </c>
      <c r="G200" s="387">
        <f>'[3]C. 2025 Forecast Sales'!F191</f>
        <v>84.682000000000002</v>
      </c>
      <c r="H200" s="387">
        <f>'[3]C. 2025 Forecast Sales'!G191</f>
        <v>84.682000000000002</v>
      </c>
      <c r="I200" s="387">
        <f>'[3]C. 2025 Forecast Sales'!H191</f>
        <v>84.682000000000002</v>
      </c>
      <c r="J200" s="387">
        <f>'[3]C. 2025 Forecast Sales'!I191</f>
        <v>84.682000000000002</v>
      </c>
      <c r="K200" s="387">
        <f>'[3]C. 2025 Forecast Sales'!J191</f>
        <v>84.682000000000002</v>
      </c>
      <c r="L200" s="387">
        <f>'[3]C. 2025 Forecast Sales'!K191</f>
        <v>84.682000000000002</v>
      </c>
      <c r="M200" s="387">
        <f>'[3]C. 2025 Forecast Sales'!L191</f>
        <v>84.682000000000002</v>
      </c>
      <c r="N200" s="387">
        <f>'[3]C. 2025 Forecast Sales'!M191</f>
        <v>84.682000000000002</v>
      </c>
      <c r="O200" s="165">
        <f>SUM(C200:N200)</f>
        <v>1016.1840000000001</v>
      </c>
      <c r="P200" s="61">
        <f t="shared" si="43"/>
        <v>198</v>
      </c>
    </row>
    <row r="201" spans="1:21" x14ac:dyDescent="0.3">
      <c r="A201" s="11">
        <f t="shared" si="55"/>
        <v>199</v>
      </c>
      <c r="B201" s="127" t="s">
        <v>411</v>
      </c>
      <c r="C201" s="386">
        <f>'[3]C. 2025 Forecast Sales'!B192</f>
        <v>54.676000000000002</v>
      </c>
      <c r="D201" s="386">
        <f>'[3]C. 2025 Forecast Sales'!C192</f>
        <v>54.676000000000002</v>
      </c>
      <c r="E201" s="386">
        <f>'[3]C. 2025 Forecast Sales'!D192</f>
        <v>54.676000000000002</v>
      </c>
      <c r="F201" s="387">
        <f>'[3]C. 2025 Forecast Sales'!E192</f>
        <v>54.676000000000002</v>
      </c>
      <c r="G201" s="387">
        <f>'[3]C. 2025 Forecast Sales'!F192</f>
        <v>54.676000000000002</v>
      </c>
      <c r="H201" s="387">
        <f>'[3]C. 2025 Forecast Sales'!G192</f>
        <v>54.676000000000002</v>
      </c>
      <c r="I201" s="387">
        <f>'[3]C. 2025 Forecast Sales'!H192</f>
        <v>54.676000000000002</v>
      </c>
      <c r="J201" s="387">
        <f>'[3]C. 2025 Forecast Sales'!I192</f>
        <v>54.676000000000002</v>
      </c>
      <c r="K201" s="387">
        <f>'[3]C. 2025 Forecast Sales'!J192</f>
        <v>54.676000000000002</v>
      </c>
      <c r="L201" s="387">
        <f>'[3]C. 2025 Forecast Sales'!K192</f>
        <v>54.676000000000002</v>
      </c>
      <c r="M201" s="387">
        <f>'[3]C. 2025 Forecast Sales'!L192</f>
        <v>54.676000000000002</v>
      </c>
      <c r="N201" s="387">
        <f>'[3]C. 2025 Forecast Sales'!M192</f>
        <v>54.676000000000002</v>
      </c>
      <c r="O201" s="166">
        <f>SUM(C201:N201)</f>
        <v>656.11200000000008</v>
      </c>
      <c r="P201" s="61">
        <f t="shared" si="43"/>
        <v>199</v>
      </c>
    </row>
    <row r="202" spans="1:21" x14ac:dyDescent="0.3">
      <c r="A202" s="11">
        <f t="shared" si="55"/>
        <v>200</v>
      </c>
      <c r="C202" s="176">
        <f>SUM(C199:C201)</f>
        <v>145.506</v>
      </c>
      <c r="D202" s="176">
        <f>SUM(D199:D201)</f>
        <v>145.506</v>
      </c>
      <c r="E202" s="176">
        <f t="shared" ref="E202:N202" si="68">SUM(E199:E201)</f>
        <v>145.506</v>
      </c>
      <c r="F202" s="176">
        <f t="shared" si="68"/>
        <v>145.506</v>
      </c>
      <c r="G202" s="176">
        <f t="shared" si="68"/>
        <v>145.506</v>
      </c>
      <c r="H202" s="176">
        <f t="shared" si="68"/>
        <v>145.506</v>
      </c>
      <c r="I202" s="176">
        <f t="shared" si="68"/>
        <v>145.506</v>
      </c>
      <c r="J202" s="176">
        <f t="shared" si="68"/>
        <v>145.506</v>
      </c>
      <c r="K202" s="176">
        <f t="shared" si="68"/>
        <v>145.506</v>
      </c>
      <c r="L202" s="176">
        <f t="shared" si="68"/>
        <v>145.506</v>
      </c>
      <c r="M202" s="176">
        <f t="shared" si="68"/>
        <v>145.506</v>
      </c>
      <c r="N202" s="176">
        <f t="shared" si="68"/>
        <v>145.506</v>
      </c>
      <c r="O202" s="178">
        <f>SUM(O199:O201)</f>
        <v>1746.0720000000001</v>
      </c>
      <c r="P202" s="61">
        <f t="shared" si="43"/>
        <v>200</v>
      </c>
    </row>
    <row r="203" spans="1:21" x14ac:dyDescent="0.3">
      <c r="A203" s="11">
        <f t="shared" si="55"/>
        <v>201</v>
      </c>
      <c r="B203" s="294"/>
      <c r="C203" s="431"/>
      <c r="D203" s="431"/>
      <c r="E203" s="431"/>
      <c r="F203" s="431"/>
      <c r="G203" s="431"/>
      <c r="H203" s="431"/>
      <c r="I203" s="431"/>
      <c r="J203" s="431"/>
      <c r="K203" s="431"/>
      <c r="L203" s="431"/>
      <c r="M203" s="431"/>
      <c r="N203" s="431"/>
      <c r="O203" s="432"/>
      <c r="P203" s="61">
        <f t="shared" si="43"/>
        <v>201</v>
      </c>
    </row>
    <row r="204" spans="1:21" x14ac:dyDescent="0.3">
      <c r="A204" s="17">
        <f t="shared" si="55"/>
        <v>202</v>
      </c>
      <c r="B204" s="380"/>
      <c r="C204" s="435"/>
      <c r="D204" s="435"/>
      <c r="E204" s="435"/>
      <c r="F204" s="435"/>
      <c r="G204" s="435"/>
      <c r="H204" s="435"/>
      <c r="I204" s="435"/>
      <c r="J204" s="435"/>
      <c r="K204" s="435"/>
      <c r="L204" s="435"/>
      <c r="M204" s="435"/>
      <c r="N204" s="435"/>
      <c r="O204" s="436"/>
      <c r="P204" s="11">
        <f>P203+1</f>
        <v>202</v>
      </c>
    </row>
    <row r="205" spans="1:21" x14ac:dyDescent="0.3">
      <c r="A205" s="96">
        <f t="shared" si="55"/>
        <v>203</v>
      </c>
      <c r="B205" s="234" t="s">
        <v>17</v>
      </c>
      <c r="P205" s="11">
        <f t="shared" ref="P205:P215" si="69">P204+1</f>
        <v>203</v>
      </c>
    </row>
    <row r="206" spans="1:21" x14ac:dyDescent="0.3">
      <c r="A206" s="96">
        <f t="shared" si="55"/>
        <v>204</v>
      </c>
      <c r="B206" s="239" t="s">
        <v>432</v>
      </c>
      <c r="C206" s="88">
        <f>C197</f>
        <v>45658</v>
      </c>
      <c r="D206" s="88">
        <f t="shared" ref="D206:O206" si="70">D197</f>
        <v>45689</v>
      </c>
      <c r="E206" s="88">
        <f t="shared" si="70"/>
        <v>45717</v>
      </c>
      <c r="F206" s="88">
        <f t="shared" si="70"/>
        <v>45748</v>
      </c>
      <c r="G206" s="88">
        <f t="shared" si="70"/>
        <v>45778</v>
      </c>
      <c r="H206" s="88">
        <f t="shared" si="70"/>
        <v>45809</v>
      </c>
      <c r="I206" s="88">
        <f t="shared" si="70"/>
        <v>45839</v>
      </c>
      <c r="J206" s="88">
        <f t="shared" si="70"/>
        <v>45870</v>
      </c>
      <c r="K206" s="88">
        <f t="shared" si="70"/>
        <v>45901</v>
      </c>
      <c r="L206" s="88">
        <f t="shared" si="70"/>
        <v>45931</v>
      </c>
      <c r="M206" s="88">
        <f t="shared" si="70"/>
        <v>45962</v>
      </c>
      <c r="N206" s="88">
        <f t="shared" si="70"/>
        <v>45992</v>
      </c>
      <c r="O206" s="88" t="str">
        <f t="shared" si="70"/>
        <v>Total</v>
      </c>
      <c r="P206" s="11">
        <f t="shared" si="69"/>
        <v>204</v>
      </c>
    </row>
    <row r="207" spans="1:21" x14ac:dyDescent="0.3">
      <c r="A207" s="96">
        <f t="shared" si="55"/>
        <v>205</v>
      </c>
      <c r="B207" s="235" t="s">
        <v>399</v>
      </c>
      <c r="C207" s="228">
        <f>'[3]C. 2025 Forecast Sales'!B24</f>
        <v>47061.93</v>
      </c>
      <c r="D207" s="228">
        <f>'[3]C. 2025 Forecast Sales'!C24</f>
        <v>40430.444799999997</v>
      </c>
      <c r="E207" s="228">
        <f>'[3]C. 2025 Forecast Sales'!D24</f>
        <v>37102.648100000006</v>
      </c>
      <c r="F207" s="228">
        <f>'[3]C. 2025 Forecast Sales'!E24</f>
        <v>32070.854599999999</v>
      </c>
      <c r="G207" s="228">
        <f>'[3]C. 2025 Forecast Sales'!F24</f>
        <v>29749.3845</v>
      </c>
      <c r="H207" s="228">
        <f>'[3]C. 2025 Forecast Sales'!G24</f>
        <v>33271.081599999998</v>
      </c>
      <c r="I207" s="228">
        <f>'[3]C. 2025 Forecast Sales'!H24</f>
        <v>35708.878800000006</v>
      </c>
      <c r="J207" s="228">
        <f>'[3]C. 2025 Forecast Sales'!I24</f>
        <v>49471.659700000004</v>
      </c>
      <c r="K207" s="228">
        <f>'[3]C. 2025 Forecast Sales'!J24</f>
        <v>60292.236499999999</v>
      </c>
      <c r="L207" s="228">
        <f>'[3]C. 2025 Forecast Sales'!K24</f>
        <v>48776.249100000001</v>
      </c>
      <c r="M207" s="228">
        <f>'[3]C. 2025 Forecast Sales'!L24</f>
        <v>44820.339399999997</v>
      </c>
      <c r="N207" s="228">
        <f>'[3]C. 2025 Forecast Sales'!M24</f>
        <v>55640.162299999996</v>
      </c>
      <c r="O207" s="373">
        <f>SUM(C207:N207)</f>
        <v>514395.86939999997</v>
      </c>
      <c r="P207" s="11">
        <f t="shared" si="69"/>
        <v>205</v>
      </c>
    </row>
    <row r="208" spans="1:21" x14ac:dyDescent="0.3">
      <c r="A208" s="96">
        <f t="shared" si="55"/>
        <v>206</v>
      </c>
      <c r="B208" s="295"/>
      <c r="P208" s="11">
        <f t="shared" si="69"/>
        <v>206</v>
      </c>
    </row>
    <row r="209" spans="1:16" x14ac:dyDescent="0.3">
      <c r="A209" s="96">
        <f t="shared" si="55"/>
        <v>207</v>
      </c>
      <c r="B209" s="295" t="s">
        <v>433</v>
      </c>
      <c r="C209" s="317"/>
      <c r="D209" s="317"/>
      <c r="E209" s="317"/>
      <c r="F209" s="317"/>
      <c r="G209" s="317"/>
      <c r="H209" s="317"/>
      <c r="I209" s="317"/>
      <c r="J209" s="317"/>
      <c r="K209" s="317"/>
      <c r="L209" s="317"/>
      <c r="M209" s="317"/>
      <c r="N209" s="317"/>
      <c r="O209" s="318"/>
      <c r="P209" s="11">
        <f t="shared" si="69"/>
        <v>207</v>
      </c>
    </row>
    <row r="210" spans="1:16" x14ac:dyDescent="0.3">
      <c r="A210" s="96">
        <f t="shared" si="55"/>
        <v>208</v>
      </c>
      <c r="B210" s="295" t="s">
        <v>434</v>
      </c>
      <c r="C210" s="373">
        <f>'[3]C. 2025 Forecast Sales'!B27</f>
        <v>10048.812900000001</v>
      </c>
      <c r="D210" s="373">
        <f>'[3]C. 2025 Forecast Sales'!C27</f>
        <v>8628.4964999999993</v>
      </c>
      <c r="E210" s="373">
        <f>'[3]C. 2025 Forecast Sales'!D27</f>
        <v>7914.7977000000001</v>
      </c>
      <c r="F210" s="373">
        <f>'[3]C. 2025 Forecast Sales'!E27</f>
        <v>6833.4733999999999</v>
      </c>
      <c r="G210" s="373">
        <f>'[3]C. 2025 Forecast Sales'!F27</f>
        <v>6340.9143000000004</v>
      </c>
      <c r="H210" s="373">
        <f>'[3]C. 2025 Forecast Sales'!G27</f>
        <v>7065.3548000000001</v>
      </c>
      <c r="I210" s="373">
        <f>'[3]C. 2025 Forecast Sales'!H27</f>
        <v>7578.9335000000001</v>
      </c>
      <c r="J210" s="373">
        <f>'[3]C. 2025 Forecast Sales'!I27</f>
        <v>10502.0064</v>
      </c>
      <c r="K210" s="373">
        <f>'[3]C. 2025 Forecast Sales'!J27</f>
        <v>12802.225399999999</v>
      </c>
      <c r="L210" s="373">
        <f>'[3]C. 2025 Forecast Sales'!K27</f>
        <v>10357.2299</v>
      </c>
      <c r="M210" s="373">
        <f>'[3]C. 2025 Forecast Sales'!L27</f>
        <v>9565.1041000000005</v>
      </c>
      <c r="N210" s="373">
        <f>'[3]C. 2025 Forecast Sales'!M27</f>
        <v>11877.9781</v>
      </c>
      <c r="O210" s="373">
        <f>SUM(C210:N210)</f>
        <v>109515.32699999999</v>
      </c>
      <c r="P210" s="11">
        <f t="shared" si="69"/>
        <v>208</v>
      </c>
    </row>
    <row r="211" spans="1:16" x14ac:dyDescent="0.3">
      <c r="A211" s="96">
        <f t="shared" si="55"/>
        <v>209</v>
      </c>
      <c r="B211" s="295" t="s">
        <v>435</v>
      </c>
      <c r="C211" s="373">
        <f>'[3]C. 2025 Forecast Sales'!B28</f>
        <v>9406.8744000000006</v>
      </c>
      <c r="D211" s="373">
        <f>'[3]C. 2025 Forecast Sales'!C28</f>
        <v>8097.3588</v>
      </c>
      <c r="E211" s="373">
        <f>'[3]C. 2025 Forecast Sales'!D28</f>
        <v>7447.5182000000004</v>
      </c>
      <c r="F211" s="373">
        <f>'[3]C. 2025 Forecast Sales'!E28</f>
        <v>6469.8077999999996</v>
      </c>
      <c r="G211" s="373">
        <f>'[3]C. 2025 Forecast Sales'!F28</f>
        <v>6005.1641</v>
      </c>
      <c r="H211" s="373">
        <f>'[3]C. 2025 Forecast Sales'!G28</f>
        <v>7434.2599</v>
      </c>
      <c r="I211" s="373">
        <f>'[3]C. 2025 Forecast Sales'!H28</f>
        <v>8009.7767000000003</v>
      </c>
      <c r="J211" s="373">
        <f>'[3]C. 2025 Forecast Sales'!I28</f>
        <v>11046.292299999999</v>
      </c>
      <c r="K211" s="373">
        <f>'[3]C. 2025 Forecast Sales'!J28</f>
        <v>13433.0672</v>
      </c>
      <c r="L211" s="373">
        <f>'[3]C. 2025 Forecast Sales'!K28</f>
        <v>10873.651900000001</v>
      </c>
      <c r="M211" s="373">
        <f>'[3]C. 2025 Forecast Sales'!L28</f>
        <v>8991.5583000000006</v>
      </c>
      <c r="N211" s="373">
        <f>'[3]C. 2025 Forecast Sales'!M28</f>
        <v>11131.8791</v>
      </c>
      <c r="O211" s="373">
        <f>SUM(C211:N211)</f>
        <v>108347.2087</v>
      </c>
      <c r="P211" s="11">
        <f t="shared" si="69"/>
        <v>209</v>
      </c>
    </row>
    <row r="212" spans="1:16" x14ac:dyDescent="0.3">
      <c r="A212" s="96">
        <f t="shared" si="55"/>
        <v>210</v>
      </c>
      <c r="B212" s="295" t="s">
        <v>436</v>
      </c>
      <c r="C212" s="373">
        <f>'[3]C. 2025 Forecast Sales'!B29</f>
        <v>27606.242699999999</v>
      </c>
      <c r="D212" s="373">
        <f>'[3]C. 2025 Forecast Sales'!C29</f>
        <v>23704.589499999998</v>
      </c>
      <c r="E212" s="373">
        <f>'[3]C. 2025 Forecast Sales'!D29</f>
        <v>21740.332200000001</v>
      </c>
      <c r="F212" s="373">
        <f>'[3]C. 2025 Forecast Sales'!E29</f>
        <v>18767.573400000001</v>
      </c>
      <c r="G212" s="373">
        <f>'[3]C. 2025 Forecast Sales'!F29</f>
        <v>17403.306100000002</v>
      </c>
      <c r="H212" s="373">
        <f>'[3]C. 2025 Forecast Sales'!G29</f>
        <v>18771.466899999999</v>
      </c>
      <c r="I212" s="373">
        <f>'[3]C. 2025 Forecast Sales'!H29</f>
        <v>20120.168600000001</v>
      </c>
      <c r="J212" s="373">
        <f>'[3]C. 2025 Forecast Sales'!I29</f>
        <v>27923.361000000001</v>
      </c>
      <c r="K212" s="373">
        <f>'[3]C. 2025 Forecast Sales'!J29</f>
        <v>34056.943899999998</v>
      </c>
      <c r="L212" s="373">
        <f>'[3]C. 2025 Forecast Sales'!K29</f>
        <v>27545.367300000002</v>
      </c>
      <c r="M212" s="373">
        <f>'[3]C. 2025 Forecast Sales'!L29</f>
        <v>26263.677</v>
      </c>
      <c r="N212" s="373">
        <f>'[3]C. 2025 Forecast Sales'!M29</f>
        <v>32630.305100000001</v>
      </c>
      <c r="O212" s="373">
        <f>SUM(C212:N212)</f>
        <v>296533.33370000002</v>
      </c>
      <c r="P212" s="11">
        <f t="shared" si="69"/>
        <v>210</v>
      </c>
    </row>
    <row r="213" spans="1:16" x14ac:dyDescent="0.3">
      <c r="A213" s="96">
        <f t="shared" si="55"/>
        <v>211</v>
      </c>
      <c r="B213" s="295"/>
      <c r="C213" s="318"/>
      <c r="D213" s="318"/>
      <c r="E213" s="318"/>
      <c r="F213" s="318"/>
      <c r="G213" s="318"/>
      <c r="H213" s="318"/>
      <c r="I213" s="318"/>
      <c r="J213" s="318"/>
      <c r="K213" s="318"/>
      <c r="L213" s="318"/>
      <c r="M213" s="318"/>
      <c r="N213" s="318"/>
      <c r="O213" s="319"/>
      <c r="P213" s="11">
        <f t="shared" si="69"/>
        <v>211</v>
      </c>
    </row>
    <row r="214" spans="1:16" x14ac:dyDescent="0.3">
      <c r="A214" s="96">
        <f t="shared" si="55"/>
        <v>212</v>
      </c>
      <c r="B214" s="294"/>
      <c r="C214" s="431"/>
      <c r="D214" s="431"/>
      <c r="E214" s="431"/>
      <c r="F214" s="431"/>
      <c r="G214" s="431"/>
      <c r="H214" s="431"/>
      <c r="I214" s="431"/>
      <c r="J214" s="431"/>
      <c r="K214" s="431"/>
      <c r="L214" s="431"/>
      <c r="M214" s="431"/>
      <c r="N214" s="431"/>
      <c r="O214" s="432"/>
      <c r="P214" s="11">
        <f t="shared" si="69"/>
        <v>212</v>
      </c>
    </row>
    <row r="215" spans="1:16" x14ac:dyDescent="0.3">
      <c r="A215" s="96">
        <f t="shared" si="55"/>
        <v>213</v>
      </c>
      <c r="B215" s="380"/>
      <c r="C215" s="433"/>
      <c r="D215" s="433"/>
      <c r="E215" s="433"/>
      <c r="F215" s="433"/>
      <c r="G215" s="433"/>
      <c r="H215" s="433"/>
      <c r="I215" s="433"/>
      <c r="J215" s="433"/>
      <c r="K215" s="433"/>
      <c r="L215" s="433"/>
      <c r="M215" s="433"/>
      <c r="N215" s="433"/>
      <c r="O215" s="434"/>
      <c r="P215" s="11">
        <f t="shared" si="69"/>
        <v>213</v>
      </c>
    </row>
    <row r="216" spans="1:16" x14ac:dyDescent="0.3">
      <c r="A216" s="381"/>
      <c r="B216" s="382" t="s">
        <v>46</v>
      </c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94"/>
    </row>
    <row r="217" spans="1:16" ht="22.5" x14ac:dyDescent="0.3">
      <c r="A217" s="244">
        <v>1</v>
      </c>
      <c r="B217" s="127" t="s">
        <v>468</v>
      </c>
      <c r="P217" s="127"/>
    </row>
    <row r="218" spans="1:16" ht="22.5" x14ac:dyDescent="0.3">
      <c r="A218" s="244">
        <v>2</v>
      </c>
      <c r="B218" s="127" t="s">
        <v>437</v>
      </c>
      <c r="P218" s="127"/>
    </row>
    <row r="219" spans="1:16" ht="22.5" x14ac:dyDescent="0.3">
      <c r="A219" s="383">
        <v>3</v>
      </c>
      <c r="B219" s="168" t="s">
        <v>438</v>
      </c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68"/>
    </row>
  </sheetData>
  <mergeCells count="8">
    <mergeCell ref="C214:O214"/>
    <mergeCell ref="C215:O215"/>
    <mergeCell ref="C203:O203"/>
    <mergeCell ref="C204:O204"/>
    <mergeCell ref="B1:O1"/>
    <mergeCell ref="B2:O2"/>
    <mergeCell ref="C194:O194"/>
    <mergeCell ref="C195:O195"/>
  </mergeCells>
  <phoneticPr fontId="3" type="noConversion"/>
  <printOptions horizontalCentered="1"/>
  <pageMargins left="0.25" right="0.25" top="0.5" bottom="0.5" header="0.25" footer="0.25"/>
  <pageSetup scale="36" orientation="landscape" r:id="rId1"/>
  <headerFooter scaleWithDoc="0">
    <oddFooter xml:space="preserve">&amp;L&amp;"Times New Roman,Regular"&amp;9Statement BG-2025 Forecasted Billing Determinants&amp;C&amp;"Times New Roman,Regular"&amp;9Page BG-21.&amp;P&amp;12
</oddFooter>
  </headerFooter>
  <rowBreaks count="3" manualBreakCount="3">
    <brk id="51" max="15" man="1"/>
    <brk id="98" max="15" man="1"/>
    <brk id="169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9"/>
  <sheetViews>
    <sheetView zoomScale="75" zoomScaleNormal="75" zoomScaleSheetLayoutView="75" workbookViewId="0">
      <selection activeCell="K22" sqref="K22"/>
    </sheetView>
  </sheetViews>
  <sheetFormatPr defaultColWidth="9.140625" defaultRowHeight="18.75" x14ac:dyDescent="0.3"/>
  <cols>
    <col min="1" max="1" width="5.5703125" style="1" bestFit="1" customWidth="1"/>
    <col min="2" max="2" width="70.5703125" style="1" customWidth="1"/>
    <col min="3" max="3" width="22.5703125" style="1" customWidth="1"/>
    <col min="4" max="4" width="112.5703125" style="7" customWidth="1"/>
    <col min="5" max="5" width="5.5703125" style="1" bestFit="1" customWidth="1"/>
    <col min="6" max="6" width="9.140625" style="1"/>
    <col min="7" max="7" width="21.5703125" style="1" bestFit="1" customWidth="1"/>
    <col min="8" max="16384" width="9.140625" style="1"/>
  </cols>
  <sheetData>
    <row r="1" spans="1:5" x14ac:dyDescent="0.3">
      <c r="A1" s="444" t="str">
        <f>'Comparison of Revenues'!A1:H1</f>
        <v>Statement BG</v>
      </c>
      <c r="B1" s="444"/>
      <c r="C1" s="444"/>
      <c r="D1" s="444"/>
      <c r="E1" s="444"/>
    </row>
    <row r="2" spans="1:5" x14ac:dyDescent="0.3">
      <c r="A2" s="444" t="str">
        <f>'Comparison of Revenues'!A2:H2</f>
        <v>SAN DIEGO GAS AND ELECTRIC COMPANY</v>
      </c>
      <c r="B2" s="444"/>
      <c r="C2" s="444"/>
      <c r="D2" s="444"/>
      <c r="E2" s="444"/>
    </row>
    <row r="3" spans="1:5" x14ac:dyDescent="0.3">
      <c r="A3" s="444" t="str">
        <f>'Comparison of Revenues'!A3:H3</f>
        <v>Transmission Revenues Data to Reflect Changed Rates</v>
      </c>
      <c r="B3" s="444"/>
      <c r="C3" s="444"/>
      <c r="D3" s="444"/>
      <c r="E3" s="444"/>
    </row>
    <row r="4" spans="1:5" x14ac:dyDescent="0.3">
      <c r="A4" s="444" t="s">
        <v>340</v>
      </c>
      <c r="B4" s="444"/>
      <c r="C4" s="444"/>
      <c r="D4" s="444"/>
      <c r="E4" s="444"/>
    </row>
    <row r="5" spans="1:5" x14ac:dyDescent="0.3">
      <c r="A5" s="443" t="s">
        <v>459</v>
      </c>
      <c r="B5" s="444"/>
      <c r="C5" s="444"/>
      <c r="D5" s="444"/>
      <c r="E5" s="444"/>
    </row>
    <row r="7" spans="1:5" x14ac:dyDescent="0.3">
      <c r="A7" s="28"/>
      <c r="B7" s="94"/>
      <c r="C7" s="28"/>
      <c r="D7" s="118"/>
      <c r="E7" s="28"/>
    </row>
    <row r="8" spans="1:5" x14ac:dyDescent="0.3">
      <c r="A8" s="11"/>
      <c r="C8" s="106"/>
      <c r="D8" s="119"/>
      <c r="E8" s="11"/>
    </row>
    <row r="9" spans="1:5" x14ac:dyDescent="0.3">
      <c r="A9" s="11" t="s">
        <v>8</v>
      </c>
      <c r="B9" s="61"/>
      <c r="C9" s="106"/>
      <c r="D9" s="61"/>
      <c r="E9" s="11" t="s">
        <v>8</v>
      </c>
    </row>
    <row r="10" spans="1:5" x14ac:dyDescent="0.3">
      <c r="A10" s="11" t="s">
        <v>10</v>
      </c>
      <c r="B10" s="17" t="s">
        <v>114</v>
      </c>
      <c r="C10" s="106"/>
      <c r="D10" s="7" t="s">
        <v>328</v>
      </c>
      <c r="E10" s="11" t="s">
        <v>10</v>
      </c>
    </row>
    <row r="11" spans="1:5" x14ac:dyDescent="0.3">
      <c r="A11" s="8"/>
      <c r="B11" s="28"/>
      <c r="C11" s="120"/>
      <c r="D11" s="80"/>
      <c r="E11" s="8"/>
    </row>
    <row r="12" spans="1:5" x14ac:dyDescent="0.3">
      <c r="A12" s="11">
        <v>1</v>
      </c>
      <c r="B12" s="14" t="s">
        <v>351</v>
      </c>
      <c r="C12" s="393">
        <f>[4]Transmission!$Q$3092</f>
        <v>18290443717.09972</v>
      </c>
      <c r="D12" s="11" t="s">
        <v>466</v>
      </c>
      <c r="E12" s="11">
        <v>1</v>
      </c>
    </row>
    <row r="13" spans="1:5" x14ac:dyDescent="0.3">
      <c r="A13" s="11">
        <f>A12+1</f>
        <v>2</v>
      </c>
      <c r="B13" s="14"/>
      <c r="C13" s="121"/>
      <c r="D13" s="11"/>
      <c r="E13" s="11">
        <f>E12+1</f>
        <v>2</v>
      </c>
    </row>
    <row r="14" spans="1:5" ht="22.5" x14ac:dyDescent="0.3">
      <c r="A14" s="11">
        <f t="shared" ref="A14:A23" si="0">A13+1</f>
        <v>3</v>
      </c>
      <c r="B14" s="14" t="s">
        <v>352</v>
      </c>
      <c r="C14" s="107">
        <f>'Summary of Revs @ Changed Rates'!I47</f>
        <v>1136387281.9180682</v>
      </c>
      <c r="D14" s="11" t="s">
        <v>353</v>
      </c>
      <c r="E14" s="11">
        <f t="shared" ref="E14:E23" si="1">E13+1</f>
        <v>3</v>
      </c>
    </row>
    <row r="15" spans="1:5" x14ac:dyDescent="0.3">
      <c r="A15" s="11">
        <f t="shared" si="0"/>
        <v>4</v>
      </c>
      <c r="B15" s="14"/>
      <c r="C15" s="121"/>
      <c r="D15" s="11"/>
      <c r="E15" s="11">
        <f t="shared" si="1"/>
        <v>4</v>
      </c>
    </row>
    <row r="16" spans="1:5" ht="22.5" x14ac:dyDescent="0.3">
      <c r="A16" s="11">
        <f t="shared" si="0"/>
        <v>5</v>
      </c>
      <c r="B16" s="14" t="s">
        <v>354</v>
      </c>
      <c r="C16" s="107">
        <f>'[1]Summary of Revs @ Present Rates'!$I$47</f>
        <v>995071870.49729753</v>
      </c>
      <c r="D16" s="11" t="s">
        <v>355</v>
      </c>
      <c r="E16" s="11">
        <f t="shared" si="1"/>
        <v>5</v>
      </c>
    </row>
    <row r="17" spans="1:12" x14ac:dyDescent="0.3">
      <c r="A17" s="11">
        <f t="shared" si="0"/>
        <v>6</v>
      </c>
      <c r="B17" s="14"/>
      <c r="C17" s="121"/>
      <c r="D17" s="11"/>
      <c r="E17" s="11">
        <f t="shared" si="1"/>
        <v>6</v>
      </c>
      <c r="L17" s="1" t="s">
        <v>356</v>
      </c>
    </row>
    <row r="18" spans="1:12" ht="22.5" x14ac:dyDescent="0.3">
      <c r="A18" s="11">
        <f t="shared" si="0"/>
        <v>7</v>
      </c>
      <c r="B18" s="14" t="s">
        <v>357</v>
      </c>
      <c r="C18" s="46">
        <f>(C14-C16)*(C12/('Billing Determinants-12 Month'!C36-'Billing Determinants-12 Month'!C32))</f>
        <v>143644224.39583585</v>
      </c>
      <c r="D18" s="11" t="s">
        <v>449</v>
      </c>
      <c r="E18" s="11">
        <f t="shared" si="1"/>
        <v>7</v>
      </c>
      <c r="G18" s="414"/>
    </row>
    <row r="19" spans="1:12" x14ac:dyDescent="0.3">
      <c r="A19" s="11">
        <f t="shared" si="0"/>
        <v>8</v>
      </c>
      <c r="B19" s="14"/>
      <c r="C19" s="121"/>
      <c r="D19" s="11"/>
      <c r="E19" s="11">
        <f t="shared" si="1"/>
        <v>8</v>
      </c>
    </row>
    <row r="20" spans="1:12" x14ac:dyDescent="0.3">
      <c r="A20" s="11">
        <f t="shared" si="0"/>
        <v>9</v>
      </c>
      <c r="B20" s="14" t="s">
        <v>358</v>
      </c>
      <c r="C20" s="122">
        <f>(C18/C12)*100</f>
        <v>0.78535122831133386</v>
      </c>
      <c r="D20" s="11" t="s">
        <v>359</v>
      </c>
      <c r="E20" s="11">
        <f t="shared" si="1"/>
        <v>9</v>
      </c>
    </row>
    <row r="21" spans="1:12" x14ac:dyDescent="0.3">
      <c r="A21" s="11">
        <f t="shared" si="0"/>
        <v>10</v>
      </c>
      <c r="B21" s="14"/>
      <c r="C21" s="121"/>
      <c r="D21" s="11"/>
      <c r="E21" s="11">
        <f t="shared" si="1"/>
        <v>10</v>
      </c>
    </row>
    <row r="22" spans="1:12" ht="22.5" x14ac:dyDescent="0.3">
      <c r="A22" s="11">
        <f t="shared" si="0"/>
        <v>11</v>
      </c>
      <c r="B22" s="14" t="s">
        <v>360</v>
      </c>
      <c r="C22" s="123">
        <f>([4]Transmission!$T$3092-[4]Inputs!$B$132-[4]Inputs!$B$133)*100</f>
        <v>5.8828215557032806</v>
      </c>
      <c r="D22" s="11" t="s">
        <v>467</v>
      </c>
      <c r="E22" s="11">
        <f t="shared" si="1"/>
        <v>11</v>
      </c>
      <c r="G22" s="414"/>
    </row>
    <row r="23" spans="1:12" x14ac:dyDescent="0.3">
      <c r="A23" s="11">
        <f t="shared" si="0"/>
        <v>12</v>
      </c>
      <c r="B23" s="14"/>
      <c r="C23" s="123"/>
      <c r="D23" s="11"/>
      <c r="E23" s="11">
        <f t="shared" si="1"/>
        <v>12</v>
      </c>
    </row>
    <row r="24" spans="1:12" x14ac:dyDescent="0.3">
      <c r="A24" s="11">
        <f>A23+1</f>
        <v>13</v>
      </c>
      <c r="B24" s="14" t="s">
        <v>361</v>
      </c>
      <c r="C24" s="122">
        <f>C20+C22</f>
        <v>6.6681727840146143</v>
      </c>
      <c r="D24" s="11" t="s">
        <v>338</v>
      </c>
      <c r="E24" s="11">
        <f>E23+1</f>
        <v>13</v>
      </c>
    </row>
    <row r="25" spans="1:12" x14ac:dyDescent="0.3">
      <c r="A25" s="17"/>
      <c r="B25" s="24"/>
      <c r="C25" s="110"/>
      <c r="D25" s="17"/>
      <c r="E25" s="17"/>
    </row>
    <row r="26" spans="1:12" x14ac:dyDescent="0.3">
      <c r="A26" s="7"/>
      <c r="B26" s="1" t="s">
        <v>46</v>
      </c>
      <c r="E26" s="7"/>
    </row>
    <row r="27" spans="1:12" ht="22.5" x14ac:dyDescent="0.3">
      <c r="A27" s="167">
        <v>1</v>
      </c>
      <c r="B27" s="1" t="s">
        <v>362</v>
      </c>
    </row>
    <row r="28" spans="1:12" ht="22.5" x14ac:dyDescent="0.3">
      <c r="A28" s="167">
        <v>2</v>
      </c>
      <c r="B28" s="1" t="s">
        <v>475</v>
      </c>
    </row>
    <row r="29" spans="1:12" ht="22.5" x14ac:dyDescent="0.3">
      <c r="A29" s="26">
        <v>3</v>
      </c>
      <c r="B29" s="1" t="s">
        <v>363</v>
      </c>
    </row>
    <row r="30" spans="1:12" ht="22.5" x14ac:dyDescent="0.3">
      <c r="A30" s="26">
        <v>4</v>
      </c>
      <c r="B30" s="1" t="s">
        <v>476</v>
      </c>
    </row>
    <row r="31" spans="1:12" ht="22.5" x14ac:dyDescent="0.3">
      <c r="A31" s="77"/>
      <c r="C31" s="7"/>
    </row>
    <row r="32" spans="1:12" x14ac:dyDescent="0.3">
      <c r="C32" s="419"/>
      <c r="D32" s="158"/>
    </row>
    <row r="33" spans="3:4" x14ac:dyDescent="0.3">
      <c r="C33" s="286"/>
      <c r="D33" s="159"/>
    </row>
    <row r="34" spans="3:4" x14ac:dyDescent="0.3">
      <c r="C34" s="286"/>
      <c r="D34" s="159"/>
    </row>
    <row r="35" spans="3:4" x14ac:dyDescent="0.3">
      <c r="C35" s="122"/>
    </row>
    <row r="36" spans="3:4" x14ac:dyDescent="0.3">
      <c r="C36" s="121"/>
    </row>
    <row r="37" spans="3:4" x14ac:dyDescent="0.3">
      <c r="C37" s="124"/>
    </row>
    <row r="38" spans="3:4" x14ac:dyDescent="0.3">
      <c r="C38" s="123"/>
    </row>
    <row r="39" spans="3:4" x14ac:dyDescent="0.3">
      <c r="C39" s="122"/>
    </row>
  </sheetData>
  <mergeCells count="5">
    <mergeCell ref="A5:E5"/>
    <mergeCell ref="A1:E1"/>
    <mergeCell ref="A2:E2"/>
    <mergeCell ref="A3:E3"/>
    <mergeCell ref="A4:E4"/>
  </mergeCells>
  <phoneticPr fontId="3" type="noConversion"/>
  <printOptions horizontalCentered="1"/>
  <pageMargins left="0.25" right="0.25" top="0.5" bottom="0.5" header="0.25" footer="0.25"/>
  <pageSetup scale="63" orientation="landscape" r:id="rId1"/>
  <headerFooter scaleWithDoc="0">
    <oddFooter xml:space="preserve">&amp;L&amp;"Times New Roman,Regular"&amp;9Statement BG-Transmission Rate Impact&amp;C&amp;"Times New Roman,Regular"&amp;9Page BG-22&amp;12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68"/>
  <sheetViews>
    <sheetView zoomScale="70" zoomScaleNormal="70" zoomScaleSheetLayoutView="70" workbookViewId="0">
      <selection activeCell="B93" sqref="B93"/>
    </sheetView>
  </sheetViews>
  <sheetFormatPr defaultColWidth="9.140625" defaultRowHeight="18.75" x14ac:dyDescent="0.3"/>
  <cols>
    <col min="1" max="1" width="6" style="1" customWidth="1"/>
    <col min="2" max="2" width="105" style="1" customWidth="1"/>
    <col min="3" max="3" width="19.140625" style="1" bestFit="1" customWidth="1"/>
    <col min="4" max="4" width="17.1406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5.5703125" style="1" bestFit="1" customWidth="1"/>
    <col min="12" max="16384" width="9.140625" style="1"/>
  </cols>
  <sheetData>
    <row r="1" spans="1:1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x14ac:dyDescent="0.3">
      <c r="A2" s="425" t="str">
        <f>'Comparison of Revenues'!A2:H2</f>
        <v>SAN DIEGO GAS AND ELECTRIC COMPANY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</row>
    <row r="3" spans="1:1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x14ac:dyDescent="0.3">
      <c r="A4" s="425" t="str">
        <f>'Comparison of Revenues'!A5:H5</f>
        <v>Rate Effective Period - Twelve Months Ending December 31, 2025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6" spans="1:11" x14ac:dyDescent="0.3">
      <c r="A6" s="8"/>
      <c r="B6" s="8"/>
      <c r="C6" s="9" t="s">
        <v>4</v>
      </c>
      <c r="D6" s="10"/>
      <c r="E6" s="9" t="s">
        <v>5</v>
      </c>
      <c r="F6" s="10"/>
      <c r="G6" s="9" t="s">
        <v>48</v>
      </c>
      <c r="H6" s="10"/>
      <c r="I6" s="9" t="s">
        <v>49</v>
      </c>
      <c r="J6" s="10"/>
      <c r="K6" s="8"/>
    </row>
    <row r="7" spans="1:11" x14ac:dyDescent="0.3">
      <c r="A7" s="11"/>
      <c r="B7" s="11"/>
      <c r="C7" s="427">
        <v>45658</v>
      </c>
      <c r="D7" s="428"/>
      <c r="E7" s="427">
        <v>45689</v>
      </c>
      <c r="F7" s="428"/>
      <c r="G7" s="427">
        <v>45717</v>
      </c>
      <c r="H7" s="428"/>
      <c r="I7" s="427">
        <v>45748</v>
      </c>
      <c r="J7" s="428"/>
      <c r="K7" s="11"/>
    </row>
    <row r="8" spans="1:11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1" t="s">
        <v>8</v>
      </c>
    </row>
    <row r="9" spans="1:11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10</v>
      </c>
    </row>
    <row r="10" spans="1:1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A11" s="11">
        <v>1</v>
      </c>
      <c r="B11" s="14" t="s">
        <v>17</v>
      </c>
      <c r="C11" s="18">
        <f>'A-Billing Determinants'!C12</f>
        <v>606008605.56131554</v>
      </c>
      <c r="D11" s="18"/>
      <c r="E11" s="18">
        <f>'A-Billing Determinants'!E12</f>
        <v>491733645.21526903</v>
      </c>
      <c r="F11" s="18"/>
      <c r="G11" s="18">
        <f>'A-Billing Determinants'!G12</f>
        <v>435908784.73538715</v>
      </c>
      <c r="H11" s="18"/>
      <c r="I11" s="18">
        <f>'A-Billing Determinants'!I12</f>
        <v>347205846.80850416</v>
      </c>
      <c r="J11" s="18"/>
      <c r="K11" s="11">
        <v>1</v>
      </c>
    </row>
    <row r="12" spans="1:11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11">
        <f>K11+1</f>
        <v>2</v>
      </c>
    </row>
    <row r="13" spans="1:11" x14ac:dyDescent="0.3">
      <c r="A13" s="11">
        <f t="shared" ref="A13:A33" si="0">A12+1</f>
        <v>3</v>
      </c>
      <c r="B13" s="14" t="s">
        <v>71</v>
      </c>
      <c r="C13" s="18">
        <f>'A-Billing Determinants'!C14</f>
        <v>194287303.97175041</v>
      </c>
      <c r="D13" s="18"/>
      <c r="E13" s="18">
        <f>'A-Billing Determinants'!E14</f>
        <v>188366210.6613501</v>
      </c>
      <c r="F13" s="18"/>
      <c r="G13" s="18">
        <f>'A-Billing Determinants'!G14</f>
        <v>187592519.40328324</v>
      </c>
      <c r="H13" s="18"/>
      <c r="I13" s="18">
        <f>'A-Billing Determinants'!I14</f>
        <v>186126527.48780861</v>
      </c>
      <c r="J13" s="18"/>
      <c r="K13" s="11">
        <f t="shared" ref="K13:K33" si="1">K12+1</f>
        <v>3</v>
      </c>
    </row>
    <row r="14" spans="1:11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11">
        <f t="shared" si="1"/>
        <v>4</v>
      </c>
    </row>
    <row r="15" spans="1:11" x14ac:dyDescent="0.3">
      <c r="A15" s="11">
        <f t="shared" si="0"/>
        <v>5</v>
      </c>
      <c r="B15" s="14" t="s">
        <v>72</v>
      </c>
      <c r="C15" s="18">
        <f>'A-Billing Determinants'!C16</f>
        <v>751192254.45003653</v>
      </c>
      <c r="D15" s="18"/>
      <c r="E15" s="18">
        <f>'A-Billing Determinants'!E16</f>
        <v>713531333.69322109</v>
      </c>
      <c r="F15" s="18"/>
      <c r="G15" s="18">
        <f>'A-Billing Determinants'!G16</f>
        <v>714756631.10825777</v>
      </c>
      <c r="H15" s="18"/>
      <c r="I15" s="18">
        <f>'A-Billing Determinants'!I16</f>
        <v>718508298.83782351</v>
      </c>
      <c r="J15" s="18"/>
      <c r="K15" s="11">
        <f t="shared" si="1"/>
        <v>5</v>
      </c>
    </row>
    <row r="16" spans="1:11" x14ac:dyDescent="0.3">
      <c r="A16" s="11">
        <f t="shared" si="0"/>
        <v>6</v>
      </c>
      <c r="B16" s="14" t="s">
        <v>73</v>
      </c>
      <c r="C16" s="18"/>
      <c r="D16" s="18">
        <f>'A-Billing Determinants'!D17</f>
        <v>0</v>
      </c>
      <c r="E16" s="18"/>
      <c r="F16" s="18">
        <f>'A-Billing Determinants'!F17</f>
        <v>0</v>
      </c>
      <c r="G16" s="18"/>
      <c r="H16" s="18">
        <f>'A-Billing Determinants'!H17</f>
        <v>0</v>
      </c>
      <c r="I16" s="18"/>
      <c r="J16" s="18">
        <f>'A-Billing Determinants'!J17</f>
        <v>0</v>
      </c>
      <c r="K16" s="11">
        <f t="shared" si="1"/>
        <v>6</v>
      </c>
    </row>
    <row r="17" spans="1:11" x14ac:dyDescent="0.3">
      <c r="A17" s="11">
        <f t="shared" si="0"/>
        <v>7</v>
      </c>
      <c r="B17" s="14" t="s">
        <v>74</v>
      </c>
      <c r="C17" s="18"/>
      <c r="D17" s="18">
        <f>'A-Billing Determinants'!D18</f>
        <v>1810355.3327439302</v>
      </c>
      <c r="E17" s="18"/>
      <c r="F17" s="18">
        <f>'A-Billing Determinants'!F18</f>
        <v>1723711.1860439018</v>
      </c>
      <c r="G17" s="18"/>
      <c r="H17" s="18">
        <f>'A-Billing Determinants'!H18</f>
        <v>1723748.3299955076</v>
      </c>
      <c r="I17" s="18"/>
      <c r="J17" s="18">
        <f>'A-Billing Determinants'!J18</f>
        <v>1730659.7608617519</v>
      </c>
      <c r="K17" s="11">
        <f t="shared" si="1"/>
        <v>7</v>
      </c>
    </row>
    <row r="18" spans="1:11" x14ac:dyDescent="0.3">
      <c r="A18" s="11">
        <f t="shared" si="0"/>
        <v>8</v>
      </c>
      <c r="B18" s="14" t="s">
        <v>75</v>
      </c>
      <c r="C18" s="18"/>
      <c r="D18" s="18">
        <f>'A-Billing Determinants'!D19</f>
        <v>1610067.4695764172</v>
      </c>
      <c r="E18" s="18"/>
      <c r="F18" s="18">
        <f>'A-Billing Determinants'!F19</f>
        <v>1546257.589985989</v>
      </c>
      <c r="G18" s="18"/>
      <c r="H18" s="18">
        <f>'A-Billing Determinants'!H19</f>
        <v>1536909.4091548978</v>
      </c>
      <c r="I18" s="18"/>
      <c r="J18" s="18">
        <f>'A-Billing Determinants'!J19</f>
        <v>1536203.182593141</v>
      </c>
      <c r="K18" s="11">
        <f t="shared" si="1"/>
        <v>8</v>
      </c>
    </row>
    <row r="19" spans="1:11" x14ac:dyDescent="0.3">
      <c r="A19" s="11">
        <f t="shared" si="0"/>
        <v>9</v>
      </c>
      <c r="B19" s="14" t="s">
        <v>76</v>
      </c>
      <c r="C19" s="18"/>
      <c r="D19" s="18">
        <f>'A-Billing Determinants'!D20</f>
        <v>123878.28122411853</v>
      </c>
      <c r="E19" s="18"/>
      <c r="F19" s="18">
        <f>'A-Billing Determinants'!F20</f>
        <v>107612.3457969195</v>
      </c>
      <c r="G19" s="18"/>
      <c r="H19" s="18">
        <f>'A-Billing Determinants'!H20</f>
        <v>114934.57811472354</v>
      </c>
      <c r="I19" s="18"/>
      <c r="J19" s="18">
        <f>'A-Billing Determinants'!J20</f>
        <v>120754.573271323</v>
      </c>
      <c r="K19" s="11">
        <f t="shared" si="1"/>
        <v>9</v>
      </c>
    </row>
    <row r="20" spans="1:11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11">
        <f t="shared" si="1"/>
        <v>10</v>
      </c>
    </row>
    <row r="21" spans="1:11" x14ac:dyDescent="0.3">
      <c r="A21" s="11">
        <f t="shared" si="0"/>
        <v>11</v>
      </c>
      <c r="B21" s="127" t="s">
        <v>26</v>
      </c>
      <c r="C21" s="18">
        <f>'A-Billing Determinants'!C24</f>
        <v>595720</v>
      </c>
      <c r="D21" s="18"/>
      <c r="E21" s="18">
        <f>'A-Billing Determinants'!E24</f>
        <v>724430</v>
      </c>
      <c r="F21" s="18"/>
      <c r="G21" s="18">
        <f>'A-Billing Determinants'!G24</f>
        <v>727400</v>
      </c>
      <c r="H21" s="18"/>
      <c r="I21" s="18">
        <f>'A-Billing Determinants'!I24</f>
        <v>931380</v>
      </c>
      <c r="J21" s="18"/>
      <c r="K21" s="11">
        <f t="shared" si="1"/>
        <v>11</v>
      </c>
    </row>
    <row r="22" spans="1:11" x14ac:dyDescent="0.3">
      <c r="A22" s="11">
        <f t="shared" si="0"/>
        <v>12</v>
      </c>
      <c r="B22" s="14" t="s">
        <v>74</v>
      </c>
      <c r="C22" s="18"/>
      <c r="D22" s="18">
        <f>'A-Billing Determinants'!D25</f>
        <v>11856</v>
      </c>
      <c r="E22" s="18"/>
      <c r="F22" s="18">
        <f>'A-Billing Determinants'!F25</f>
        <v>15980</v>
      </c>
      <c r="G22" s="18"/>
      <c r="H22" s="18">
        <f>'A-Billing Determinants'!H25</f>
        <v>15650</v>
      </c>
      <c r="I22" s="18"/>
      <c r="J22" s="18">
        <f>'A-Billing Determinants'!J25</f>
        <v>15840</v>
      </c>
      <c r="K22" s="11">
        <f t="shared" si="1"/>
        <v>12</v>
      </c>
    </row>
    <row r="23" spans="1:11" x14ac:dyDescent="0.3">
      <c r="A23" s="11">
        <f t="shared" si="0"/>
        <v>13</v>
      </c>
      <c r="B23" s="14" t="s">
        <v>77</v>
      </c>
      <c r="C23" s="18"/>
      <c r="D23" s="18">
        <f>'A-Billing Determinants'!D26</f>
        <v>0</v>
      </c>
      <c r="E23" s="18"/>
      <c r="F23" s="18">
        <f>'A-Billing Determinants'!F26</f>
        <v>0</v>
      </c>
      <c r="G23" s="18"/>
      <c r="H23" s="18">
        <f>'A-Billing Determinants'!H26</f>
        <v>0</v>
      </c>
      <c r="I23" s="18"/>
      <c r="J23" s="18">
        <f>'A-Billing Determinants'!J26</f>
        <v>0</v>
      </c>
      <c r="K23" s="11">
        <f t="shared" si="1"/>
        <v>13</v>
      </c>
    </row>
    <row r="24" spans="1:11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11">
        <f t="shared" si="1"/>
        <v>14</v>
      </c>
    </row>
    <row r="25" spans="1:11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11">
        <f t="shared" si="1"/>
        <v>15</v>
      </c>
    </row>
    <row r="26" spans="1:11" x14ac:dyDescent="0.3">
      <c r="A26" s="11">
        <f t="shared" si="0"/>
        <v>16</v>
      </c>
      <c r="B26" s="14" t="s">
        <v>79</v>
      </c>
      <c r="C26" s="18">
        <f>'A-Billing Determinants'!C29</f>
        <v>5887704.8144613691</v>
      </c>
      <c r="D26" s="18"/>
      <c r="E26" s="18">
        <f>'A-Billing Determinants'!E29</f>
        <v>6921204.3635153994</v>
      </c>
      <c r="F26" s="18"/>
      <c r="G26" s="18">
        <f>'A-Billing Determinants'!G29</f>
        <v>6343637.0075090956</v>
      </c>
      <c r="H26" s="18"/>
      <c r="I26" s="18">
        <f>'A-Billing Determinants'!I29</f>
        <v>7110262.225510261</v>
      </c>
      <c r="J26" s="18"/>
      <c r="K26" s="11">
        <f t="shared" si="1"/>
        <v>16</v>
      </c>
    </row>
    <row r="27" spans="1:11" x14ac:dyDescent="0.3">
      <c r="A27" s="11">
        <f t="shared" si="0"/>
        <v>17</v>
      </c>
      <c r="B27" s="14" t="s">
        <v>80</v>
      </c>
      <c r="C27" s="18">
        <f>'A-Billing Determinants'!C30</f>
        <v>16898596.174145363</v>
      </c>
      <c r="D27" s="18">
        <f>'A-Billing Determinants'!D30</f>
        <v>61281.403733798092</v>
      </c>
      <c r="E27" s="18">
        <f>'A-Billing Determinants'!E30</f>
        <v>18281425.836751401</v>
      </c>
      <c r="F27" s="18">
        <f>'A-Billing Determinants'!F30</f>
        <v>66296.124600309253</v>
      </c>
      <c r="G27" s="18">
        <f>'A-Billing Determinants'!G30</f>
        <v>16418928.25680276</v>
      </c>
      <c r="H27" s="18">
        <f>'A-Billing Determinants'!H30</f>
        <v>59541.926501612637</v>
      </c>
      <c r="I27" s="18">
        <f>'A-Billing Determinants'!I30</f>
        <v>17288752.517243203</v>
      </c>
      <c r="J27" s="18">
        <f>'A-Billing Determinants'!J30</f>
        <v>62696.274420942034</v>
      </c>
      <c r="K27" s="11">
        <f t="shared" si="1"/>
        <v>17</v>
      </c>
    </row>
    <row r="28" spans="1:11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11">
        <f t="shared" si="1"/>
        <v>18</v>
      </c>
    </row>
    <row r="29" spans="1:11" x14ac:dyDescent="0.3">
      <c r="A29" s="11">
        <f t="shared" si="0"/>
        <v>19</v>
      </c>
      <c r="B29" s="14" t="s">
        <v>39</v>
      </c>
      <c r="C29" s="18">
        <f>'A-Billing Determinants'!C32</f>
        <v>6804681.1748855589</v>
      </c>
      <c r="D29" s="18"/>
      <c r="E29" s="18">
        <f>'A-Billing Determinants'!E32</f>
        <v>6756007.3419802682</v>
      </c>
      <c r="F29" s="18"/>
      <c r="G29" s="18">
        <f>'A-Billing Determinants'!G32</f>
        <v>6619387.8228434017</v>
      </c>
      <c r="H29" s="18"/>
      <c r="I29" s="18">
        <f>'A-Billing Determinants'!I32</f>
        <v>6515491.4020588556</v>
      </c>
      <c r="J29" s="18"/>
      <c r="K29" s="11">
        <f t="shared" si="1"/>
        <v>19</v>
      </c>
    </row>
    <row r="30" spans="1:11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11">
        <f t="shared" si="1"/>
        <v>20</v>
      </c>
    </row>
    <row r="31" spans="1:11" x14ac:dyDescent="0.3">
      <c r="A31" s="11">
        <f t="shared" si="0"/>
        <v>21</v>
      </c>
      <c r="B31" s="14" t="s">
        <v>42</v>
      </c>
      <c r="C31" s="22"/>
      <c r="D31" s="22">
        <f>'A-Billing Determinants'!D36</f>
        <v>145506</v>
      </c>
      <c r="E31" s="22"/>
      <c r="F31" s="22">
        <f>'A-Billing Determinants'!F36</f>
        <v>145506</v>
      </c>
      <c r="G31" s="22"/>
      <c r="H31" s="22">
        <f>'A-Billing Determinants'!H36</f>
        <v>145506</v>
      </c>
      <c r="I31" s="22"/>
      <c r="J31" s="22">
        <f>'A-Billing Determinants'!J36</f>
        <v>145506</v>
      </c>
      <c r="K31" s="11">
        <f t="shared" si="1"/>
        <v>21</v>
      </c>
    </row>
    <row r="32" spans="1:11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11">
        <f t="shared" si="1"/>
        <v>22</v>
      </c>
    </row>
    <row r="33" spans="1:11" ht="19.5" thickBot="1" x14ac:dyDescent="0.35">
      <c r="A33" s="11">
        <f t="shared" si="0"/>
        <v>23</v>
      </c>
      <c r="B33" s="19" t="s">
        <v>81</v>
      </c>
      <c r="C33" s="23">
        <f>SUM(C11:C31)</f>
        <v>1581674866.1465948</v>
      </c>
      <c r="D33" s="23"/>
      <c r="E33" s="23">
        <f>SUM(E11:E31)</f>
        <v>1426314257.1120872</v>
      </c>
      <c r="F33" s="23"/>
      <c r="G33" s="23">
        <f>SUM(G11:G31)</f>
        <v>1368367288.3340833</v>
      </c>
      <c r="H33" s="23"/>
      <c r="I33" s="23">
        <f>SUM(I11:I31)</f>
        <v>1283686559.2789485</v>
      </c>
      <c r="J33" s="23"/>
      <c r="K33" s="11">
        <f t="shared" si="1"/>
        <v>23</v>
      </c>
    </row>
    <row r="34" spans="1:11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4"/>
    </row>
    <row r="35" spans="1:11" x14ac:dyDescent="0.3">
      <c r="B35" s="97" t="s">
        <v>82</v>
      </c>
      <c r="C35" s="374"/>
      <c r="D35" s="374"/>
      <c r="E35" s="25"/>
      <c r="F35" s="25"/>
      <c r="G35" s="25"/>
      <c r="H35" s="25"/>
      <c r="I35" s="25"/>
      <c r="J35" s="25"/>
    </row>
    <row r="36" spans="1:11" ht="22.5" x14ac:dyDescent="0.3">
      <c r="A36" s="77">
        <v>1</v>
      </c>
      <c r="B36" s="74" t="s">
        <v>469</v>
      </c>
      <c r="C36" s="25"/>
      <c r="D36" s="25"/>
      <c r="E36" s="25"/>
      <c r="F36" s="25"/>
      <c r="G36" s="25"/>
      <c r="H36" s="25"/>
      <c r="I36" s="25"/>
      <c r="J36" s="25"/>
    </row>
    <row r="37" spans="1:11" x14ac:dyDescent="0.3">
      <c r="A37" s="101"/>
    </row>
    <row r="38" spans="1:11" x14ac:dyDescent="0.3">
      <c r="A38" s="8"/>
      <c r="B38" s="8"/>
      <c r="C38" s="9" t="s">
        <v>4</v>
      </c>
      <c r="D38" s="10"/>
      <c r="E38" s="9" t="s">
        <v>5</v>
      </c>
      <c r="F38" s="10"/>
      <c r="G38" s="9" t="s">
        <v>48</v>
      </c>
      <c r="H38" s="10"/>
      <c r="I38" s="9" t="s">
        <v>49</v>
      </c>
      <c r="J38" s="10"/>
      <c r="K38" s="8"/>
    </row>
    <row r="39" spans="1:11" x14ac:dyDescent="0.3">
      <c r="A39" s="11"/>
      <c r="B39" s="11"/>
      <c r="C39" s="427">
        <f>C7</f>
        <v>45658</v>
      </c>
      <c r="D39" s="428"/>
      <c r="E39" s="427">
        <f>E7</f>
        <v>45689</v>
      </c>
      <c r="F39" s="428"/>
      <c r="G39" s="427">
        <f>G7</f>
        <v>45717</v>
      </c>
      <c r="H39" s="428"/>
      <c r="I39" s="427">
        <f>I7</f>
        <v>45748</v>
      </c>
      <c r="J39" s="428"/>
      <c r="K39" s="11"/>
    </row>
    <row r="40" spans="1:11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1" t="s">
        <v>8</v>
      </c>
    </row>
    <row r="41" spans="1:11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10</v>
      </c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2.5" x14ac:dyDescent="0.3">
      <c r="A43" s="11">
        <f>A33+1</f>
        <v>24</v>
      </c>
      <c r="B43" s="14" t="s">
        <v>84</v>
      </c>
      <c r="C43" s="102">
        <f>'[2]Transmission Rates Summary'!$C$14</f>
        <v>8.9440000000000006E-2</v>
      </c>
      <c r="D43" s="47"/>
      <c r="E43" s="102">
        <f>C43</f>
        <v>8.9440000000000006E-2</v>
      </c>
      <c r="F43" s="47"/>
      <c r="G43" s="102">
        <f>E43</f>
        <v>8.9440000000000006E-2</v>
      </c>
      <c r="H43" s="47"/>
      <c r="I43" s="102">
        <f>G43</f>
        <v>8.9440000000000006E-2</v>
      </c>
      <c r="J43" s="47"/>
      <c r="K43" s="11">
        <f>K33+1</f>
        <v>24</v>
      </c>
    </row>
    <row r="44" spans="1:11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11">
        <f>K43+1</f>
        <v>25</v>
      </c>
    </row>
    <row r="45" spans="1:11" ht="22.5" x14ac:dyDescent="0.3">
      <c r="A45" s="11">
        <f t="shared" ref="A45:A55" si="2">A44+1</f>
        <v>26</v>
      </c>
      <c r="B45" s="14" t="s">
        <v>85</v>
      </c>
      <c r="C45" s="102">
        <f>'[2]Transmission Rates Summary'!$C$16</f>
        <v>5.108E-2</v>
      </c>
      <c r="D45" s="47"/>
      <c r="E45" s="102">
        <f>C45</f>
        <v>5.108E-2</v>
      </c>
      <c r="F45" s="47"/>
      <c r="G45" s="102">
        <f>E45</f>
        <v>5.108E-2</v>
      </c>
      <c r="H45" s="47"/>
      <c r="I45" s="102">
        <f>G45</f>
        <v>5.108E-2</v>
      </c>
      <c r="J45" s="47"/>
      <c r="K45" s="11">
        <f t="shared" ref="K45:K55" si="3">K44+1</f>
        <v>26</v>
      </c>
    </row>
    <row r="46" spans="1:11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11">
        <f t="shared" si="3"/>
        <v>27</v>
      </c>
    </row>
    <row r="47" spans="1:11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11">
        <f t="shared" si="3"/>
        <v>28</v>
      </c>
    </row>
    <row r="48" spans="1:11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11">
        <f t="shared" si="3"/>
        <v>29</v>
      </c>
    </row>
    <row r="49" spans="1:11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11">
        <f t="shared" si="3"/>
        <v>30</v>
      </c>
    </row>
    <row r="50" spans="1:11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11">
        <f t="shared" si="3"/>
        <v>31</v>
      </c>
    </row>
    <row r="51" spans="1:11" ht="22.5" x14ac:dyDescent="0.3">
      <c r="A51" s="11">
        <f t="shared" si="2"/>
        <v>32</v>
      </c>
      <c r="B51" s="14" t="s">
        <v>88</v>
      </c>
      <c r="C51" s="102">
        <f>'[2]Transmission Rates Summary'!$C$47</f>
        <v>3.4770000000000002E-2</v>
      </c>
      <c r="D51" s="47"/>
      <c r="E51" s="102">
        <f>C51</f>
        <v>3.4770000000000002E-2</v>
      </c>
      <c r="F51" s="47"/>
      <c r="G51" s="102">
        <f>E51</f>
        <v>3.4770000000000002E-2</v>
      </c>
      <c r="H51" s="47"/>
      <c r="I51" s="102">
        <f>G51</f>
        <v>3.4770000000000002E-2</v>
      </c>
      <c r="J51" s="47"/>
      <c r="K51" s="11">
        <f t="shared" si="3"/>
        <v>32</v>
      </c>
    </row>
    <row r="52" spans="1:11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11">
        <f t="shared" si="3"/>
        <v>33</v>
      </c>
    </row>
    <row r="53" spans="1:11" ht="22.5" x14ac:dyDescent="0.3">
      <c r="A53" s="11">
        <f t="shared" si="2"/>
        <v>34</v>
      </c>
      <c r="B53" s="14" t="s">
        <v>89</v>
      </c>
      <c r="C53" s="102">
        <f>'[2]Transmission Rates Summary'!$C$52</f>
        <v>4.6960000000000002E-2</v>
      </c>
      <c r="D53" s="47"/>
      <c r="E53" s="102">
        <f>C53</f>
        <v>4.6960000000000002E-2</v>
      </c>
      <c r="F53" s="47"/>
      <c r="G53" s="102">
        <f>E53</f>
        <v>4.6960000000000002E-2</v>
      </c>
      <c r="H53" s="47"/>
      <c r="I53" s="102">
        <f>G53</f>
        <v>4.6960000000000002E-2</v>
      </c>
      <c r="J53" s="47"/>
      <c r="K53" s="11">
        <f t="shared" si="3"/>
        <v>34</v>
      </c>
    </row>
    <row r="54" spans="1:11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11">
        <f t="shared" si="3"/>
        <v>35</v>
      </c>
    </row>
    <row r="55" spans="1:11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11">
        <f t="shared" si="3"/>
        <v>36</v>
      </c>
    </row>
    <row r="56" spans="1:11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24"/>
    </row>
    <row r="57" spans="1:11" x14ac:dyDescent="0.3">
      <c r="B57" s="97" t="s">
        <v>46</v>
      </c>
      <c r="C57" s="103"/>
      <c r="D57" s="103"/>
      <c r="E57" s="103"/>
      <c r="F57" s="103"/>
      <c r="G57" s="103"/>
      <c r="H57" s="103"/>
      <c r="I57" s="103"/>
      <c r="J57" s="103"/>
    </row>
    <row r="58" spans="1:11" ht="22.5" x14ac:dyDescent="0.3">
      <c r="A58" s="76" t="s">
        <v>91</v>
      </c>
      <c r="B58" s="1" t="s">
        <v>92</v>
      </c>
    </row>
    <row r="59" spans="1:11" ht="22.5" x14ac:dyDescent="0.3">
      <c r="A59" s="76" t="s">
        <v>93</v>
      </c>
      <c r="B59" s="1" t="s">
        <v>94</v>
      </c>
    </row>
    <row r="60" spans="1:11" x14ac:dyDescent="0.3">
      <c r="A60" s="7"/>
    </row>
    <row r="61" spans="1:11" x14ac:dyDescent="0.3">
      <c r="A61" s="8"/>
      <c r="B61" s="8"/>
      <c r="C61" s="9" t="s">
        <v>4</v>
      </c>
      <c r="D61" s="10"/>
      <c r="E61" s="9" t="s">
        <v>5</v>
      </c>
      <c r="F61" s="10"/>
      <c r="G61" s="9" t="s">
        <v>48</v>
      </c>
      <c r="H61" s="10"/>
      <c r="I61" s="9" t="s">
        <v>49</v>
      </c>
      <c r="J61" s="10"/>
      <c r="K61" s="8"/>
    </row>
    <row r="62" spans="1:11" x14ac:dyDescent="0.3">
      <c r="A62" s="11"/>
      <c r="B62" s="11"/>
      <c r="C62" s="427">
        <f>C39</f>
        <v>45658</v>
      </c>
      <c r="D62" s="428"/>
      <c r="E62" s="427">
        <f>E39</f>
        <v>45689</v>
      </c>
      <c r="F62" s="428"/>
      <c r="G62" s="427">
        <f>G39</f>
        <v>45717</v>
      </c>
      <c r="H62" s="428"/>
      <c r="I62" s="427">
        <f>I39</f>
        <v>45748</v>
      </c>
      <c r="J62" s="428"/>
      <c r="K62" s="11"/>
    </row>
    <row r="63" spans="1:11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1" t="s">
        <v>8</v>
      </c>
    </row>
    <row r="64" spans="1:11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10</v>
      </c>
    </row>
    <row r="65" spans="1:1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3">
      <c r="A66" s="11">
        <f>A55+1</f>
        <v>37</v>
      </c>
      <c r="B66" s="14" t="str">
        <f>B11</f>
        <v>Residential</v>
      </c>
      <c r="C66" s="40">
        <f t="shared" ref="C66:J66" si="4">C11*C43</f>
        <v>54201409.681404062</v>
      </c>
      <c r="D66" s="40">
        <f t="shared" si="4"/>
        <v>0</v>
      </c>
      <c r="E66" s="40">
        <f t="shared" si="4"/>
        <v>43980657.228053667</v>
      </c>
      <c r="F66" s="40">
        <f t="shared" si="4"/>
        <v>0</v>
      </c>
      <c r="G66" s="40">
        <f t="shared" si="4"/>
        <v>38987681.706733026</v>
      </c>
      <c r="H66" s="40">
        <f t="shared" si="4"/>
        <v>0</v>
      </c>
      <c r="I66" s="40">
        <f t="shared" si="4"/>
        <v>31054090.938552614</v>
      </c>
      <c r="J66" s="40">
        <f t="shared" si="4"/>
        <v>0</v>
      </c>
      <c r="K66" s="11">
        <f>K55+1</f>
        <v>37</v>
      </c>
    </row>
    <row r="67" spans="1:11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11">
        <f>K66+1</f>
        <v>38</v>
      </c>
    </row>
    <row r="68" spans="1:11" x14ac:dyDescent="0.3">
      <c r="A68" s="11">
        <f t="shared" ref="A68:A90" si="5">A67+1</f>
        <v>39</v>
      </c>
      <c r="B68" s="14" t="s">
        <v>20</v>
      </c>
      <c r="C68" s="40">
        <f t="shared" ref="C68:J68" si="6">C13*C45</f>
        <v>9924195.4868770111</v>
      </c>
      <c r="D68" s="40">
        <f t="shared" si="6"/>
        <v>0</v>
      </c>
      <c r="E68" s="40">
        <f t="shared" si="6"/>
        <v>9621746.0405817628</v>
      </c>
      <c r="F68" s="40">
        <f t="shared" si="6"/>
        <v>0</v>
      </c>
      <c r="G68" s="40">
        <f t="shared" si="6"/>
        <v>9582225.8911197074</v>
      </c>
      <c r="H68" s="40">
        <f t="shared" si="6"/>
        <v>0</v>
      </c>
      <c r="I68" s="40">
        <f t="shared" si="6"/>
        <v>9507343.0240772646</v>
      </c>
      <c r="J68" s="40">
        <f t="shared" si="6"/>
        <v>0</v>
      </c>
      <c r="K68" s="11">
        <f t="shared" ref="K68:K90" si="7">K67+1</f>
        <v>39</v>
      </c>
    </row>
    <row r="69" spans="1:11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11">
        <f t="shared" si="7"/>
        <v>40</v>
      </c>
    </row>
    <row r="70" spans="1:11" x14ac:dyDescent="0.3">
      <c r="A70" s="11">
        <f t="shared" si="5"/>
        <v>41</v>
      </c>
      <c r="B70" s="14" t="str">
        <f>B15</f>
        <v xml:space="preserve">Medium and Large Commercial/Industrial </v>
      </c>
      <c r="C70" s="40">
        <f>'A-Med &amp; Lrg C-I'!C13</f>
        <v>0</v>
      </c>
      <c r="D70" s="40"/>
      <c r="E70" s="40">
        <f>'A-Med &amp; Lrg C-I'!E13</f>
        <v>0</v>
      </c>
      <c r="F70" s="40"/>
      <c r="G70" s="40">
        <f>'A-Med &amp; Lrg C-I'!G13</f>
        <v>0</v>
      </c>
      <c r="H70" s="40"/>
      <c r="I70" s="40">
        <f>'A-Med &amp; Lrg C-I'!I13</f>
        <v>0</v>
      </c>
      <c r="J70" s="40"/>
      <c r="K70" s="11">
        <f t="shared" si="7"/>
        <v>41</v>
      </c>
    </row>
    <row r="71" spans="1:11" x14ac:dyDescent="0.3">
      <c r="A71" s="11">
        <f t="shared" si="5"/>
        <v>42</v>
      </c>
      <c r="B71" s="14" t="str">
        <f>B16</f>
        <v xml:space="preserve">     Non-Coincident (100%)</v>
      </c>
      <c r="C71" s="40"/>
      <c r="D71" s="40">
        <f>'A-Med &amp; Lrg C-I'!C33</f>
        <v>0</v>
      </c>
      <c r="E71" s="40"/>
      <c r="F71" s="40">
        <f>'A-Med &amp; Lrg C-I'!D33</f>
        <v>0</v>
      </c>
      <c r="G71" s="40"/>
      <c r="H71" s="40">
        <f>'A-Med &amp; Lrg C-I'!E33</f>
        <v>0</v>
      </c>
      <c r="I71" s="40"/>
      <c r="J71" s="40">
        <f>'A-Med &amp; Lrg C-I'!F33</f>
        <v>0</v>
      </c>
      <c r="K71" s="11">
        <f t="shared" si="7"/>
        <v>42</v>
      </c>
    </row>
    <row r="72" spans="1:11" x14ac:dyDescent="0.3">
      <c r="A72" s="11">
        <f t="shared" si="5"/>
        <v>43</v>
      </c>
      <c r="B72" s="14" t="str">
        <f>B17</f>
        <v xml:space="preserve">     Non-Coincident (90%)</v>
      </c>
      <c r="C72" s="40"/>
      <c r="D72" s="40">
        <f>'B-Med &amp; Lrg C-I'!C29</f>
        <v>33927669.890566297</v>
      </c>
      <c r="E72" s="40"/>
      <c r="F72" s="40">
        <f>'B-Med &amp; Lrg C-I'!D29</f>
        <v>32311527.439312018</v>
      </c>
      <c r="G72" s="40"/>
      <c r="H72" s="40">
        <f>'B-Med &amp; Lrg C-I'!E29</f>
        <v>32306809.445536073</v>
      </c>
      <c r="I72" s="40"/>
      <c r="J72" s="40">
        <f>'B-Med &amp; Lrg C-I'!F29</f>
        <v>32432380.785761617</v>
      </c>
      <c r="K72" s="11">
        <f t="shared" si="7"/>
        <v>43</v>
      </c>
    </row>
    <row r="73" spans="1:11" ht="22.5" x14ac:dyDescent="0.3">
      <c r="A73" s="11">
        <f t="shared" si="5"/>
        <v>44</v>
      </c>
      <c r="B73" s="14" t="s">
        <v>96</v>
      </c>
      <c r="C73" s="40"/>
      <c r="D73" s="40">
        <f>'C-Med &amp; Lrg C-I'!C29</f>
        <v>1248470.9283581125</v>
      </c>
      <c r="E73" s="40"/>
      <c r="F73" s="40">
        <f>'C-Med &amp; Lrg C-I'!D29</f>
        <v>1198991.772287939</v>
      </c>
      <c r="G73" s="40"/>
      <c r="H73" s="40">
        <f>'C-Med &amp; Lrg C-I'!E29</f>
        <v>1191743.049969661</v>
      </c>
      <c r="I73" s="40"/>
      <c r="J73" s="40">
        <f>'C-Med &amp; Lrg C-I'!F29</f>
        <v>1191195.4310978753</v>
      </c>
      <c r="K73" s="11">
        <f t="shared" si="7"/>
        <v>44</v>
      </c>
    </row>
    <row r="74" spans="1:11" ht="22.5" x14ac:dyDescent="0.3">
      <c r="A74" s="11">
        <f t="shared" si="5"/>
        <v>45</v>
      </c>
      <c r="B74" s="14" t="s">
        <v>97</v>
      </c>
      <c r="C74" s="40"/>
      <c r="D74" s="40">
        <f>'D-Med &amp; Lrg C-I'!C29</f>
        <v>117684.36716291259</v>
      </c>
      <c r="E74" s="40"/>
      <c r="F74" s="40">
        <f>'D-Med &amp; Lrg C-I'!D29</f>
        <v>102231.72850707352</v>
      </c>
      <c r="G74" s="40"/>
      <c r="H74" s="40">
        <f>'D-Med &amp; Lrg C-I'!E29</f>
        <v>109187.84920898735</v>
      </c>
      <c r="I74" s="40"/>
      <c r="J74" s="40">
        <f>'D-Med &amp; Lrg C-I'!F29</f>
        <v>114716.84460775685</v>
      </c>
      <c r="K74" s="11">
        <f t="shared" si="7"/>
        <v>45</v>
      </c>
    </row>
    <row r="75" spans="1:11" x14ac:dyDescent="0.3">
      <c r="A75" s="11">
        <f t="shared" si="5"/>
        <v>46</v>
      </c>
      <c r="B75" s="14"/>
      <c r="C75" s="40"/>
      <c r="D75" s="40"/>
      <c r="E75" s="40"/>
      <c r="F75" s="40"/>
      <c r="G75" s="40"/>
      <c r="H75" s="40"/>
      <c r="I75" s="40"/>
      <c r="J75" s="40"/>
      <c r="K75" s="11">
        <f t="shared" si="7"/>
        <v>46</v>
      </c>
    </row>
    <row r="76" spans="1:11" x14ac:dyDescent="0.3">
      <c r="A76" s="11">
        <f t="shared" si="5"/>
        <v>47</v>
      </c>
      <c r="B76" s="127" t="s">
        <v>26</v>
      </c>
      <c r="C76" s="40">
        <f>'San Diego Unified Port District'!C13</f>
        <v>0</v>
      </c>
      <c r="D76" s="40"/>
      <c r="E76" s="40">
        <f>'San Diego Unified Port District'!D13</f>
        <v>0</v>
      </c>
      <c r="F76" s="40"/>
      <c r="G76" s="40">
        <f>'San Diego Unified Port District'!E13</f>
        <v>0</v>
      </c>
      <c r="H76" s="40"/>
      <c r="I76" s="40">
        <f>'San Diego Unified Port District'!F13</f>
        <v>0</v>
      </c>
      <c r="J76" s="40"/>
      <c r="K76" s="11">
        <f t="shared" si="7"/>
        <v>47</v>
      </c>
    </row>
    <row r="77" spans="1:11" x14ac:dyDescent="0.3">
      <c r="A77" s="11">
        <f t="shared" si="5"/>
        <v>48</v>
      </c>
      <c r="B77" s="14" t="s">
        <v>74</v>
      </c>
      <c r="C77" s="40"/>
      <c r="D77" s="40">
        <f>'San Diego Unified Port District'!C23</f>
        <v>8892</v>
      </c>
      <c r="E77" s="40"/>
      <c r="F77" s="40">
        <f>'San Diego Unified Port District'!D23</f>
        <v>11985</v>
      </c>
      <c r="G77" s="40"/>
      <c r="H77" s="40">
        <f>'San Diego Unified Port District'!E23</f>
        <v>11737.5</v>
      </c>
      <c r="I77" s="40"/>
      <c r="J77" s="40">
        <f>'San Diego Unified Port District'!F23</f>
        <v>11880</v>
      </c>
      <c r="K77" s="11">
        <f t="shared" si="7"/>
        <v>48</v>
      </c>
    </row>
    <row r="78" spans="1:11" x14ac:dyDescent="0.3">
      <c r="A78" s="11">
        <f t="shared" si="5"/>
        <v>49</v>
      </c>
      <c r="B78" s="14" t="s">
        <v>77</v>
      </c>
      <c r="C78" s="40"/>
      <c r="D78" s="40">
        <f>'San Diego Unified Port District'!C35</f>
        <v>0</v>
      </c>
      <c r="E78" s="40"/>
      <c r="F78" s="40">
        <f>'San Diego Unified Port District'!D35</f>
        <v>0</v>
      </c>
      <c r="G78" s="40"/>
      <c r="H78" s="40">
        <f>'San Diego Unified Port District'!E35</f>
        <v>0</v>
      </c>
      <c r="I78" s="40"/>
      <c r="J78" s="40">
        <f>'San Diego Unified Port District'!F35</f>
        <v>0</v>
      </c>
      <c r="K78" s="11">
        <f t="shared" si="7"/>
        <v>49</v>
      </c>
    </row>
    <row r="79" spans="1:11" x14ac:dyDescent="0.3">
      <c r="A79" s="11">
        <f t="shared" si="5"/>
        <v>50</v>
      </c>
      <c r="B79" s="14"/>
      <c r="C79" s="40"/>
      <c r="D79" s="40"/>
      <c r="E79" s="40"/>
      <c r="F79" s="40"/>
      <c r="G79" s="40"/>
      <c r="H79" s="40"/>
      <c r="I79" s="40"/>
      <c r="J79" s="40"/>
      <c r="K79" s="11">
        <f t="shared" si="7"/>
        <v>50</v>
      </c>
    </row>
    <row r="80" spans="1:11" x14ac:dyDescent="0.3">
      <c r="A80" s="11">
        <f t="shared" si="5"/>
        <v>51</v>
      </c>
      <c r="B80" s="14" t="str">
        <f>B25</f>
        <v>Agricultural</v>
      </c>
      <c r="C80" s="40"/>
      <c r="D80" s="40"/>
      <c r="E80" s="40"/>
      <c r="F80" s="40"/>
      <c r="G80" s="40"/>
      <c r="H80" s="40"/>
      <c r="I80" s="40"/>
      <c r="J80" s="40"/>
      <c r="K80" s="11">
        <f t="shared" si="7"/>
        <v>51</v>
      </c>
    </row>
    <row r="81" spans="1:11" x14ac:dyDescent="0.3">
      <c r="A81" s="11">
        <f t="shared" si="5"/>
        <v>52</v>
      </c>
      <c r="B81" s="14" t="str">
        <f>B26</f>
        <v xml:space="preserve">     Schedules PA and TOU-PA</v>
      </c>
      <c r="C81" s="40">
        <f>C26*C51</f>
        <v>204715.49639882182</v>
      </c>
      <c r="D81" s="40"/>
      <c r="E81" s="40">
        <f>E26*E51</f>
        <v>240650.27571943044</v>
      </c>
      <c r="F81" s="40"/>
      <c r="G81" s="40">
        <f>G26*G51</f>
        <v>220568.25875109126</v>
      </c>
      <c r="H81" s="40"/>
      <c r="I81" s="40">
        <f>I26*I51</f>
        <v>247223.8175809918</v>
      </c>
      <c r="J81" s="40"/>
      <c r="K81" s="11">
        <f t="shared" si="7"/>
        <v>52</v>
      </c>
    </row>
    <row r="82" spans="1:11" x14ac:dyDescent="0.3">
      <c r="A82" s="11">
        <f t="shared" si="5"/>
        <v>53</v>
      </c>
      <c r="B82" s="14" t="str">
        <f>B27</f>
        <v xml:space="preserve">     Schedule PA-T-1 - Non-Coincident (100%)</v>
      </c>
      <c r="C82" s="40"/>
      <c r="D82" s="40">
        <f>'PA-T-1'!C33</f>
        <v>588693.86944043147</v>
      </c>
      <c r="E82" s="40"/>
      <c r="F82" s="40">
        <f>'PA-T-1'!D33</f>
        <v>636867.29973413015</v>
      </c>
      <c r="G82" s="40"/>
      <c r="H82" s="40">
        <f>'PA-T-1'!E33</f>
        <v>571983.7498898569</v>
      </c>
      <c r="I82" s="40"/>
      <c r="J82" s="40">
        <f>'PA-T-1'!F33</f>
        <v>602285.68765645626</v>
      </c>
      <c r="K82" s="11">
        <f t="shared" si="7"/>
        <v>53</v>
      </c>
    </row>
    <row r="83" spans="1:11" x14ac:dyDescent="0.3">
      <c r="A83" s="11">
        <f t="shared" si="5"/>
        <v>54</v>
      </c>
      <c r="B83" s="14"/>
      <c r="C83" s="40"/>
      <c r="D83" s="40"/>
      <c r="E83" s="40"/>
      <c r="F83" s="40"/>
      <c r="G83" s="40"/>
      <c r="H83" s="40"/>
      <c r="I83" s="40"/>
      <c r="J83" s="40"/>
      <c r="K83" s="11">
        <f t="shared" si="7"/>
        <v>54</v>
      </c>
    </row>
    <row r="84" spans="1:11" x14ac:dyDescent="0.3">
      <c r="A84" s="11">
        <f t="shared" si="5"/>
        <v>55</v>
      </c>
      <c r="B84" s="14" t="str">
        <f>B29</f>
        <v>Street Lighting</v>
      </c>
      <c r="C84" s="40">
        <f t="shared" ref="C84:J84" si="8">C29*C53</f>
        <v>319547.82797262585</v>
      </c>
      <c r="D84" s="40">
        <f t="shared" si="8"/>
        <v>0</v>
      </c>
      <c r="E84" s="40">
        <f t="shared" si="8"/>
        <v>317262.10477939341</v>
      </c>
      <c r="F84" s="40">
        <f t="shared" si="8"/>
        <v>0</v>
      </c>
      <c r="G84" s="40">
        <f t="shared" si="8"/>
        <v>310846.45216072613</v>
      </c>
      <c r="H84" s="40">
        <f t="shared" si="8"/>
        <v>0</v>
      </c>
      <c r="I84" s="40">
        <f t="shared" si="8"/>
        <v>305967.47624068387</v>
      </c>
      <c r="J84" s="40">
        <f t="shared" si="8"/>
        <v>0</v>
      </c>
      <c r="K84" s="11">
        <f t="shared" si="7"/>
        <v>55</v>
      </c>
    </row>
    <row r="85" spans="1:11" x14ac:dyDescent="0.3">
      <c r="A85" s="11">
        <f t="shared" si="5"/>
        <v>56</v>
      </c>
      <c r="B85" s="14"/>
      <c r="C85" s="40"/>
      <c r="D85" s="40"/>
      <c r="E85" s="40"/>
      <c r="F85" s="40"/>
      <c r="G85" s="40"/>
      <c r="H85" s="40"/>
      <c r="I85" s="40"/>
      <c r="J85" s="40"/>
      <c r="K85" s="11">
        <f t="shared" si="7"/>
        <v>56</v>
      </c>
    </row>
    <row r="86" spans="1:11" x14ac:dyDescent="0.3">
      <c r="A86" s="11">
        <f t="shared" si="5"/>
        <v>57</v>
      </c>
      <c r="B86" s="14" t="str">
        <f>B31</f>
        <v>Standby</v>
      </c>
      <c r="C86" s="40"/>
      <c r="D86" s="40">
        <f>Standby!C31</f>
        <v>960051</v>
      </c>
      <c r="E86" s="40"/>
      <c r="F86" s="40">
        <f>Standby!D31</f>
        <v>960051</v>
      </c>
      <c r="G86" s="40"/>
      <c r="H86" s="40">
        <f>Standby!E31</f>
        <v>960051</v>
      </c>
      <c r="I86" s="40"/>
      <c r="J86" s="40">
        <f>Standby!F31</f>
        <v>960051</v>
      </c>
      <c r="K86" s="11">
        <f t="shared" si="7"/>
        <v>57</v>
      </c>
    </row>
    <row r="87" spans="1:11" x14ac:dyDescent="0.3">
      <c r="A87" s="11">
        <f t="shared" si="5"/>
        <v>58</v>
      </c>
      <c r="B87" s="14"/>
      <c r="C87" s="40"/>
      <c r="D87" s="40"/>
      <c r="E87" s="40"/>
      <c r="F87" s="40"/>
      <c r="G87" s="40"/>
      <c r="H87" s="40"/>
      <c r="I87" s="40"/>
      <c r="J87" s="40"/>
      <c r="K87" s="11">
        <f t="shared" si="7"/>
        <v>58</v>
      </c>
    </row>
    <row r="88" spans="1:11" x14ac:dyDescent="0.3">
      <c r="A88" s="11">
        <f t="shared" si="5"/>
        <v>59</v>
      </c>
      <c r="B88" s="19" t="s">
        <v>98</v>
      </c>
      <c r="C88" s="64">
        <f t="shared" ref="C88:J88" si="9">SUM(C66:C86)</f>
        <v>64649868.492652521</v>
      </c>
      <c r="D88" s="64">
        <f t="shared" si="9"/>
        <v>36851462.055527754</v>
      </c>
      <c r="E88" s="64">
        <f t="shared" si="9"/>
        <v>54160315.649134256</v>
      </c>
      <c r="F88" s="64">
        <f t="shared" si="9"/>
        <v>35221654.239841163</v>
      </c>
      <c r="G88" s="64">
        <f t="shared" si="9"/>
        <v>49101322.308764555</v>
      </c>
      <c r="H88" s="64">
        <f t="shared" si="9"/>
        <v>35151512.594604582</v>
      </c>
      <c r="I88" s="64">
        <f t="shared" si="9"/>
        <v>41114625.256451555</v>
      </c>
      <c r="J88" s="64">
        <f t="shared" si="9"/>
        <v>35312509.7491237</v>
      </c>
      <c r="K88" s="11">
        <f t="shared" si="7"/>
        <v>59</v>
      </c>
    </row>
    <row r="89" spans="1:11" x14ac:dyDescent="0.3">
      <c r="A89" s="11">
        <f t="shared" si="5"/>
        <v>60</v>
      </c>
      <c r="B89" s="19"/>
      <c r="C89" s="62"/>
      <c r="D89" s="62"/>
      <c r="E89" s="62"/>
      <c r="F89" s="20"/>
      <c r="G89" s="62"/>
      <c r="H89" s="20"/>
      <c r="I89" s="62"/>
      <c r="J89" s="20"/>
      <c r="K89" s="11">
        <f t="shared" si="7"/>
        <v>60</v>
      </c>
    </row>
    <row r="90" spans="1:11" ht="19.5" thickBot="1" x14ac:dyDescent="0.35">
      <c r="A90" s="11">
        <f t="shared" si="5"/>
        <v>61</v>
      </c>
      <c r="B90" s="14" t="s">
        <v>99</v>
      </c>
      <c r="C90" s="18"/>
      <c r="D90" s="67">
        <f>D88+C88</f>
        <v>101501330.54818028</v>
      </c>
      <c r="E90" s="18"/>
      <c r="F90" s="67">
        <f>F88+E88</f>
        <v>89381969.888975412</v>
      </c>
      <c r="G90" s="18"/>
      <c r="H90" s="67">
        <f>H88+G88</f>
        <v>84252834.903369129</v>
      </c>
      <c r="I90" s="18"/>
      <c r="J90" s="67">
        <f>J88+I88</f>
        <v>76427135.005575255</v>
      </c>
      <c r="K90" s="11">
        <f t="shared" si="7"/>
        <v>61</v>
      </c>
    </row>
    <row r="91" spans="1:11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4"/>
    </row>
    <row r="92" spans="1:11" x14ac:dyDescent="0.3">
      <c r="B92" s="25" t="s">
        <v>82</v>
      </c>
    </row>
    <row r="93" spans="1:11" ht="22.5" x14ac:dyDescent="0.3">
      <c r="A93" s="77">
        <v>4</v>
      </c>
      <c r="B93" s="1" t="s">
        <v>100</v>
      </c>
    </row>
    <row r="94" spans="1:11" ht="22.5" x14ac:dyDescent="0.3">
      <c r="A94" s="77"/>
      <c r="B94" s="1" t="s">
        <v>101</v>
      </c>
    </row>
    <row r="95" spans="1:11" ht="22.5" x14ac:dyDescent="0.3">
      <c r="A95" s="77">
        <v>5</v>
      </c>
      <c r="B95" s="1" t="s">
        <v>102</v>
      </c>
      <c r="C95" s="247"/>
      <c r="F95" s="216"/>
    </row>
    <row r="96" spans="1:11" x14ac:dyDescent="0.3">
      <c r="A96" s="7"/>
      <c r="B96" s="1" t="s">
        <v>453</v>
      </c>
      <c r="C96" s="247"/>
      <c r="F96" s="216"/>
    </row>
    <row r="97" spans="1:3" x14ac:dyDescent="0.3">
      <c r="A97" s="7"/>
      <c r="B97" s="1" t="s">
        <v>454</v>
      </c>
      <c r="C97" s="248"/>
    </row>
    <row r="98" spans="1:3" x14ac:dyDescent="0.3">
      <c r="A98" s="7"/>
      <c r="C98" s="216"/>
    </row>
    <row r="99" spans="1:3" x14ac:dyDescent="0.3">
      <c r="A99" s="7"/>
    </row>
    <row r="100" spans="1:3" x14ac:dyDescent="0.3">
      <c r="A100" s="7"/>
    </row>
    <row r="101" spans="1:3" x14ac:dyDescent="0.3">
      <c r="A101" s="7"/>
    </row>
    <row r="102" spans="1:3" x14ac:dyDescent="0.3">
      <c r="A102" s="7"/>
    </row>
    <row r="103" spans="1:3" x14ac:dyDescent="0.3">
      <c r="A103" s="7"/>
    </row>
    <row r="104" spans="1:3" x14ac:dyDescent="0.3">
      <c r="A104" s="7"/>
    </row>
    <row r="105" spans="1:3" x14ac:dyDescent="0.3">
      <c r="A105" s="7"/>
    </row>
    <row r="106" spans="1:3" x14ac:dyDescent="0.3">
      <c r="A106" s="7"/>
    </row>
    <row r="107" spans="1:3" x14ac:dyDescent="0.3">
      <c r="A107" s="7"/>
    </row>
    <row r="108" spans="1:3" x14ac:dyDescent="0.3">
      <c r="A108" s="7"/>
    </row>
    <row r="109" spans="1:3" x14ac:dyDescent="0.3">
      <c r="A109" s="7"/>
    </row>
    <row r="110" spans="1:3" x14ac:dyDescent="0.3">
      <c r="A110" s="7"/>
    </row>
    <row r="111" spans="1:3" x14ac:dyDescent="0.3">
      <c r="A111" s="7"/>
    </row>
    <row r="112" spans="1:3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</sheetData>
  <mergeCells count="16">
    <mergeCell ref="G7:H7"/>
    <mergeCell ref="I7:J7"/>
    <mergeCell ref="A1:K1"/>
    <mergeCell ref="A2:K2"/>
    <mergeCell ref="A3:K3"/>
    <mergeCell ref="A4:K4"/>
    <mergeCell ref="C7:D7"/>
    <mergeCell ref="E7:F7"/>
    <mergeCell ref="C62:D62"/>
    <mergeCell ref="E62:F62"/>
    <mergeCell ref="G62:H62"/>
    <mergeCell ref="I62:J62"/>
    <mergeCell ref="C39:D39"/>
    <mergeCell ref="E39:F39"/>
    <mergeCell ref="G39:H39"/>
    <mergeCell ref="I39:J39"/>
  </mergeCells>
  <phoneticPr fontId="0" type="noConversion"/>
  <printOptions horizontalCentered="1"/>
  <pageMargins left="0.25" right="0.25" top="0.5" bottom="0.5" header="0.25" footer="0.25"/>
  <pageSetup scale="39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63"/>
  <sheetViews>
    <sheetView topLeftCell="A62" zoomScale="75" zoomScaleNormal="75" zoomScaleSheetLayoutView="70" workbookViewId="0">
      <selection activeCell="B97" sqref="B97"/>
    </sheetView>
  </sheetViews>
  <sheetFormatPr defaultColWidth="9.140625" defaultRowHeight="18.75" x14ac:dyDescent="0.3"/>
  <cols>
    <col min="1" max="1" width="5.5703125" style="1" customWidth="1"/>
    <col min="2" max="2" width="104.5703125" style="1" customWidth="1"/>
    <col min="3" max="3" width="19.140625" style="1" bestFit="1" customWidth="1"/>
    <col min="4" max="4" width="17.1406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8.28515625" style="1" customWidth="1"/>
    <col min="9" max="9" width="19.140625" style="1" bestFit="1" customWidth="1"/>
    <col min="10" max="10" width="17.140625" style="1" bestFit="1" customWidth="1"/>
    <col min="11" max="11" width="5.5703125" style="1" bestFit="1" customWidth="1"/>
    <col min="12" max="16384" width="9.140625" style="1"/>
  </cols>
  <sheetData>
    <row r="1" spans="1:1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x14ac:dyDescent="0.3">
      <c r="A4" s="425" t="str">
        <f>'Comparison of Revenues'!A5:H5</f>
        <v>Rate Effective Period - Twelve Months Ending December 31, 2025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6" spans="1:11" x14ac:dyDescent="0.3">
      <c r="A6" s="8"/>
      <c r="B6" s="8"/>
      <c r="C6" s="9" t="s">
        <v>50</v>
      </c>
      <c r="D6" s="10"/>
      <c r="E6" s="9" t="s">
        <v>51</v>
      </c>
      <c r="F6" s="10"/>
      <c r="G6" s="9" t="s">
        <v>52</v>
      </c>
      <c r="H6" s="10"/>
      <c r="I6" s="9" t="s">
        <v>103</v>
      </c>
      <c r="J6" s="10"/>
      <c r="K6" s="8"/>
    </row>
    <row r="7" spans="1:11" x14ac:dyDescent="0.3">
      <c r="A7" s="11"/>
      <c r="B7" s="11"/>
      <c r="C7" s="427">
        <v>45778</v>
      </c>
      <c r="D7" s="428"/>
      <c r="E7" s="427">
        <v>45809</v>
      </c>
      <c r="F7" s="428"/>
      <c r="G7" s="427">
        <v>45839</v>
      </c>
      <c r="H7" s="428"/>
      <c r="I7" s="427">
        <v>45870</v>
      </c>
      <c r="J7" s="428"/>
      <c r="K7" s="11"/>
    </row>
    <row r="8" spans="1:11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1" t="s">
        <v>8</v>
      </c>
    </row>
    <row r="9" spans="1:11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10</v>
      </c>
    </row>
    <row r="10" spans="1:1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A11" s="11">
        <v>1</v>
      </c>
      <c r="B11" s="14" t="str">
        <f>'A-Revenues@Changed Rates'!B11</f>
        <v>Residential</v>
      </c>
      <c r="C11" s="18">
        <f>'A-Billing Determinants'!K12</f>
        <v>324909782.65184611</v>
      </c>
      <c r="D11" s="18"/>
      <c r="E11" s="18">
        <f>'A-Billing Determinants'!M12</f>
        <v>350624016.67729574</v>
      </c>
      <c r="F11" s="18"/>
      <c r="G11" s="18">
        <f>'B-Billing Determinants'!C12</f>
        <v>437849308.7170797</v>
      </c>
      <c r="H11" s="18"/>
      <c r="I11" s="18">
        <f>'B-Billing Determinants'!E12</f>
        <v>603748647.70622778</v>
      </c>
      <c r="J11" s="18"/>
      <c r="K11" s="11">
        <v>1</v>
      </c>
    </row>
    <row r="12" spans="1:11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11">
        <f>K11+1</f>
        <v>2</v>
      </c>
    </row>
    <row r="13" spans="1:11" x14ac:dyDescent="0.3">
      <c r="A13" s="11">
        <f t="shared" ref="A13:A33" si="0">A12+1</f>
        <v>3</v>
      </c>
      <c r="B13" s="14" t="str">
        <f>'A-Revenues@Changed Rates'!B13</f>
        <v xml:space="preserve">Small Commercial </v>
      </c>
      <c r="C13" s="18">
        <f>'A-Billing Determinants'!K14</f>
        <v>185654634.61696634</v>
      </c>
      <c r="D13" s="18"/>
      <c r="E13" s="18">
        <f>'A-Billing Determinants'!M14</f>
        <v>194357832.95760828</v>
      </c>
      <c r="F13" s="18"/>
      <c r="G13" s="18">
        <f>'B-Billing Determinants'!C14</f>
        <v>217705905.33345446</v>
      </c>
      <c r="H13" s="18"/>
      <c r="I13" s="18">
        <f>'B-Billing Determinants'!E14</f>
        <v>229919024.856437</v>
      </c>
      <c r="J13" s="18"/>
      <c r="K13" s="11">
        <f t="shared" ref="K13:K33" si="1">K12+1</f>
        <v>3</v>
      </c>
    </row>
    <row r="14" spans="1:11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11">
        <f t="shared" si="1"/>
        <v>4</v>
      </c>
    </row>
    <row r="15" spans="1:11" x14ac:dyDescent="0.3">
      <c r="A15" s="11">
        <f t="shared" si="0"/>
        <v>5</v>
      </c>
      <c r="B15" s="14" t="str">
        <f>'A-Revenues@Changed Rates'!B15</f>
        <v xml:space="preserve">Medium and Large Commercial/Industrial </v>
      </c>
      <c r="C15" s="18">
        <f>'A-Billing Determinants'!K16</f>
        <v>724916884.54627109</v>
      </c>
      <c r="D15" s="18"/>
      <c r="E15" s="18">
        <f>'A-Billing Determinants'!M16</f>
        <v>760340001.74391031</v>
      </c>
      <c r="F15" s="18"/>
      <c r="G15" s="18">
        <f>'B-Billing Determinants'!C16</f>
        <v>838846181.36289918</v>
      </c>
      <c r="H15" s="18"/>
      <c r="I15" s="18">
        <f>'B-Billing Determinants'!E16</f>
        <v>875481607.36812794</v>
      </c>
      <c r="J15" s="18"/>
      <c r="K15" s="11">
        <f t="shared" si="1"/>
        <v>5</v>
      </c>
    </row>
    <row r="16" spans="1:11" x14ac:dyDescent="0.3">
      <c r="A16" s="11">
        <f t="shared" si="0"/>
        <v>6</v>
      </c>
      <c r="B16" s="14" t="str">
        <f>'A-Revenues@Changed Rates'!B16</f>
        <v xml:space="preserve">     Non-Coincident (100%)</v>
      </c>
      <c r="C16" s="18"/>
      <c r="D16" s="18">
        <f>'A-Billing Determinants'!L17</f>
        <v>0</v>
      </c>
      <c r="E16" s="18"/>
      <c r="F16" s="18">
        <f>'A-Billing Determinants'!N17</f>
        <v>0</v>
      </c>
      <c r="G16" s="18"/>
      <c r="H16" s="18">
        <f>'B-Billing Determinants'!D17</f>
        <v>0</v>
      </c>
      <c r="I16" s="18"/>
      <c r="J16" s="18">
        <f>'B-Billing Determinants'!F17</f>
        <v>0</v>
      </c>
      <c r="K16" s="11">
        <f t="shared" si="1"/>
        <v>6</v>
      </c>
    </row>
    <row r="17" spans="1:11" x14ac:dyDescent="0.3">
      <c r="A17" s="11">
        <f t="shared" si="0"/>
        <v>7</v>
      </c>
      <c r="B17" s="14" t="str">
        <f>'A-Revenues@Changed Rates'!B17</f>
        <v xml:space="preserve">     Non-Coincident (90%)</v>
      </c>
      <c r="C17" s="18"/>
      <c r="D17" s="18">
        <f>'A-Billing Determinants'!L18</f>
        <v>1747361.8027425944</v>
      </c>
      <c r="E17" s="18"/>
      <c r="F17" s="18">
        <f>'A-Billing Determinants'!N18</f>
        <v>1827640.8598821373</v>
      </c>
      <c r="G17" s="18"/>
      <c r="H17" s="18">
        <f>'B-Billing Determinants'!D18</f>
        <v>2013529.8033270447</v>
      </c>
      <c r="I17" s="18"/>
      <c r="J17" s="18">
        <f>'B-Billing Determinants'!F18</f>
        <v>2105311.5654053241</v>
      </c>
      <c r="K17" s="11">
        <f t="shared" si="1"/>
        <v>7</v>
      </c>
    </row>
    <row r="18" spans="1:11" x14ac:dyDescent="0.3">
      <c r="A18" s="11">
        <f t="shared" si="0"/>
        <v>8</v>
      </c>
      <c r="B18" s="14" t="str">
        <f>'A-Revenues@Changed Rates'!B18</f>
        <v xml:space="preserve">     Maximum On-Peak Period Demand-Standard Customers</v>
      </c>
      <c r="C18" s="18"/>
      <c r="D18" s="18">
        <f>'A-Billing Determinants'!L19</f>
        <v>1555103.2692308179</v>
      </c>
      <c r="E18" s="18"/>
      <c r="F18" s="18">
        <f>'A-Billing Determinants'!N19</f>
        <v>1604437.9445532979</v>
      </c>
      <c r="G18" s="18"/>
      <c r="H18" s="18">
        <f>'B-Billing Determinants'!D19</f>
        <v>1758680.4717437441</v>
      </c>
      <c r="I18" s="18"/>
      <c r="J18" s="18">
        <f>'B-Billing Determinants'!F19</f>
        <v>1851064.6221110509</v>
      </c>
      <c r="K18" s="11">
        <f t="shared" si="1"/>
        <v>8</v>
      </c>
    </row>
    <row r="19" spans="1:11" x14ac:dyDescent="0.3">
      <c r="A19" s="11">
        <f t="shared" si="0"/>
        <v>9</v>
      </c>
      <c r="B19" s="14" t="str">
        <f>'A-Revenues@Changed Rates'!B19</f>
        <v xml:space="preserve">     Maximum Demand at the Time of System Peak-Standard Customers</v>
      </c>
      <c r="C19" s="18"/>
      <c r="D19" s="18">
        <f>'A-Billing Determinants'!L20</f>
        <v>118740.66681286828</v>
      </c>
      <c r="E19" s="18"/>
      <c r="F19" s="18">
        <f>'A-Billing Determinants'!N20</f>
        <v>122437.04539795166</v>
      </c>
      <c r="G19" s="18"/>
      <c r="H19" s="18">
        <f>'B-Billing Determinants'!D20</f>
        <v>141907.64036930897</v>
      </c>
      <c r="I19" s="18"/>
      <c r="J19" s="18">
        <f>'B-Billing Determinants'!F20</f>
        <v>138789.48446035135</v>
      </c>
      <c r="K19" s="11">
        <f t="shared" si="1"/>
        <v>9</v>
      </c>
    </row>
    <row r="20" spans="1:11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11">
        <f t="shared" si="1"/>
        <v>10</v>
      </c>
    </row>
    <row r="21" spans="1:11" x14ac:dyDescent="0.3">
      <c r="A21" s="11">
        <f t="shared" si="0"/>
        <v>11</v>
      </c>
      <c r="B21" s="127" t="s">
        <v>26</v>
      </c>
      <c r="C21" s="18">
        <f>'A-Billing Determinants'!K24</f>
        <v>258380</v>
      </c>
      <c r="D21" s="18"/>
      <c r="E21" s="18">
        <f>'A-Billing Determinants'!M24</f>
        <v>110630</v>
      </c>
      <c r="F21" s="18"/>
      <c r="G21" s="18">
        <f>'B-Billing Determinants'!C24</f>
        <v>125900</v>
      </c>
      <c r="H21" s="18"/>
      <c r="I21" s="18">
        <f>'B-Billing Determinants'!E24</f>
        <v>50</v>
      </c>
      <c r="J21" s="18"/>
      <c r="K21" s="11">
        <f t="shared" si="1"/>
        <v>11</v>
      </c>
    </row>
    <row r="22" spans="1:11" x14ac:dyDescent="0.3">
      <c r="A22" s="11">
        <f t="shared" si="0"/>
        <v>12</v>
      </c>
      <c r="B22" s="14" t="s">
        <v>74</v>
      </c>
      <c r="C22" s="18"/>
      <c r="D22" s="18">
        <f>'A-Billing Determinants'!L25</f>
        <v>8780</v>
      </c>
      <c r="E22" s="18"/>
      <c r="F22" s="18">
        <f>'A-Billing Determinants'!N25</f>
        <v>8690</v>
      </c>
      <c r="G22" s="18"/>
      <c r="H22" s="18">
        <f>'B-Billing Determinants'!D25</f>
        <v>9890</v>
      </c>
      <c r="I22" s="18"/>
      <c r="J22" s="18">
        <f>'B-Billing Determinants'!F25</f>
        <v>7990</v>
      </c>
      <c r="K22" s="11">
        <f t="shared" si="1"/>
        <v>12</v>
      </c>
    </row>
    <row r="23" spans="1:11" x14ac:dyDescent="0.3">
      <c r="A23" s="11">
        <f t="shared" si="0"/>
        <v>13</v>
      </c>
      <c r="B23" s="14" t="s">
        <v>77</v>
      </c>
      <c r="C23" s="18"/>
      <c r="D23" s="18">
        <f>'A-Billing Determinants'!L26</f>
        <v>0</v>
      </c>
      <c r="E23" s="18"/>
      <c r="F23" s="18">
        <f>'A-Billing Determinants'!N26</f>
        <v>0</v>
      </c>
      <c r="G23" s="18"/>
      <c r="H23" s="18">
        <f>'B-Billing Determinants'!D26</f>
        <v>0</v>
      </c>
      <c r="I23" s="18"/>
      <c r="J23" s="18">
        <f>'B-Billing Determinants'!F26</f>
        <v>0</v>
      </c>
      <c r="K23" s="11">
        <f t="shared" si="1"/>
        <v>13</v>
      </c>
    </row>
    <row r="24" spans="1:11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11">
        <f t="shared" si="1"/>
        <v>14</v>
      </c>
    </row>
    <row r="25" spans="1:11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11">
        <f t="shared" si="1"/>
        <v>15</v>
      </c>
    </row>
    <row r="26" spans="1:11" x14ac:dyDescent="0.3">
      <c r="A26" s="11">
        <f t="shared" si="0"/>
        <v>16</v>
      </c>
      <c r="B26" s="14" t="s">
        <v>79</v>
      </c>
      <c r="C26" s="18">
        <f>'A-Billing Determinants'!K29</f>
        <v>10185414.184797397</v>
      </c>
      <c r="D26" s="18"/>
      <c r="E26" s="18">
        <f>'A-Billing Determinants'!M29</f>
        <v>11247957.966117742</v>
      </c>
      <c r="F26" s="18"/>
      <c r="G26" s="18">
        <f>'B-Billing Determinants'!C29</f>
        <v>12755825.760813892</v>
      </c>
      <c r="H26" s="18"/>
      <c r="I26" s="18">
        <f>'B-Billing Determinants'!E29</f>
        <v>13888226.199353687</v>
      </c>
      <c r="J26" s="18"/>
      <c r="K26" s="11">
        <f t="shared" si="1"/>
        <v>16</v>
      </c>
    </row>
    <row r="27" spans="1:11" x14ac:dyDescent="0.3">
      <c r="A27" s="11">
        <f t="shared" si="0"/>
        <v>17</v>
      </c>
      <c r="B27" s="14" t="s">
        <v>73</v>
      </c>
      <c r="C27" s="18">
        <f>'A-Billing Determinants'!K30</f>
        <v>20061665.198170915</v>
      </c>
      <c r="D27" s="18">
        <f>'A-Billing Determinants'!L30</f>
        <v>72752.019866737523</v>
      </c>
      <c r="E27" s="18">
        <f>'A-Billing Determinants'!M30</f>
        <v>20603202.325132836</v>
      </c>
      <c r="F27" s="18">
        <f>'A-Billing Determinants'!N30</f>
        <v>74377.548100098793</v>
      </c>
      <c r="G27" s="18">
        <f>'B-Billing Determinants'!C30</f>
        <v>23004135.715861753</v>
      </c>
      <c r="H27" s="18">
        <f>'B-Billing Determinants'!D30</f>
        <v>83044.916208028211</v>
      </c>
      <c r="I27" s="18">
        <f>'B-Billing Determinants'!E30</f>
        <v>22863150.521633886</v>
      </c>
      <c r="J27" s="18">
        <f>'B-Billing Determinants'!F30</f>
        <v>82535.959740989405</v>
      </c>
      <c r="K27" s="11">
        <f t="shared" si="1"/>
        <v>17</v>
      </c>
    </row>
    <row r="28" spans="1:11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11">
        <f t="shared" si="1"/>
        <v>18</v>
      </c>
    </row>
    <row r="29" spans="1:11" x14ac:dyDescent="0.3">
      <c r="A29" s="11">
        <f t="shared" si="0"/>
        <v>19</v>
      </c>
      <c r="B29" s="14" t="str">
        <f>'A-Revenues@Changed Rates'!B29</f>
        <v>Street Lighting</v>
      </c>
      <c r="C29" s="18">
        <f>'A-Billing Determinants'!K32</f>
        <v>6463029.1984564485</v>
      </c>
      <c r="D29" s="18"/>
      <c r="E29" s="18">
        <f>'A-Billing Determinants'!M32</f>
        <v>6515925.7018801039</v>
      </c>
      <c r="F29" s="18"/>
      <c r="G29" s="18">
        <f>'B-Billing Determinants'!C32</f>
        <v>6492050.2848719275</v>
      </c>
      <c r="H29" s="18"/>
      <c r="I29" s="18">
        <f>'B-Billing Determinants'!E32</f>
        <v>6710608.6798682185</v>
      </c>
      <c r="J29" s="18"/>
      <c r="K29" s="11">
        <f t="shared" si="1"/>
        <v>19</v>
      </c>
    </row>
    <row r="30" spans="1:11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11">
        <f t="shared" si="1"/>
        <v>20</v>
      </c>
    </row>
    <row r="31" spans="1:11" x14ac:dyDescent="0.3">
      <c r="A31" s="11">
        <f t="shared" si="0"/>
        <v>21</v>
      </c>
      <c r="B31" s="14" t="str">
        <f>'A-Revenues@Changed Rates'!B31</f>
        <v>Standby</v>
      </c>
      <c r="C31" s="22"/>
      <c r="D31" s="22">
        <f>'A-Billing Determinants'!L36</f>
        <v>145506</v>
      </c>
      <c r="E31" s="22"/>
      <c r="F31" s="22">
        <f>'A-Billing Determinants'!N36</f>
        <v>145506</v>
      </c>
      <c r="G31" s="22"/>
      <c r="H31" s="22">
        <f>'B-Billing Determinants'!D36</f>
        <v>145506</v>
      </c>
      <c r="I31" s="22"/>
      <c r="J31" s="22">
        <f>'B-Billing Determinants'!F36</f>
        <v>145506</v>
      </c>
      <c r="K31" s="11">
        <f t="shared" si="1"/>
        <v>21</v>
      </c>
    </row>
    <row r="32" spans="1:11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11">
        <f t="shared" si="1"/>
        <v>22</v>
      </c>
    </row>
    <row r="33" spans="1:11" ht="19.5" thickBot="1" x14ac:dyDescent="0.35">
      <c r="A33" s="11">
        <f t="shared" si="0"/>
        <v>23</v>
      </c>
      <c r="B33" s="19" t="s">
        <v>60</v>
      </c>
      <c r="C33" s="23">
        <f>SUM(C11:C31)</f>
        <v>1272449790.3965082</v>
      </c>
      <c r="D33" s="23"/>
      <c r="E33" s="23">
        <f>SUM(E11:E31)</f>
        <v>1343799567.3719451</v>
      </c>
      <c r="F33" s="23"/>
      <c r="G33" s="23">
        <f>SUM(G11:G31)</f>
        <v>1536779307.1749809</v>
      </c>
      <c r="H33" s="23"/>
      <c r="I33" s="23">
        <f>SUM(I11:I31)</f>
        <v>1752611315.3316486</v>
      </c>
      <c r="J33" s="23"/>
      <c r="K33" s="11">
        <f t="shared" si="1"/>
        <v>23</v>
      </c>
    </row>
    <row r="34" spans="1:11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4"/>
    </row>
    <row r="35" spans="1:11" x14ac:dyDescent="0.3">
      <c r="B35" s="97" t="str">
        <f>'A-Revenues@Changed Rates'!B35</f>
        <v xml:space="preserve">NOTES: </v>
      </c>
      <c r="C35" s="25"/>
      <c r="D35" s="25"/>
      <c r="E35" s="25"/>
      <c r="F35" s="25"/>
      <c r="G35" s="25"/>
      <c r="H35" s="25"/>
      <c r="I35" s="25"/>
      <c r="J35" s="25"/>
    </row>
    <row r="36" spans="1:11" ht="22.5" x14ac:dyDescent="0.3">
      <c r="A36" s="77">
        <v>1</v>
      </c>
      <c r="B36" s="74" t="s">
        <v>470</v>
      </c>
      <c r="C36" s="25"/>
      <c r="D36" s="25"/>
      <c r="E36" s="25"/>
      <c r="F36" s="25"/>
      <c r="G36" s="25"/>
      <c r="H36" s="25"/>
      <c r="I36" s="25"/>
      <c r="J36" s="25"/>
    </row>
    <row r="37" spans="1:11" x14ac:dyDescent="0.3">
      <c r="A37" s="7"/>
    </row>
    <row r="38" spans="1:11" x14ac:dyDescent="0.3">
      <c r="A38" s="8"/>
      <c r="B38" s="8"/>
      <c r="C38" s="9" t="s">
        <v>50</v>
      </c>
      <c r="D38" s="10"/>
      <c r="E38" s="9" t="s">
        <v>51</v>
      </c>
      <c r="F38" s="10"/>
      <c r="G38" s="9" t="s">
        <v>52</v>
      </c>
      <c r="H38" s="10"/>
      <c r="I38" s="9" t="s">
        <v>103</v>
      </c>
      <c r="J38" s="10"/>
      <c r="K38" s="8"/>
    </row>
    <row r="39" spans="1:11" x14ac:dyDescent="0.3">
      <c r="A39" s="11"/>
      <c r="B39" s="11"/>
      <c r="C39" s="427">
        <f>C7</f>
        <v>45778</v>
      </c>
      <c r="D39" s="428"/>
      <c r="E39" s="427">
        <f>E7</f>
        <v>45809</v>
      </c>
      <c r="F39" s="428"/>
      <c r="G39" s="427">
        <f>G7</f>
        <v>45839</v>
      </c>
      <c r="H39" s="428"/>
      <c r="I39" s="427">
        <f>I7</f>
        <v>45870</v>
      </c>
      <c r="J39" s="428"/>
      <c r="K39" s="11"/>
    </row>
    <row r="40" spans="1:11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1" t="s">
        <v>8</v>
      </c>
    </row>
    <row r="41" spans="1:11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10</v>
      </c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22.5" x14ac:dyDescent="0.3">
      <c r="A43" s="11">
        <f>A33+1</f>
        <v>24</v>
      </c>
      <c r="B43" s="14" t="s">
        <v>84</v>
      </c>
      <c r="C43" s="102">
        <f>'A-Revenues@Changed Rates'!C43</f>
        <v>8.9440000000000006E-2</v>
      </c>
      <c r="D43" s="47"/>
      <c r="E43" s="102">
        <f>C43</f>
        <v>8.9440000000000006E-2</v>
      </c>
      <c r="F43" s="47"/>
      <c r="G43" s="102">
        <f>E43</f>
        <v>8.9440000000000006E-2</v>
      </c>
      <c r="H43" s="47"/>
      <c r="I43" s="102">
        <f>G43</f>
        <v>8.9440000000000006E-2</v>
      </c>
      <c r="J43" s="47"/>
      <c r="K43" s="11">
        <f>K33+1</f>
        <v>24</v>
      </c>
    </row>
    <row r="44" spans="1:11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11">
        <f>K43+1</f>
        <v>25</v>
      </c>
    </row>
    <row r="45" spans="1:11" ht="22.5" x14ac:dyDescent="0.3">
      <c r="A45" s="11">
        <f t="shared" ref="A45:A55" si="2">A44+1</f>
        <v>26</v>
      </c>
      <c r="B45" s="14" t="s">
        <v>85</v>
      </c>
      <c r="C45" s="102">
        <f>'A-Revenues@Changed Rates'!C45</f>
        <v>5.108E-2</v>
      </c>
      <c r="D45" s="47"/>
      <c r="E45" s="102">
        <f>C45</f>
        <v>5.108E-2</v>
      </c>
      <c r="F45" s="47"/>
      <c r="G45" s="102">
        <f>E45</f>
        <v>5.108E-2</v>
      </c>
      <c r="H45" s="47"/>
      <c r="I45" s="102">
        <f>G45</f>
        <v>5.108E-2</v>
      </c>
      <c r="J45" s="47"/>
      <c r="K45" s="11">
        <f t="shared" ref="K45:K55" si="3">K44+1</f>
        <v>26</v>
      </c>
    </row>
    <row r="46" spans="1:11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11">
        <f t="shared" si="3"/>
        <v>27</v>
      </c>
    </row>
    <row r="47" spans="1:11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11">
        <f t="shared" si="3"/>
        <v>28</v>
      </c>
    </row>
    <row r="48" spans="1:11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11">
        <f t="shared" si="3"/>
        <v>29</v>
      </c>
    </row>
    <row r="49" spans="1:11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11">
        <f t="shared" si="3"/>
        <v>30</v>
      </c>
    </row>
    <row r="50" spans="1:11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11">
        <f t="shared" si="3"/>
        <v>31</v>
      </c>
    </row>
    <row r="51" spans="1:11" ht="22.5" x14ac:dyDescent="0.3">
      <c r="A51" s="11">
        <f t="shared" si="2"/>
        <v>32</v>
      </c>
      <c r="B51" s="14" t="s">
        <v>88</v>
      </c>
      <c r="C51" s="102">
        <f>'A-Revenues@Changed Rates'!I51</f>
        <v>3.4770000000000002E-2</v>
      </c>
      <c r="D51" s="47"/>
      <c r="E51" s="102">
        <f>C51</f>
        <v>3.4770000000000002E-2</v>
      </c>
      <c r="F51" s="47"/>
      <c r="G51" s="102">
        <f>E51</f>
        <v>3.4770000000000002E-2</v>
      </c>
      <c r="H51" s="47"/>
      <c r="I51" s="102">
        <f>G51</f>
        <v>3.4770000000000002E-2</v>
      </c>
      <c r="J51" s="47"/>
      <c r="K51" s="11">
        <f t="shared" si="3"/>
        <v>32</v>
      </c>
    </row>
    <row r="52" spans="1:11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11">
        <f t="shared" si="3"/>
        <v>33</v>
      </c>
    </row>
    <row r="53" spans="1:11" ht="22.5" x14ac:dyDescent="0.3">
      <c r="A53" s="11">
        <f t="shared" si="2"/>
        <v>34</v>
      </c>
      <c r="B53" s="14" t="s">
        <v>89</v>
      </c>
      <c r="C53" s="102">
        <f>'A-Revenues@Changed Rates'!C53</f>
        <v>4.6960000000000002E-2</v>
      </c>
      <c r="D53" s="47"/>
      <c r="E53" s="102">
        <f>C53</f>
        <v>4.6960000000000002E-2</v>
      </c>
      <c r="F53" s="47"/>
      <c r="G53" s="102">
        <f>E53</f>
        <v>4.6960000000000002E-2</v>
      </c>
      <c r="H53" s="47"/>
      <c r="I53" s="102">
        <f>G53</f>
        <v>4.6960000000000002E-2</v>
      </c>
      <c r="J53" s="47"/>
      <c r="K53" s="11">
        <f t="shared" si="3"/>
        <v>34</v>
      </c>
    </row>
    <row r="54" spans="1:11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11">
        <f t="shared" si="3"/>
        <v>35</v>
      </c>
    </row>
    <row r="55" spans="1:11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11">
        <f t="shared" si="3"/>
        <v>36</v>
      </c>
    </row>
    <row r="56" spans="1:11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24"/>
    </row>
    <row r="57" spans="1:11" x14ac:dyDescent="0.3">
      <c r="B57" s="97" t="str">
        <f>'A-Revenues@Changed Rates'!B57</f>
        <v>NOTES:</v>
      </c>
      <c r="C57" s="103"/>
      <c r="D57" s="103"/>
      <c r="E57" s="103"/>
      <c r="F57" s="103"/>
      <c r="G57" s="103"/>
      <c r="H57" s="103"/>
      <c r="I57" s="103"/>
      <c r="J57" s="103"/>
    </row>
    <row r="58" spans="1:11" ht="22.5" x14ac:dyDescent="0.3">
      <c r="A58" s="76" t="s">
        <v>91</v>
      </c>
      <c r="B58" s="1" t="str">
        <f>'A-Revenues@Changed Rates'!B58</f>
        <v>The changed rates information comes from Statement BL, Page BL-1, Column A, Lines 1 through 41.</v>
      </c>
    </row>
    <row r="59" spans="1:11" ht="22.5" x14ac:dyDescent="0.3">
      <c r="A59" s="76" t="s">
        <v>93</v>
      </c>
      <c r="B59" s="1" t="str">
        <f>'A-Revenues@Changed Rates'!B59</f>
        <v>The demand rates for Medium &amp; Large Commercial/Industrial, Schedule PA-T-1, and Standby customers are shown on Pages BG-6, BG-7, BG-8, BG-9, BG-13, and BG-14.</v>
      </c>
    </row>
    <row r="60" spans="1:11" x14ac:dyDescent="0.3">
      <c r="A60" s="7"/>
    </row>
    <row r="61" spans="1:11" x14ac:dyDescent="0.3">
      <c r="A61" s="8"/>
      <c r="B61" s="8"/>
      <c r="C61" s="9" t="s">
        <v>50</v>
      </c>
      <c r="D61" s="10"/>
      <c r="E61" s="9" t="s">
        <v>51</v>
      </c>
      <c r="F61" s="10"/>
      <c r="G61" s="9" t="s">
        <v>52</v>
      </c>
      <c r="H61" s="10"/>
      <c r="I61" s="9" t="s">
        <v>103</v>
      </c>
      <c r="J61" s="10"/>
      <c r="K61" s="8"/>
    </row>
    <row r="62" spans="1:11" x14ac:dyDescent="0.3">
      <c r="A62" s="11"/>
      <c r="B62" s="11"/>
      <c r="C62" s="427">
        <f>C39</f>
        <v>45778</v>
      </c>
      <c r="D62" s="428"/>
      <c r="E62" s="427">
        <f>E39</f>
        <v>45809</v>
      </c>
      <c r="F62" s="428"/>
      <c r="G62" s="427">
        <f>G39</f>
        <v>45839</v>
      </c>
      <c r="H62" s="428"/>
      <c r="I62" s="427">
        <f>I39</f>
        <v>45870</v>
      </c>
      <c r="J62" s="428"/>
      <c r="K62" s="11"/>
    </row>
    <row r="63" spans="1:11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1" t="s">
        <v>8</v>
      </c>
    </row>
    <row r="64" spans="1:11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10</v>
      </c>
    </row>
    <row r="65" spans="1:1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60"/>
    </row>
    <row r="66" spans="1:11" x14ac:dyDescent="0.3">
      <c r="A66" s="11">
        <f>A55+1</f>
        <v>37</v>
      </c>
      <c r="B66" s="14" t="str">
        <f>'A-Revenues@Changed Rates'!B66</f>
        <v>Residential</v>
      </c>
      <c r="C66" s="40">
        <f t="shared" ref="C66:J66" si="4">C11*C43</f>
        <v>29059930.960381117</v>
      </c>
      <c r="D66" s="40">
        <f t="shared" si="4"/>
        <v>0</v>
      </c>
      <c r="E66" s="40">
        <f t="shared" si="4"/>
        <v>31359812.051617332</v>
      </c>
      <c r="F66" s="40">
        <f t="shared" si="4"/>
        <v>0</v>
      </c>
      <c r="G66" s="40">
        <f t="shared" si="4"/>
        <v>39161242.17165561</v>
      </c>
      <c r="H66" s="40">
        <f t="shared" si="4"/>
        <v>0</v>
      </c>
      <c r="I66" s="40">
        <f t="shared" si="4"/>
        <v>53999279.05084502</v>
      </c>
      <c r="J66" s="40">
        <f t="shared" si="4"/>
        <v>0</v>
      </c>
      <c r="K66" s="61">
        <f>K55+1</f>
        <v>37</v>
      </c>
    </row>
    <row r="67" spans="1:11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61">
        <f>K66+1</f>
        <v>38</v>
      </c>
    </row>
    <row r="68" spans="1:11" x14ac:dyDescent="0.3">
      <c r="A68" s="11">
        <f t="shared" ref="A68:A86" si="5">A67+1</f>
        <v>39</v>
      </c>
      <c r="B68" s="14" t="s">
        <v>20</v>
      </c>
      <c r="C68" s="40">
        <f t="shared" ref="C68:J68" si="6">C13*C45</f>
        <v>9483238.7362346407</v>
      </c>
      <c r="D68" s="40">
        <f t="shared" si="6"/>
        <v>0</v>
      </c>
      <c r="E68" s="40">
        <f t="shared" si="6"/>
        <v>9927798.1074746307</v>
      </c>
      <c r="F68" s="40">
        <f t="shared" si="6"/>
        <v>0</v>
      </c>
      <c r="G68" s="40">
        <f t="shared" si="6"/>
        <v>11120417.644432854</v>
      </c>
      <c r="H68" s="40">
        <f t="shared" si="6"/>
        <v>0</v>
      </c>
      <c r="I68" s="40">
        <f t="shared" si="6"/>
        <v>11744263.789666802</v>
      </c>
      <c r="J68" s="40">
        <f t="shared" si="6"/>
        <v>0</v>
      </c>
      <c r="K68" s="61">
        <f t="shared" ref="K68:K90" si="7">K67+1</f>
        <v>39</v>
      </c>
    </row>
    <row r="69" spans="1:11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61">
        <f t="shared" si="7"/>
        <v>40</v>
      </c>
    </row>
    <row r="70" spans="1:11" x14ac:dyDescent="0.3">
      <c r="A70" s="11">
        <f t="shared" si="5"/>
        <v>41</v>
      </c>
      <c r="B70" s="14" t="str">
        <f>'A-Revenues@Changed Rates'!B70</f>
        <v xml:space="preserve">Medium and Large Commercial/Industrial </v>
      </c>
      <c r="C70" s="40">
        <f>'A-Med &amp; Lrg C-I'!G13</f>
        <v>0</v>
      </c>
      <c r="D70" s="40"/>
      <c r="E70" s="40">
        <f>'A-Med &amp; Lrg C-I'!H13</f>
        <v>0</v>
      </c>
      <c r="F70" s="40"/>
      <c r="G70" s="40">
        <f>'A-Med &amp; Lrg C-I'!C42</f>
        <v>0</v>
      </c>
      <c r="H70" s="40"/>
      <c r="I70" s="40">
        <f>'A-Med &amp; Lrg C-I'!D42</f>
        <v>0</v>
      </c>
      <c r="J70" s="40"/>
      <c r="K70" s="61">
        <f t="shared" si="7"/>
        <v>41</v>
      </c>
    </row>
    <row r="71" spans="1:11" x14ac:dyDescent="0.3">
      <c r="A71" s="11">
        <f t="shared" si="5"/>
        <v>42</v>
      </c>
      <c r="B71" s="14" t="str">
        <f>'A-Revenues@Changed Rates'!B71</f>
        <v xml:space="preserve">     Non-Coincident (100%)</v>
      </c>
      <c r="C71" s="40"/>
      <c r="D71" s="40">
        <f>'A-Med &amp; Lrg C-I'!G33</f>
        <v>0</v>
      </c>
      <c r="E71" s="40"/>
      <c r="F71" s="40">
        <f>'A-Med &amp; Lrg C-I'!H33</f>
        <v>0</v>
      </c>
      <c r="G71" s="40"/>
      <c r="H71" s="40">
        <f>'A-Med &amp; Lrg C-I'!C62</f>
        <v>0</v>
      </c>
      <c r="I71" s="40"/>
      <c r="J71" s="40">
        <f>'A-Med &amp; Lrg C-I'!D62</f>
        <v>0</v>
      </c>
      <c r="K71" s="61">
        <f t="shared" si="7"/>
        <v>42</v>
      </c>
    </row>
    <row r="72" spans="1:11" x14ac:dyDescent="0.3">
      <c r="A72" s="11">
        <f t="shared" si="5"/>
        <v>43</v>
      </c>
      <c r="B72" s="14" t="str">
        <f>'A-Revenues@Changed Rates'!B72</f>
        <v xml:space="preserve">     Non-Coincident (90%)</v>
      </c>
      <c r="C72" s="40"/>
      <c r="D72" s="40">
        <f>'B-Med &amp; Lrg C-I'!G29</f>
        <v>32747726.871764369</v>
      </c>
      <c r="E72" s="40"/>
      <c r="F72" s="40">
        <f>'B-Med &amp; Lrg C-I'!H29</f>
        <v>34246213.371150732</v>
      </c>
      <c r="G72" s="40"/>
      <c r="H72" s="40">
        <f>'B-Med &amp; Lrg C-I'!C54</f>
        <v>37724183.425239637</v>
      </c>
      <c r="I72" s="40"/>
      <c r="J72" s="40">
        <f>'B-Med &amp; Lrg C-I'!D54</f>
        <v>39450856.832659364</v>
      </c>
      <c r="K72" s="61">
        <f t="shared" si="7"/>
        <v>43</v>
      </c>
    </row>
    <row r="73" spans="1:11" ht="22.5" x14ac:dyDescent="0.3">
      <c r="A73" s="11">
        <f t="shared" si="5"/>
        <v>44</v>
      </c>
      <c r="B73" s="14" t="s">
        <v>96</v>
      </c>
      <c r="C73" s="40"/>
      <c r="D73" s="40">
        <f>'C-Med &amp; Lrg C-I'!G29</f>
        <v>1205850.847194691</v>
      </c>
      <c r="E73" s="40"/>
      <c r="F73" s="40">
        <f>'C-Med &amp; Lrg C-I'!H29</f>
        <v>6158908.9435631437</v>
      </c>
      <c r="G73" s="40"/>
      <c r="H73" s="40">
        <f>'C-Med &amp; Lrg C-I'!C54</f>
        <v>6750995.2149056643</v>
      </c>
      <c r="I73" s="40"/>
      <c r="J73" s="40">
        <f>'C-Med &amp; Lrg C-I'!D54</f>
        <v>7105627.5469770087</v>
      </c>
      <c r="K73" s="61">
        <f t="shared" si="7"/>
        <v>44</v>
      </c>
    </row>
    <row r="74" spans="1:11" ht="22.5" x14ac:dyDescent="0.3">
      <c r="A74" s="11">
        <f t="shared" si="5"/>
        <v>45</v>
      </c>
      <c r="B74" s="14" t="s">
        <v>97</v>
      </c>
      <c r="C74" s="40"/>
      <c r="D74" s="40">
        <f>'D-Med &amp; Lrg C-I'!G29</f>
        <v>112803.63347222487</v>
      </c>
      <c r="E74" s="40"/>
      <c r="F74" s="40">
        <f>'D-Med &amp; Lrg C-I'!H29</f>
        <v>597408.95246552653</v>
      </c>
      <c r="G74" s="40"/>
      <c r="H74" s="40">
        <f>'D-Med &amp; Lrg C-I'!C62</f>
        <v>692412.1249768564</v>
      </c>
      <c r="I74" s="40"/>
      <c r="J74" s="40">
        <f>'D-Med &amp; Lrg C-I'!D62</f>
        <v>677197.6590516133</v>
      </c>
      <c r="K74" s="61">
        <f t="shared" si="7"/>
        <v>45</v>
      </c>
    </row>
    <row r="75" spans="1:11" x14ac:dyDescent="0.3">
      <c r="A75" s="11">
        <f t="shared" si="5"/>
        <v>46</v>
      </c>
      <c r="B75" s="14"/>
      <c r="C75" s="40"/>
      <c r="D75" s="40"/>
      <c r="E75" s="40"/>
      <c r="F75" s="40"/>
      <c r="G75" s="40"/>
      <c r="H75" s="40"/>
      <c r="I75" s="40"/>
      <c r="J75" s="18"/>
      <c r="K75" s="61">
        <f t="shared" si="7"/>
        <v>46</v>
      </c>
    </row>
    <row r="76" spans="1:11" x14ac:dyDescent="0.3">
      <c r="A76" s="11">
        <f t="shared" si="5"/>
        <v>47</v>
      </c>
      <c r="B76" s="127" t="s">
        <v>26</v>
      </c>
      <c r="C76" s="40">
        <f>'San Diego Unified Port District'!G13</f>
        <v>0</v>
      </c>
      <c r="D76" s="40"/>
      <c r="E76" s="40">
        <f>'San Diego Unified Port District'!H13</f>
        <v>0</v>
      </c>
      <c r="F76" s="40"/>
      <c r="G76" s="40">
        <f>'San Diego Unified Port District'!C46</f>
        <v>0</v>
      </c>
      <c r="H76" s="40"/>
      <c r="I76" s="40">
        <f>'San Diego Unified Port District'!D46</f>
        <v>0</v>
      </c>
      <c r="J76" s="18"/>
      <c r="K76" s="61">
        <f t="shared" si="7"/>
        <v>47</v>
      </c>
    </row>
    <row r="77" spans="1:11" x14ac:dyDescent="0.3">
      <c r="A77" s="11">
        <f t="shared" si="5"/>
        <v>48</v>
      </c>
      <c r="B77" s="14" t="s">
        <v>74</v>
      </c>
      <c r="C77" s="40"/>
      <c r="D77" s="40">
        <f>'San Diego Unified Port District'!G23</f>
        <v>6585</v>
      </c>
      <c r="E77" s="40"/>
      <c r="F77" s="40">
        <f>'San Diego Unified Port District'!H23</f>
        <v>6517.5</v>
      </c>
      <c r="G77" s="40"/>
      <c r="H77" s="40">
        <f>'San Diego Unified Port District'!C56</f>
        <v>7417.5</v>
      </c>
      <c r="I77" s="40"/>
      <c r="J77" s="18">
        <f>'San Diego Unified Port District'!D49</f>
        <v>7990</v>
      </c>
      <c r="K77" s="61">
        <f t="shared" si="7"/>
        <v>48</v>
      </c>
    </row>
    <row r="78" spans="1:11" x14ac:dyDescent="0.3">
      <c r="A78" s="11">
        <f t="shared" si="5"/>
        <v>49</v>
      </c>
      <c r="B78" s="14" t="s">
        <v>77</v>
      </c>
      <c r="C78" s="40"/>
      <c r="D78" s="40">
        <f>'San Diego Unified Port District'!G35</f>
        <v>0</v>
      </c>
      <c r="E78" s="40"/>
      <c r="F78" s="40">
        <f>'San Diego Unified Port District'!H35</f>
        <v>0</v>
      </c>
      <c r="G78" s="40"/>
      <c r="H78" s="40">
        <f>'San Diego Unified Port District'!C68</f>
        <v>0</v>
      </c>
      <c r="I78" s="40"/>
      <c r="J78" s="18">
        <f>'San Diego Unified Port District'!D68</f>
        <v>0</v>
      </c>
      <c r="K78" s="61">
        <f t="shared" si="7"/>
        <v>49</v>
      </c>
    </row>
    <row r="79" spans="1:11" x14ac:dyDescent="0.3">
      <c r="A79" s="11">
        <f t="shared" si="5"/>
        <v>50</v>
      </c>
      <c r="B79" s="14"/>
      <c r="C79" s="40"/>
      <c r="D79" s="40"/>
      <c r="E79" s="40"/>
      <c r="F79" s="40"/>
      <c r="G79" s="40"/>
      <c r="H79" s="40"/>
      <c r="I79" s="40"/>
      <c r="J79" s="18"/>
      <c r="K79" s="61">
        <f t="shared" si="7"/>
        <v>50</v>
      </c>
    </row>
    <row r="80" spans="1:11" x14ac:dyDescent="0.3">
      <c r="A80" s="11">
        <f t="shared" si="5"/>
        <v>51</v>
      </c>
      <c r="B80" s="14" t="s">
        <v>78</v>
      </c>
      <c r="C80" s="40"/>
      <c r="D80" s="40"/>
      <c r="E80" s="40"/>
      <c r="F80" s="40"/>
      <c r="G80" s="40"/>
      <c r="H80" s="40"/>
      <c r="I80" s="40"/>
      <c r="J80" s="18"/>
      <c r="K80" s="61">
        <f t="shared" si="7"/>
        <v>51</v>
      </c>
    </row>
    <row r="81" spans="1:11" x14ac:dyDescent="0.3">
      <c r="A81" s="11">
        <f t="shared" si="5"/>
        <v>52</v>
      </c>
      <c r="B81" s="14" t="s">
        <v>79</v>
      </c>
      <c r="C81" s="40">
        <f>C26*C51</f>
        <v>354146.85120540549</v>
      </c>
      <c r="D81" s="40"/>
      <c r="E81" s="40">
        <f>E26*E51</f>
        <v>391091.49848191388</v>
      </c>
      <c r="F81" s="40"/>
      <c r="G81" s="40">
        <f>G26*G51</f>
        <v>443520.06170349906</v>
      </c>
      <c r="H81" s="40"/>
      <c r="I81" s="40">
        <f>I26*I51</f>
        <v>482893.62495152774</v>
      </c>
      <c r="J81" s="18"/>
      <c r="K81" s="61">
        <f t="shared" si="7"/>
        <v>52</v>
      </c>
    </row>
    <row r="82" spans="1:11" x14ac:dyDescent="0.3">
      <c r="A82" s="11">
        <f t="shared" si="5"/>
        <v>53</v>
      </c>
      <c r="B82" s="14" t="s">
        <v>80</v>
      </c>
      <c r="C82" s="40"/>
      <c r="D82" s="40">
        <f>'PA-T-1'!G33</f>
        <v>698885.23231291247</v>
      </c>
      <c r="E82" s="40"/>
      <c r="F82" s="40">
        <f>'PA-T-1'!H33</f>
        <v>714985.30098803958</v>
      </c>
      <c r="G82" s="40"/>
      <c r="H82" s="40">
        <f>'PA-T-1'!C62</f>
        <v>798304.00338841917</v>
      </c>
      <c r="I82" s="40"/>
      <c r="J82" s="18">
        <f>'PA-T-1'!D62</f>
        <v>793411.4463995035</v>
      </c>
      <c r="K82" s="61">
        <f t="shared" si="7"/>
        <v>53</v>
      </c>
    </row>
    <row r="83" spans="1:11" x14ac:dyDescent="0.3">
      <c r="A83" s="11">
        <f t="shared" si="5"/>
        <v>54</v>
      </c>
      <c r="B83" s="14"/>
      <c r="C83" s="40"/>
      <c r="D83" s="40"/>
      <c r="E83" s="40"/>
      <c r="F83" s="40"/>
      <c r="G83" s="40"/>
      <c r="H83" s="40"/>
      <c r="I83" s="40"/>
      <c r="J83" s="18"/>
      <c r="K83" s="61">
        <f t="shared" si="7"/>
        <v>54</v>
      </c>
    </row>
    <row r="84" spans="1:11" x14ac:dyDescent="0.3">
      <c r="A84" s="11">
        <f t="shared" si="5"/>
        <v>55</v>
      </c>
      <c r="B84" s="14" t="str">
        <f>'A-Revenues@Changed Rates'!B84</f>
        <v>Street Lighting</v>
      </c>
      <c r="C84" s="40">
        <f t="shared" ref="C84:J84" si="8">C29*C53</f>
        <v>303503.85115951486</v>
      </c>
      <c r="D84" s="40">
        <f t="shared" si="8"/>
        <v>0</v>
      </c>
      <c r="E84" s="40">
        <f t="shared" si="8"/>
        <v>305987.87096028967</v>
      </c>
      <c r="F84" s="40">
        <f t="shared" si="8"/>
        <v>0</v>
      </c>
      <c r="G84" s="40">
        <f t="shared" si="8"/>
        <v>304866.68137758574</v>
      </c>
      <c r="H84" s="40">
        <f t="shared" si="8"/>
        <v>0</v>
      </c>
      <c r="I84" s="40">
        <f t="shared" si="8"/>
        <v>315130.18360661156</v>
      </c>
      <c r="J84" s="40">
        <f t="shared" si="8"/>
        <v>0</v>
      </c>
      <c r="K84" s="61">
        <f t="shared" si="7"/>
        <v>55</v>
      </c>
    </row>
    <row r="85" spans="1:11" x14ac:dyDescent="0.3">
      <c r="A85" s="11">
        <f t="shared" si="5"/>
        <v>56</v>
      </c>
      <c r="B85" s="14"/>
      <c r="C85" s="40"/>
      <c r="D85" s="40"/>
      <c r="E85" s="40"/>
      <c r="F85" s="40"/>
      <c r="G85" s="40"/>
      <c r="H85" s="40"/>
      <c r="I85" s="40"/>
      <c r="J85" s="18"/>
      <c r="K85" s="61">
        <f t="shared" si="7"/>
        <v>56</v>
      </c>
    </row>
    <row r="86" spans="1:11" x14ac:dyDescent="0.3">
      <c r="A86" s="11">
        <f t="shared" si="5"/>
        <v>57</v>
      </c>
      <c r="B86" s="14" t="str">
        <f>'A-Revenues@Changed Rates'!B86</f>
        <v>Standby</v>
      </c>
      <c r="C86" s="40">
        <v>0</v>
      </c>
      <c r="D86" s="40">
        <f>Standby!G31</f>
        <v>960051</v>
      </c>
      <c r="E86" s="40">
        <v>0</v>
      </c>
      <c r="F86" s="40">
        <f>Standby!H31</f>
        <v>960051</v>
      </c>
      <c r="G86" s="40">
        <v>0</v>
      </c>
      <c r="H86" s="40">
        <f>Standby!C58</f>
        <v>960051</v>
      </c>
      <c r="I86" s="40">
        <v>0</v>
      </c>
      <c r="J86" s="40">
        <f>Standby!D58</f>
        <v>960051</v>
      </c>
      <c r="K86" s="61">
        <f t="shared" si="7"/>
        <v>57</v>
      </c>
    </row>
    <row r="87" spans="1:11" x14ac:dyDescent="0.3">
      <c r="A87" s="11">
        <f>A86+1</f>
        <v>58</v>
      </c>
      <c r="B87" s="14"/>
      <c r="C87" s="40"/>
      <c r="D87" s="40"/>
      <c r="E87" s="40"/>
      <c r="F87" s="40"/>
      <c r="G87" s="40"/>
      <c r="H87" s="40"/>
      <c r="I87" s="40"/>
      <c r="J87" s="18"/>
      <c r="K87" s="61">
        <f t="shared" si="7"/>
        <v>58</v>
      </c>
    </row>
    <row r="88" spans="1:11" x14ac:dyDescent="0.3">
      <c r="A88" s="11">
        <f>A87+1</f>
        <v>59</v>
      </c>
      <c r="B88" s="19" t="s">
        <v>98</v>
      </c>
      <c r="C88" s="64">
        <f t="shared" ref="C88:J88" si="9">SUM(C66:C86)</f>
        <v>39200820.398980677</v>
      </c>
      <c r="D88" s="64">
        <f t="shared" si="9"/>
        <v>35731902.5847442</v>
      </c>
      <c r="E88" s="64">
        <f t="shared" si="9"/>
        <v>41984689.528534167</v>
      </c>
      <c r="F88" s="64">
        <f t="shared" si="9"/>
        <v>42684085.068167441</v>
      </c>
      <c r="G88" s="64">
        <f t="shared" si="9"/>
        <v>51030046.559169546</v>
      </c>
      <c r="H88" s="64">
        <f t="shared" si="9"/>
        <v>46933363.26851058</v>
      </c>
      <c r="I88" s="64">
        <f t="shared" si="9"/>
        <v>66541566.649069957</v>
      </c>
      <c r="J88" s="64">
        <f t="shared" si="9"/>
        <v>48995134.485087484</v>
      </c>
      <c r="K88" s="11">
        <f t="shared" si="7"/>
        <v>59</v>
      </c>
    </row>
    <row r="89" spans="1:11" x14ac:dyDescent="0.3">
      <c r="A89" s="11">
        <f>A88+1</f>
        <v>60</v>
      </c>
      <c r="B89" s="19"/>
      <c r="C89" s="62"/>
      <c r="D89" s="62"/>
      <c r="E89" s="62"/>
      <c r="F89" s="62"/>
      <c r="G89" s="62"/>
      <c r="H89" s="62"/>
      <c r="I89" s="62"/>
      <c r="J89" s="62"/>
      <c r="K89" s="11">
        <f t="shared" si="7"/>
        <v>60</v>
      </c>
    </row>
    <row r="90" spans="1:11" ht="19.5" thickBot="1" x14ac:dyDescent="0.35">
      <c r="A90" s="11">
        <f>A89+1</f>
        <v>61</v>
      </c>
      <c r="B90" s="19" t="s">
        <v>99</v>
      </c>
      <c r="C90" s="18"/>
      <c r="D90" s="67">
        <f>D88+C88</f>
        <v>74932722.983724877</v>
      </c>
      <c r="E90" s="18"/>
      <c r="F90" s="67">
        <f>F88+E88</f>
        <v>84668774.596701607</v>
      </c>
      <c r="G90" s="62"/>
      <c r="H90" s="66">
        <f>H88+G88</f>
        <v>97963409.827680126</v>
      </c>
      <c r="I90" s="62"/>
      <c r="J90" s="66">
        <f>J88+I88</f>
        <v>115536701.13415745</v>
      </c>
      <c r="K90" s="11">
        <f t="shared" si="7"/>
        <v>61</v>
      </c>
    </row>
    <row r="91" spans="1:11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4"/>
    </row>
    <row r="92" spans="1:11" ht="19.5" x14ac:dyDescent="0.35">
      <c r="B92" s="25" t="str">
        <f>'A-Revenues@Changed Rates'!B92</f>
        <v xml:space="preserve">NOTES: </v>
      </c>
      <c r="C92" s="59"/>
      <c r="D92" s="59"/>
      <c r="E92" s="59"/>
      <c r="F92" s="59"/>
    </row>
    <row r="93" spans="1:11" ht="22.5" x14ac:dyDescent="0.3">
      <c r="A93" s="77">
        <v>4</v>
      </c>
      <c r="B93" s="1" t="str">
        <f>'A-Revenues@Changed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1" ht="22.5" x14ac:dyDescent="0.3">
      <c r="A94" s="77"/>
      <c r="B94" s="1" t="str">
        <f>'A-Revenues@Changed Rates'!B94</f>
        <v>The derivation of revenues for Medium &amp; Large Commercial/Industrial, San Diego Unified Port District, Schedule PA-T-1, and Standby customers are shown on Pages BG-6, BG-7, BG-8, BG-9, BG-13, and BG-14.</v>
      </c>
    </row>
    <row r="95" spans="1:11" ht="22.5" x14ac:dyDescent="0.3">
      <c r="A95" s="77">
        <v>5</v>
      </c>
      <c r="B95" s="1" t="str">
        <f>'A-Revenues@Changed Rates'!B95</f>
        <v>Revenues for Medium and Large Commercial/Industrial customers include revenues of Standard Customers that have Maximum On-Peak Demand rates and Maximum Demand at the Time of System Peak rates based on SDG&amp;E's</v>
      </c>
    </row>
    <row r="96" spans="1:11" x14ac:dyDescent="0.3">
      <c r="A96" s="7"/>
      <c r="B96" s="1" t="str">
        <f>'A-Revenues@Changed Rates'!B96</f>
        <v>on-peak period of 4-9 p.m. everyday year-round. Grandfathered Maximum On-Peak Demand rates and Maximum Demand at the Time of System Peak rates, which are based on SDG&amp;E's</v>
      </c>
    </row>
    <row r="97" spans="1:2" x14ac:dyDescent="0.3">
      <c r="A97" s="7"/>
      <c r="B97" s="1" t="str">
        <f>'A-Revenues@Changed Rates'!B97</f>
        <v>previous on-peak period of 11 a.m. - 6 p.m. summer and 5-8 p.m. winter on weekdays, are not included due to assumed revenue neutrality.</v>
      </c>
    </row>
    <row r="98" spans="1:2" x14ac:dyDescent="0.3">
      <c r="A98" s="7"/>
    </row>
    <row r="99" spans="1:2" x14ac:dyDescent="0.3">
      <c r="A99" s="7"/>
    </row>
    <row r="100" spans="1:2" x14ac:dyDescent="0.3">
      <c r="A100" s="7"/>
    </row>
    <row r="101" spans="1:2" x14ac:dyDescent="0.3">
      <c r="A101" s="7"/>
    </row>
    <row r="102" spans="1:2" x14ac:dyDescent="0.3">
      <c r="A102" s="7"/>
    </row>
    <row r="103" spans="1:2" x14ac:dyDescent="0.3">
      <c r="A103" s="7"/>
    </row>
    <row r="104" spans="1:2" x14ac:dyDescent="0.3">
      <c r="A104" s="7"/>
    </row>
    <row r="105" spans="1:2" x14ac:dyDescent="0.3">
      <c r="A105" s="7"/>
    </row>
    <row r="106" spans="1:2" x14ac:dyDescent="0.3">
      <c r="A106" s="7"/>
    </row>
    <row r="107" spans="1:2" x14ac:dyDescent="0.3">
      <c r="A107" s="7"/>
    </row>
    <row r="108" spans="1:2" x14ac:dyDescent="0.3">
      <c r="A108" s="7"/>
    </row>
    <row r="109" spans="1:2" x14ac:dyDescent="0.3">
      <c r="A109" s="7"/>
    </row>
    <row r="110" spans="1:2" x14ac:dyDescent="0.3">
      <c r="A110" s="7"/>
    </row>
    <row r="111" spans="1:2" x14ac:dyDescent="0.3">
      <c r="A111" s="7"/>
    </row>
    <row r="112" spans="1:2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</sheetData>
  <mergeCells count="16">
    <mergeCell ref="C7:D7"/>
    <mergeCell ref="C39:D39"/>
    <mergeCell ref="C62:D62"/>
    <mergeCell ref="A1:K1"/>
    <mergeCell ref="A2:K2"/>
    <mergeCell ref="A3:K3"/>
    <mergeCell ref="A4:K4"/>
    <mergeCell ref="E7:F7"/>
    <mergeCell ref="G7:H7"/>
    <mergeCell ref="I7:J7"/>
    <mergeCell ref="G62:H62"/>
    <mergeCell ref="I62:J62"/>
    <mergeCell ref="G39:H39"/>
    <mergeCell ref="I39:J39"/>
    <mergeCell ref="E39:F39"/>
    <mergeCell ref="E62:F62"/>
  </mergeCells>
  <phoneticPr fontId="0" type="noConversion"/>
  <printOptions horizontalCentered="1"/>
  <pageMargins left="0.25" right="0.25" top="0.5" bottom="0.5" header="0.25" footer="0.25"/>
  <pageSetup scale="39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64"/>
  <sheetViews>
    <sheetView zoomScale="70" zoomScaleNormal="70" zoomScaleSheetLayoutView="70" workbookViewId="0">
      <selection activeCell="B37" sqref="B37"/>
    </sheetView>
  </sheetViews>
  <sheetFormatPr defaultColWidth="9.140625" defaultRowHeight="18.75" x14ac:dyDescent="0.3"/>
  <cols>
    <col min="1" max="1" width="5.5703125" style="1" customWidth="1"/>
    <col min="2" max="2" width="81.5703125" style="1" customWidth="1"/>
    <col min="3" max="3" width="19.140625" style="1" bestFit="1" customWidth="1"/>
    <col min="4" max="4" width="19.57031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20.5703125" style="1" bestFit="1" customWidth="1"/>
    <col min="12" max="12" width="19.42578125" style="1" bestFit="1" customWidth="1"/>
    <col min="13" max="13" width="5.5703125" style="1" bestFit="1" customWidth="1"/>
    <col min="14" max="14" width="16.5703125" style="1" bestFit="1" customWidth="1"/>
    <col min="15" max="16384" width="9.140625" style="1"/>
  </cols>
  <sheetData>
    <row r="1" spans="1:13" x14ac:dyDescent="0.3">
      <c r="A1" s="426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x14ac:dyDescent="0.3">
      <c r="A2" s="426" t="s">
        <v>1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13" x14ac:dyDescent="0.3">
      <c r="A3" s="426" t="s">
        <v>104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1:13" x14ac:dyDescent="0.3">
      <c r="A4" s="425" t="str">
        <f>'A-Billing Determinants'!A5</f>
        <v>Rate Effective Period - Twelve Months Ending December 31, 2025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6" spans="1:13" x14ac:dyDescent="0.3">
      <c r="A6" s="8"/>
      <c r="B6" s="8"/>
      <c r="C6" s="9" t="s">
        <v>105</v>
      </c>
      <c r="D6" s="10"/>
      <c r="E6" s="9" t="s">
        <v>106</v>
      </c>
      <c r="F6" s="10"/>
      <c r="G6" s="9" t="s">
        <v>107</v>
      </c>
      <c r="H6" s="10"/>
      <c r="I6" s="9" t="s">
        <v>108</v>
      </c>
      <c r="J6" s="10"/>
      <c r="K6" s="9" t="s">
        <v>109</v>
      </c>
      <c r="L6" s="10"/>
      <c r="M6" s="8"/>
    </row>
    <row r="7" spans="1:13" x14ac:dyDescent="0.3">
      <c r="A7" s="11"/>
      <c r="B7" s="11"/>
      <c r="C7" s="427">
        <v>45901</v>
      </c>
      <c r="D7" s="428"/>
      <c r="E7" s="427">
        <v>45931</v>
      </c>
      <c r="F7" s="428"/>
      <c r="G7" s="427">
        <v>45962</v>
      </c>
      <c r="H7" s="428"/>
      <c r="I7" s="427">
        <v>45992</v>
      </c>
      <c r="J7" s="428"/>
      <c r="K7" s="427" t="s">
        <v>61</v>
      </c>
      <c r="L7" s="428"/>
      <c r="M7" s="11"/>
    </row>
    <row r="8" spans="1:13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5" t="s">
        <v>68</v>
      </c>
      <c r="L8" s="16"/>
      <c r="M8" s="11" t="s">
        <v>8</v>
      </c>
    </row>
    <row r="9" spans="1:13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69</v>
      </c>
      <c r="L9" s="17" t="s">
        <v>70</v>
      </c>
      <c r="M9" s="17" t="s">
        <v>10</v>
      </c>
    </row>
    <row r="10" spans="1:1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">
      <c r="A11" s="11">
        <v>1</v>
      </c>
      <c r="B11" s="14" t="s">
        <v>17</v>
      </c>
      <c r="C11" s="18">
        <f>'B-Billing Determinants'!G12</f>
        <v>696891131.78545249</v>
      </c>
      <c r="D11" s="18"/>
      <c r="E11" s="18">
        <f>'B-Billing Determinants'!I12</f>
        <v>503976555.51533151</v>
      </c>
      <c r="F11" s="18"/>
      <c r="G11" s="18">
        <f>'B-Billing Determinants'!K12</f>
        <v>424076250.71392423</v>
      </c>
      <c r="H11" s="18"/>
      <c r="I11" s="18">
        <f>'B-Billing Determinants'!M12</f>
        <v>539694366.65000427</v>
      </c>
      <c r="J11" s="18"/>
      <c r="K11" s="47">
        <f>SUM('A-Revenues@Changed Rates'!C11,'A-Revenues@Changed Rates'!E11,'A-Revenues@Changed Rates'!G11,'A-Revenues@Changed Rates'!I11,'B-Revenues@Changed Rates'!C11,'B-Revenues@Changed Rates'!E11,'B-Revenues@Changed Rates'!G11,'B-Revenues@Changed Rates'!I11,'C-Revenues@Changed Rates'!C11,'C-Revenues@Changed Rates'!E11,'C-Revenues@Changed Rates'!G11,'C-Revenues@Changed Rates'!I11)</f>
        <v>5762626942.7376375</v>
      </c>
      <c r="L11" s="47"/>
      <c r="M11" s="11">
        <v>1</v>
      </c>
    </row>
    <row r="12" spans="1:13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1">
        <f>M11+1</f>
        <v>2</v>
      </c>
    </row>
    <row r="13" spans="1:13" x14ac:dyDescent="0.3">
      <c r="A13" s="11">
        <f t="shared" ref="A13:A33" si="0">A12+1</f>
        <v>3</v>
      </c>
      <c r="B13" s="14" t="s">
        <v>71</v>
      </c>
      <c r="C13" s="18">
        <f>'B-Billing Determinants'!G14</f>
        <v>241455993.41200775</v>
      </c>
      <c r="D13" s="18"/>
      <c r="E13" s="18">
        <f>'B-Billing Determinants'!I14</f>
        <v>214159409.97047323</v>
      </c>
      <c r="F13" s="18"/>
      <c r="G13" s="18">
        <f>'B-Billing Determinants'!K14</f>
        <v>197828256.87204242</v>
      </c>
      <c r="H13" s="18"/>
      <c r="I13" s="18">
        <f>'B-Billing Determinants'!M14</f>
        <v>190835621.55890608</v>
      </c>
      <c r="J13" s="18"/>
      <c r="K13" s="47">
        <f>SUM('A-Revenues@Changed Rates'!C13,'A-Revenues@Changed Rates'!E13,'A-Revenues@Changed Rates'!G13,'A-Revenues@Changed Rates'!I13,'B-Revenues@Changed Rates'!C13,'B-Revenues@Changed Rates'!E13,'B-Revenues@Changed Rates'!G13,'B-Revenues@Changed Rates'!I13,'C-Revenues@Changed Rates'!C13,'C-Revenues@Changed Rates'!E13,'C-Revenues@Changed Rates'!G13,'C-Revenues@Changed Rates'!I13)</f>
        <v>2428289241.102088</v>
      </c>
      <c r="L13" s="47"/>
      <c r="M13" s="11">
        <f t="shared" ref="M13:M33" si="1">M12+1</f>
        <v>3</v>
      </c>
    </row>
    <row r="14" spans="1:13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47"/>
      <c r="L14" s="47"/>
      <c r="M14" s="11">
        <f t="shared" si="1"/>
        <v>4</v>
      </c>
    </row>
    <row r="15" spans="1:13" x14ac:dyDescent="0.3">
      <c r="A15" s="11">
        <f t="shared" si="0"/>
        <v>5</v>
      </c>
      <c r="B15" s="14" t="s">
        <v>110</v>
      </c>
      <c r="C15" s="18">
        <f>'B-Billing Determinants'!G16</f>
        <v>915168821.98981917</v>
      </c>
      <c r="D15" s="18"/>
      <c r="E15" s="18">
        <f>'B-Billing Determinants'!I16</f>
        <v>830726294.65735018</v>
      </c>
      <c r="F15" s="18"/>
      <c r="G15" s="18">
        <f>'B-Billing Determinants'!K16</f>
        <v>757391548.70867193</v>
      </c>
      <c r="H15" s="18"/>
      <c r="I15" s="18">
        <f>'B-Billing Determinants'!M16</f>
        <v>759868650.98507214</v>
      </c>
      <c r="J15" s="18"/>
      <c r="K15" s="47">
        <f>SUM('A-Revenues@Changed Rates'!C15,'A-Revenues@Changed Rates'!E15,'A-Revenues@Changed Rates'!G15,'A-Revenues@Changed Rates'!I15,'B-Revenues@Changed Rates'!C15,'B-Revenues@Changed Rates'!E15,'B-Revenues@Changed Rates'!G15,'B-Revenues@Changed Rates'!I15,'C-Revenues@Changed Rates'!C15,'C-Revenues@Changed Rates'!E15,'C-Revenues@Changed Rates'!G15,'C-Revenues@Changed Rates'!I15)</f>
        <v>9360728509.4514618</v>
      </c>
      <c r="L15" s="47"/>
      <c r="M15" s="11">
        <f t="shared" si="1"/>
        <v>5</v>
      </c>
    </row>
    <row r="16" spans="1:13" x14ac:dyDescent="0.3">
      <c r="A16" s="11">
        <f t="shared" si="0"/>
        <v>6</v>
      </c>
      <c r="B16" s="14" t="s">
        <v>73</v>
      </c>
      <c r="C16" s="18"/>
      <c r="D16" s="18">
        <f>'B-Billing Determinants'!H17</f>
        <v>0</v>
      </c>
      <c r="E16" s="18"/>
      <c r="F16" s="18">
        <f>'B-Billing Determinants'!J17</f>
        <v>0</v>
      </c>
      <c r="G16" s="18"/>
      <c r="H16" s="18">
        <f>'B-Billing Determinants'!L17</f>
        <v>0</v>
      </c>
      <c r="I16" s="18"/>
      <c r="J16" s="18">
        <f>'B-Billing Determinants'!N17</f>
        <v>0</v>
      </c>
      <c r="K16" s="47"/>
      <c r="L16" s="47">
        <f>SUM('A-Revenues@Changed Rates'!D16,'A-Revenues@Changed Rates'!F16,'A-Revenues@Changed Rates'!H16,'A-Revenues@Changed Rates'!J16,'B-Revenues@Changed Rates'!D16,'B-Revenues@Changed Rates'!F16,'B-Revenues@Changed Rates'!H16,'B-Revenues@Changed Rates'!J16,'C-Revenues@Changed Rates'!D16,'C-Revenues@Changed Rates'!F16,'C-Revenues@Changed Rates'!H16,'C-Revenues@Changed Rates'!J16)</f>
        <v>0</v>
      </c>
      <c r="M16" s="11">
        <f t="shared" si="1"/>
        <v>6</v>
      </c>
    </row>
    <row r="17" spans="1:13" x14ac:dyDescent="0.3">
      <c r="A17" s="11">
        <f t="shared" si="0"/>
        <v>7</v>
      </c>
      <c r="B17" s="14" t="s">
        <v>74</v>
      </c>
      <c r="C17" s="18"/>
      <c r="D17" s="18">
        <f>'B-Billing Determinants'!H18</f>
        <v>2203987.4338490153</v>
      </c>
      <c r="E17" s="18"/>
      <c r="F17" s="18">
        <f>'B-Billing Determinants'!J18</f>
        <v>2000706.7405149366</v>
      </c>
      <c r="G17" s="18"/>
      <c r="H17" s="18">
        <f>'B-Billing Determinants'!L18</f>
        <v>1825706.6436310154</v>
      </c>
      <c r="I17" s="18"/>
      <c r="J17" s="18">
        <f>'B-Billing Determinants'!N18</f>
        <v>1822396.9827174873</v>
      </c>
      <c r="K17" s="47"/>
      <c r="L17" s="47">
        <f>SUM('A-Revenues@Changed Rates'!D17,'A-Revenues@Changed Rates'!F17,'A-Revenues@Changed Rates'!H17,'A-Revenues@Changed Rates'!J17,'B-Revenues@Changed Rates'!D17,'B-Revenues@Changed Rates'!F17,'B-Revenues@Changed Rates'!H17,'B-Revenues@Changed Rates'!J17,'C-Revenues@Changed Rates'!D17,'C-Revenues@Changed Rates'!F17,'C-Revenues@Changed Rates'!H17,'C-Revenues@Changed Rates'!J17)</f>
        <v>22535116.441714648</v>
      </c>
      <c r="M17" s="11">
        <f t="shared" si="1"/>
        <v>7</v>
      </c>
    </row>
    <row r="18" spans="1:13" x14ac:dyDescent="0.3">
      <c r="A18" s="11">
        <f t="shared" si="0"/>
        <v>8</v>
      </c>
      <c r="B18" s="14" t="str">
        <f>'A-Revenues@Changed Rates'!B18</f>
        <v xml:space="preserve">     Maximum On-Peak Period Demand-Standard Customers</v>
      </c>
      <c r="C18" s="18"/>
      <c r="D18" s="18">
        <f>'B-Billing Determinants'!H19</f>
        <v>1948099.2830126781</v>
      </c>
      <c r="E18" s="18"/>
      <c r="F18" s="18">
        <f>'B-Billing Determinants'!J19</f>
        <v>1768676.5675969934</v>
      </c>
      <c r="G18" s="18"/>
      <c r="H18" s="18">
        <f>'B-Billing Determinants'!L19</f>
        <v>1625043.2537790933</v>
      </c>
      <c r="I18" s="18"/>
      <c r="J18" s="18">
        <f>'B-Billing Determinants'!N19</f>
        <v>1592244.3422798486</v>
      </c>
      <c r="K18" s="47"/>
      <c r="L18" s="47">
        <f>SUM('A-Revenues@Changed Rates'!D18,'A-Revenues@Changed Rates'!F18,'A-Revenues@Changed Rates'!H18,'A-Revenues@Changed Rates'!J18,'B-Revenues@Changed Rates'!D18,'B-Revenues@Changed Rates'!F18,'B-Revenues@Changed Rates'!H18,'B-Revenues@Changed Rates'!J18,'C-Revenues@Changed Rates'!D18,'C-Revenues@Changed Rates'!F18,'C-Revenues@Changed Rates'!H18,'C-Revenues@Changed Rates'!J18)</f>
        <v>19932787.405617971</v>
      </c>
      <c r="M18" s="11">
        <f t="shared" si="1"/>
        <v>8</v>
      </c>
    </row>
    <row r="19" spans="1:13" x14ac:dyDescent="0.3">
      <c r="A19" s="11">
        <f t="shared" si="0"/>
        <v>9</v>
      </c>
      <c r="B19" s="14" t="str">
        <f>'A-Revenues@Changed Rates'!B19</f>
        <v xml:space="preserve">     Maximum Demand at the Time of System Peak-Standard Customers</v>
      </c>
      <c r="C19" s="18"/>
      <c r="D19" s="18">
        <f>'B-Billing Determinants'!H20</f>
        <v>137232.86039878041</v>
      </c>
      <c r="E19" s="18"/>
      <c r="F19" s="18">
        <f>'B-Billing Determinants'!J20</f>
        <v>124374.11536390237</v>
      </c>
      <c r="G19" s="18"/>
      <c r="H19" s="18">
        <f>'B-Billing Determinants'!L20</f>
        <v>123896.57445532805</v>
      </c>
      <c r="I19" s="18"/>
      <c r="J19" s="18">
        <f>'B-Billing Determinants'!N20</f>
        <v>146964.78019320499</v>
      </c>
      <c r="K19" s="47"/>
      <c r="L19" s="47">
        <f>SUM('A-Revenues@Changed Rates'!D19,'A-Revenues@Changed Rates'!F19,'A-Revenues@Changed Rates'!H19,'A-Revenues@Changed Rates'!J19,'B-Revenues@Changed Rates'!D19,'B-Revenues@Changed Rates'!F19,'B-Revenues@Changed Rates'!H19,'B-Revenues@Changed Rates'!J19,'C-Revenues@Changed Rates'!D19,'C-Revenues@Changed Rates'!F19,'C-Revenues@Changed Rates'!H19,'C-Revenues@Changed Rates'!J19)</f>
        <v>1521522.9458587805</v>
      </c>
      <c r="M19" s="11">
        <f t="shared" si="1"/>
        <v>9</v>
      </c>
    </row>
    <row r="20" spans="1:13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47"/>
      <c r="L20" s="47"/>
      <c r="M20" s="11">
        <f t="shared" si="1"/>
        <v>10</v>
      </c>
    </row>
    <row r="21" spans="1:13" x14ac:dyDescent="0.3">
      <c r="A21" s="11">
        <f t="shared" si="0"/>
        <v>11</v>
      </c>
      <c r="B21" s="127" t="s">
        <v>26</v>
      </c>
      <c r="C21" s="18">
        <f>'B-Billing Determinants'!G24</f>
        <v>40380</v>
      </c>
      <c r="D21" s="18"/>
      <c r="E21" s="18">
        <f>'B-Billing Determinants'!I24</f>
        <v>1332720</v>
      </c>
      <c r="F21" s="18"/>
      <c r="G21" s="18">
        <f>'B-Billing Determinants'!K24</f>
        <v>1353380</v>
      </c>
      <c r="H21" s="18"/>
      <c r="I21" s="18">
        <f>'B-Billing Determinants'!M24</f>
        <v>517860</v>
      </c>
      <c r="J21" s="18"/>
      <c r="K21" s="47">
        <f>SUM('A-Revenues@Changed Rates'!C21,'A-Revenues@Changed Rates'!E21,'A-Revenues@Changed Rates'!G21,'A-Revenues@Changed Rates'!I21,'B-Revenues@Changed Rates'!C21,'B-Revenues@Changed Rates'!E21,'B-Revenues@Changed Rates'!G21,'B-Revenues@Changed Rates'!I21,'C-Revenues@Changed Rates'!C21,'C-Revenues@Changed Rates'!E21,'C-Revenues@Changed Rates'!G21,'C-Revenues@Changed Rates'!I21)</f>
        <v>6718230</v>
      </c>
      <c r="L21" s="47"/>
      <c r="M21" s="11">
        <f t="shared" si="1"/>
        <v>11</v>
      </c>
    </row>
    <row r="22" spans="1:13" x14ac:dyDescent="0.3">
      <c r="A22" s="11">
        <f t="shared" si="0"/>
        <v>12</v>
      </c>
      <c r="B22" s="14" t="s">
        <v>74</v>
      </c>
      <c r="C22" s="18"/>
      <c r="D22" s="18">
        <f>'B-Billing Determinants'!H25</f>
        <v>7990</v>
      </c>
      <c r="E22" s="18"/>
      <c r="F22" s="18">
        <f>'B-Billing Determinants'!J25</f>
        <v>16940</v>
      </c>
      <c r="G22" s="18"/>
      <c r="H22" s="18">
        <f>'B-Billing Determinants'!L25</f>
        <v>16610</v>
      </c>
      <c r="I22" s="18"/>
      <c r="J22" s="18">
        <f>'B-Billing Determinants'!N25</f>
        <v>9790</v>
      </c>
      <c r="K22" s="47"/>
      <c r="L22" s="47">
        <f>SUM('A-Revenues@Changed Rates'!C22:J22,'B-Revenues@Changed Rates'!C22:J22,'C-Revenues@Changed Rates'!C22:J22)</f>
        <v>146006</v>
      </c>
      <c r="M22" s="11">
        <f t="shared" si="1"/>
        <v>12</v>
      </c>
    </row>
    <row r="23" spans="1:13" x14ac:dyDescent="0.3">
      <c r="A23" s="11">
        <f t="shared" si="0"/>
        <v>13</v>
      </c>
      <c r="B23" s="14" t="s">
        <v>77</v>
      </c>
      <c r="C23" s="18"/>
      <c r="D23" s="18">
        <f>'B-Billing Determinants'!H26</f>
        <v>0</v>
      </c>
      <c r="E23" s="18"/>
      <c r="F23" s="18">
        <f>'B-Billing Determinants'!J26</f>
        <v>0</v>
      </c>
      <c r="G23" s="18"/>
      <c r="H23" s="18">
        <f>'B-Billing Determinants'!L26</f>
        <v>7580</v>
      </c>
      <c r="I23" s="18"/>
      <c r="J23" s="18">
        <f>'B-Billing Determinants'!N26</f>
        <v>0</v>
      </c>
      <c r="K23" s="47"/>
      <c r="L23" s="47">
        <f>SUM('A-Revenues@Changed Rates'!C23:J23,'B-Revenues@Changed Rates'!C23:J23,'C-Revenues@Changed Rates'!C23:J23)</f>
        <v>7580</v>
      </c>
      <c r="M23" s="11">
        <f t="shared" si="1"/>
        <v>13</v>
      </c>
    </row>
    <row r="24" spans="1:13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47"/>
      <c r="L24" s="47"/>
      <c r="M24" s="11">
        <f t="shared" si="1"/>
        <v>14</v>
      </c>
    </row>
    <row r="25" spans="1:13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47"/>
      <c r="L25" s="47"/>
      <c r="M25" s="11">
        <f t="shared" si="1"/>
        <v>15</v>
      </c>
    </row>
    <row r="26" spans="1:13" x14ac:dyDescent="0.3">
      <c r="A26" s="11">
        <f t="shared" si="0"/>
        <v>16</v>
      </c>
      <c r="B26" s="14" t="s">
        <v>79</v>
      </c>
      <c r="C26" s="18">
        <f>'B-Billing Determinants'!G29</f>
        <v>13262986.915300764</v>
      </c>
      <c r="D26" s="18"/>
      <c r="E26" s="18">
        <f>'B-Billing Determinants'!I29</f>
        <v>12407756.148358615</v>
      </c>
      <c r="F26" s="18"/>
      <c r="G26" s="18">
        <f>'B-Billing Determinants'!K29</f>
        <v>10202678.444719139</v>
      </c>
      <c r="H26" s="18"/>
      <c r="I26" s="18">
        <f>'B-Billing Determinants'!M29</f>
        <v>9020115.0758860018</v>
      </c>
      <c r="J26" s="18"/>
      <c r="K26" s="47">
        <f>SUM('A-Revenues@Changed Rates'!C26,'A-Revenues@Changed Rates'!E26,'A-Revenues@Changed Rates'!G26,'A-Revenues@Changed Rates'!I26,'B-Revenues@Changed Rates'!C26,'B-Revenues@Changed Rates'!E26,'B-Revenues@Changed Rates'!G26,'B-Revenues@Changed Rates'!I26,'C-Revenues@Changed Rates'!C26,'C-Revenues@Changed Rates'!E26,'C-Revenues@Changed Rates'!G26,'C-Revenues@Changed Rates'!I26)</f>
        <v>119233769.10634334</v>
      </c>
      <c r="L26" s="47"/>
      <c r="M26" s="11">
        <f t="shared" si="1"/>
        <v>16</v>
      </c>
    </row>
    <row r="27" spans="1:13" x14ac:dyDescent="0.3">
      <c r="A27" s="11">
        <f t="shared" si="0"/>
        <v>17</v>
      </c>
      <c r="B27" s="14" t="s">
        <v>73</v>
      </c>
      <c r="C27" s="18">
        <f>'B-Billing Determinants'!G30</f>
        <v>21957609.857486788</v>
      </c>
      <c r="D27" s="18">
        <f>'B-Billing Determinants'!H30</f>
        <v>79266.958483741313</v>
      </c>
      <c r="E27" s="18">
        <f>'B-Billing Determinants'!I30</f>
        <v>21563167.661901116</v>
      </c>
      <c r="F27" s="18">
        <f>'B-Billing Determinants'!J30</f>
        <v>77843.02239303496</v>
      </c>
      <c r="G27" s="18">
        <f>'B-Billing Determinants'!K30</f>
        <v>18985959.067639023</v>
      </c>
      <c r="H27" s="18">
        <f>'B-Billing Determinants'!L30</f>
        <v>68851.05785754387</v>
      </c>
      <c r="I27" s="18">
        <f>'B-Billing Determinants'!M30</f>
        <v>18145457.05354834</v>
      </c>
      <c r="J27" s="18">
        <f>'B-Billing Determinants'!N30</f>
        <v>65803.044712915507</v>
      </c>
      <c r="K27" s="47">
        <f>SUM('A-Revenues@Changed Rates'!C27,'A-Revenues@Changed Rates'!E27,'A-Revenues@Changed Rates'!G27,'A-Revenues@Changed Rates'!I27,'B-Revenues@Changed Rates'!C27,'B-Revenues@Changed Rates'!E27,'B-Revenues@Changed Rates'!G27,'B-Revenues@Changed Rates'!I27,'C-Revenues@Changed Rates'!C27,'C-Revenues@Changed Rates'!E27,'C-Revenues@Changed Rates'!G27,'C-Revenues@Changed Rates'!I27)</f>
        <v>236072050.18631738</v>
      </c>
      <c r="L27" s="47">
        <f>SUM('A-Revenues@Changed Rates'!D27,'A-Revenues@Changed Rates'!F27,'A-Revenues@Changed Rates'!H27,'A-Revenues@Changed Rates'!J27,'B-Revenues@Changed Rates'!D27,'B-Revenues@Changed Rates'!F27,'B-Revenues@Changed Rates'!H27,'B-Revenues@Changed Rates'!J27,'C-Revenues@Changed Rates'!D27,'C-Revenues@Changed Rates'!F27,'C-Revenues@Changed Rates'!H27,'C-Revenues@Changed Rates'!J27)</f>
        <v>854290.25661975169</v>
      </c>
      <c r="M27" s="11">
        <f t="shared" si="1"/>
        <v>17</v>
      </c>
    </row>
    <row r="28" spans="1:13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47"/>
      <c r="L28" s="47"/>
      <c r="M28" s="11">
        <f t="shared" si="1"/>
        <v>18</v>
      </c>
    </row>
    <row r="29" spans="1:13" x14ac:dyDescent="0.3">
      <c r="A29" s="11">
        <f t="shared" si="0"/>
        <v>19</v>
      </c>
      <c r="B29" s="14" t="s">
        <v>39</v>
      </c>
      <c r="C29" s="18">
        <f>'B-Billing Determinants'!G32</f>
        <v>6515194.0268120952</v>
      </c>
      <c r="D29" s="18"/>
      <c r="E29" s="18">
        <f>'B-Billing Determinants'!I32</f>
        <v>6563322.3021757882</v>
      </c>
      <c r="F29" s="18"/>
      <c r="G29" s="18">
        <f>'B-Billing Determinants'!K32</f>
        <v>6961959.9399219016</v>
      </c>
      <c r="H29" s="18"/>
      <c r="I29" s="18">
        <f>'B-Billing Determinants'!M32</f>
        <v>7325918.825583267</v>
      </c>
      <c r="J29" s="18"/>
      <c r="K29" s="47">
        <f>SUM('A-Revenues@Changed Rates'!C29,'A-Revenues@Changed Rates'!E29,'A-Revenues@Changed Rates'!G29,'A-Revenues@Changed Rates'!I29,'B-Revenues@Changed Rates'!C29,'B-Revenues@Changed Rates'!E29,'B-Revenues@Changed Rates'!G29,'B-Revenues@Changed Rates'!I29,'C-Revenues@Changed Rates'!C29,'C-Revenues@Changed Rates'!E29,'C-Revenues@Changed Rates'!G29,'C-Revenues@Changed Rates'!I29)</f>
        <v>80243576.701337829</v>
      </c>
      <c r="L29" s="47"/>
      <c r="M29" s="11">
        <f t="shared" si="1"/>
        <v>19</v>
      </c>
    </row>
    <row r="30" spans="1:13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47"/>
      <c r="L30" s="47"/>
      <c r="M30" s="11">
        <f t="shared" si="1"/>
        <v>20</v>
      </c>
    </row>
    <row r="31" spans="1:13" x14ac:dyDescent="0.3">
      <c r="A31" s="11">
        <f t="shared" si="0"/>
        <v>21</v>
      </c>
      <c r="B31" s="14" t="s">
        <v>111</v>
      </c>
      <c r="C31" s="22"/>
      <c r="D31" s="22">
        <f>'B-Billing Determinants'!H36</f>
        <v>145506</v>
      </c>
      <c r="E31" s="22"/>
      <c r="F31" s="22">
        <f>'B-Billing Determinants'!J36</f>
        <v>145506</v>
      </c>
      <c r="G31" s="22"/>
      <c r="H31" s="22">
        <f>'B-Billing Determinants'!L36</f>
        <v>145506</v>
      </c>
      <c r="I31" s="22"/>
      <c r="J31" s="22">
        <f>'B-Billing Determinants'!N36</f>
        <v>145506</v>
      </c>
      <c r="K31" s="57"/>
      <c r="L31" s="57">
        <f>SUM('A-Revenues@Changed Rates'!D31,'A-Revenues@Changed Rates'!F31,'A-Revenues@Changed Rates'!H31,'A-Revenues@Changed Rates'!J31,'B-Revenues@Changed Rates'!D31,'B-Revenues@Changed Rates'!F31,'B-Revenues@Changed Rates'!H31,'B-Revenues@Changed Rates'!J31,'C-Revenues@Changed Rates'!D31,'C-Revenues@Changed Rates'!F31,'C-Revenues@Changed Rates'!H31,'C-Revenues@Changed Rates'!J31)</f>
        <v>1746072</v>
      </c>
      <c r="M31" s="11">
        <f t="shared" si="1"/>
        <v>21</v>
      </c>
    </row>
    <row r="32" spans="1:13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47"/>
      <c r="L32" s="47"/>
      <c r="M32" s="11">
        <f t="shared" si="1"/>
        <v>22</v>
      </c>
    </row>
    <row r="33" spans="1:13" ht="19.5" thickBot="1" x14ac:dyDescent="0.35">
      <c r="A33" s="11">
        <f t="shared" si="0"/>
        <v>23</v>
      </c>
      <c r="B33" s="19" t="s">
        <v>60</v>
      </c>
      <c r="C33" s="23">
        <f>SUM(C11:C31)</f>
        <v>1895292117.9868789</v>
      </c>
      <c r="D33" s="23"/>
      <c r="E33" s="23">
        <f>SUM(E11:E31)</f>
        <v>1590729226.2555907</v>
      </c>
      <c r="F33" s="23"/>
      <c r="G33" s="23">
        <f>SUM(G11:G31)</f>
        <v>1416800033.7469187</v>
      </c>
      <c r="H33" s="23"/>
      <c r="I33" s="23">
        <f>SUM(I11:I31)</f>
        <v>1525407990.1490002</v>
      </c>
      <c r="J33" s="23"/>
      <c r="K33" s="23">
        <f>SUM(K11:K31)</f>
        <v>17993912319.285187</v>
      </c>
      <c r="L33" s="58"/>
      <c r="M33" s="11">
        <f t="shared" si="1"/>
        <v>23</v>
      </c>
    </row>
    <row r="34" spans="1:13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4"/>
    </row>
    <row r="35" spans="1:13" x14ac:dyDescent="0.3">
      <c r="B35" s="97" t="str">
        <f>'A-Revenues@Changed Rates'!B35</f>
        <v xml:space="preserve">NOTES: 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1:13" ht="22.5" x14ac:dyDescent="0.3">
      <c r="A36" s="77">
        <v>1</v>
      </c>
      <c r="B36" s="74" t="s">
        <v>471</v>
      </c>
      <c r="C36" s="25"/>
      <c r="D36" s="25"/>
      <c r="E36" s="25"/>
      <c r="F36" s="25"/>
      <c r="G36" s="25"/>
      <c r="H36" s="25"/>
      <c r="I36" s="25"/>
      <c r="J36" s="25"/>
      <c r="K36" s="223"/>
      <c r="L36" s="25"/>
    </row>
    <row r="37" spans="1:13" x14ac:dyDescent="0.3">
      <c r="A37" s="7"/>
    </row>
    <row r="38" spans="1:13" x14ac:dyDescent="0.3">
      <c r="A38" s="8"/>
      <c r="B38" s="8"/>
      <c r="C38" s="9" t="s">
        <v>105</v>
      </c>
      <c r="D38" s="10"/>
      <c r="E38" s="9" t="s">
        <v>106</v>
      </c>
      <c r="F38" s="10"/>
      <c r="G38" s="9" t="s">
        <v>107</v>
      </c>
      <c r="H38" s="10"/>
      <c r="I38" s="9" t="s">
        <v>108</v>
      </c>
      <c r="J38" s="10"/>
      <c r="K38" s="9" t="s">
        <v>109</v>
      </c>
      <c r="L38" s="10"/>
      <c r="M38" s="8"/>
    </row>
    <row r="39" spans="1:13" x14ac:dyDescent="0.3">
      <c r="A39" s="11"/>
      <c r="B39" s="11"/>
      <c r="C39" s="427">
        <f>C7</f>
        <v>45901</v>
      </c>
      <c r="D39" s="428"/>
      <c r="E39" s="427">
        <f>E7</f>
        <v>45931</v>
      </c>
      <c r="F39" s="428"/>
      <c r="G39" s="427">
        <f>G7</f>
        <v>45962</v>
      </c>
      <c r="H39" s="428"/>
      <c r="I39" s="427">
        <f>I7</f>
        <v>45992</v>
      </c>
      <c r="J39" s="428"/>
      <c r="K39" s="12" t="s">
        <v>61</v>
      </c>
      <c r="L39" s="13"/>
      <c r="M39" s="11"/>
    </row>
    <row r="40" spans="1:13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5" t="s">
        <v>83</v>
      </c>
      <c r="L40" s="16"/>
      <c r="M40" s="11" t="s">
        <v>8</v>
      </c>
    </row>
    <row r="41" spans="1:13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69</v>
      </c>
      <c r="L41" s="17" t="s">
        <v>70</v>
      </c>
      <c r="M41" s="17" t="s">
        <v>10</v>
      </c>
    </row>
    <row r="42" spans="1:1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22.5" x14ac:dyDescent="0.3">
      <c r="A43" s="11">
        <f>A33+1</f>
        <v>24</v>
      </c>
      <c r="B43" s="14" t="s">
        <v>84</v>
      </c>
      <c r="C43" s="102">
        <f>'A-Revenues@Changed Rates'!C43</f>
        <v>8.9440000000000006E-2</v>
      </c>
      <c r="D43" s="47"/>
      <c r="E43" s="102">
        <f>C43</f>
        <v>8.9440000000000006E-2</v>
      </c>
      <c r="F43" s="47"/>
      <c r="G43" s="102">
        <f>E43</f>
        <v>8.9440000000000006E-2</v>
      </c>
      <c r="H43" s="47"/>
      <c r="I43" s="102">
        <f>G43</f>
        <v>8.9440000000000006E-2</v>
      </c>
      <c r="J43" s="47"/>
      <c r="K43" s="47"/>
      <c r="L43" s="47"/>
      <c r="M43" s="11">
        <f>M33+1</f>
        <v>24</v>
      </c>
    </row>
    <row r="44" spans="1:13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">
        <f>M43+1</f>
        <v>25</v>
      </c>
    </row>
    <row r="45" spans="1:13" ht="22.5" x14ac:dyDescent="0.3">
      <c r="A45" s="11">
        <f t="shared" ref="A45:A55" si="2">A44+1</f>
        <v>26</v>
      </c>
      <c r="B45" s="14" t="s">
        <v>85</v>
      </c>
      <c r="C45" s="102">
        <f>'A-Revenues@Changed Rates'!C45</f>
        <v>5.108E-2</v>
      </c>
      <c r="D45" s="47"/>
      <c r="E45" s="102">
        <f>C45</f>
        <v>5.108E-2</v>
      </c>
      <c r="F45" s="47"/>
      <c r="G45" s="102">
        <f>E45</f>
        <v>5.108E-2</v>
      </c>
      <c r="H45" s="47"/>
      <c r="I45" s="102">
        <f>G45</f>
        <v>5.108E-2</v>
      </c>
      <c r="J45" s="47"/>
      <c r="K45" s="47"/>
      <c r="L45" s="47"/>
      <c r="M45" s="11">
        <f t="shared" ref="M45:M55" si="3">M44+1</f>
        <v>26</v>
      </c>
    </row>
    <row r="46" spans="1:13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1">
        <f t="shared" si="3"/>
        <v>27</v>
      </c>
    </row>
    <row r="47" spans="1:13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1">
        <f t="shared" si="3"/>
        <v>28</v>
      </c>
    </row>
    <row r="48" spans="1:13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1">
        <f t="shared" si="3"/>
        <v>29</v>
      </c>
    </row>
    <row r="49" spans="1:13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1">
        <f t="shared" si="3"/>
        <v>30</v>
      </c>
    </row>
    <row r="50" spans="1:13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1">
        <f t="shared" si="3"/>
        <v>31</v>
      </c>
    </row>
    <row r="51" spans="1:13" ht="22.5" x14ac:dyDescent="0.3">
      <c r="A51" s="11">
        <f t="shared" si="2"/>
        <v>32</v>
      </c>
      <c r="B51" s="14" t="s">
        <v>88</v>
      </c>
      <c r="C51" s="102">
        <f>'B-Revenues@Changed Rates'!I51</f>
        <v>3.4770000000000002E-2</v>
      </c>
      <c r="D51" s="47"/>
      <c r="E51" s="102">
        <f>C51</f>
        <v>3.4770000000000002E-2</v>
      </c>
      <c r="F51" s="47"/>
      <c r="G51" s="102">
        <f>E51</f>
        <v>3.4770000000000002E-2</v>
      </c>
      <c r="H51" s="47"/>
      <c r="I51" s="102">
        <f>G51</f>
        <v>3.4770000000000002E-2</v>
      </c>
      <c r="J51" s="47"/>
      <c r="K51" s="47"/>
      <c r="L51" s="47"/>
      <c r="M51" s="11">
        <f t="shared" si="3"/>
        <v>32</v>
      </c>
    </row>
    <row r="52" spans="1:13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1">
        <f t="shared" si="3"/>
        <v>33</v>
      </c>
    </row>
    <row r="53" spans="1:13" ht="22.5" x14ac:dyDescent="0.3">
      <c r="A53" s="11">
        <f t="shared" si="2"/>
        <v>34</v>
      </c>
      <c r="B53" s="14" t="s">
        <v>89</v>
      </c>
      <c r="C53" s="102">
        <f>'A-Revenues@Changed Rates'!C53</f>
        <v>4.6960000000000002E-2</v>
      </c>
      <c r="D53" s="47"/>
      <c r="E53" s="102">
        <f>C53</f>
        <v>4.6960000000000002E-2</v>
      </c>
      <c r="F53" s="47"/>
      <c r="G53" s="102">
        <f>E53</f>
        <v>4.6960000000000002E-2</v>
      </c>
      <c r="H53" s="47"/>
      <c r="I53" s="102">
        <f>G53</f>
        <v>4.6960000000000002E-2</v>
      </c>
      <c r="J53" s="47"/>
      <c r="K53" s="47"/>
      <c r="L53" s="47"/>
      <c r="M53" s="11">
        <f t="shared" si="3"/>
        <v>34</v>
      </c>
    </row>
    <row r="54" spans="1:13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1">
        <f t="shared" si="3"/>
        <v>35</v>
      </c>
    </row>
    <row r="55" spans="1:13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11">
        <f t="shared" si="3"/>
        <v>36</v>
      </c>
    </row>
    <row r="56" spans="1:13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24"/>
    </row>
    <row r="57" spans="1:13" x14ac:dyDescent="0.3">
      <c r="B57" s="97" t="str">
        <f>'A-Revenues@Changed Rates'!B57</f>
        <v>NOTES: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</row>
    <row r="58" spans="1:13" ht="22.5" x14ac:dyDescent="0.3">
      <c r="A58" s="76" t="s">
        <v>91</v>
      </c>
      <c r="B58" s="1" t="str">
        <f>'A-Revenues@Changed Rates'!B58</f>
        <v>The changed rates information comes from Statement BL, Page BL-1, Column A, Lines 1 through 41.</v>
      </c>
    </row>
    <row r="59" spans="1:13" ht="22.5" x14ac:dyDescent="0.3">
      <c r="A59" s="76" t="s">
        <v>93</v>
      </c>
      <c r="B59" s="1" t="str">
        <f>'A-Revenues@Changed Rates'!B59</f>
        <v>The demand rates for Medium &amp; Large Commercial/Industrial, Schedule PA-T-1, and Standby customers are shown on Pages BG-6, BG-7, BG-8, BG-9, BG-13, and BG-14.</v>
      </c>
    </row>
    <row r="60" spans="1:13" x14ac:dyDescent="0.3">
      <c r="A60" s="7"/>
    </row>
    <row r="61" spans="1:13" x14ac:dyDescent="0.3">
      <c r="A61" s="8"/>
      <c r="B61" s="8"/>
      <c r="C61" s="9" t="s">
        <v>105</v>
      </c>
      <c r="D61" s="10"/>
      <c r="E61" s="9" t="s">
        <v>106</v>
      </c>
      <c r="F61" s="10"/>
      <c r="G61" s="9" t="s">
        <v>107</v>
      </c>
      <c r="H61" s="10"/>
      <c r="I61" s="9" t="s">
        <v>108</v>
      </c>
      <c r="J61" s="10"/>
      <c r="K61" s="9" t="s">
        <v>109</v>
      </c>
      <c r="L61" s="10"/>
      <c r="M61" s="8"/>
    </row>
    <row r="62" spans="1:13" x14ac:dyDescent="0.3">
      <c r="A62" s="11"/>
      <c r="B62" s="11"/>
      <c r="C62" s="427">
        <f>C39</f>
        <v>45901</v>
      </c>
      <c r="D62" s="428"/>
      <c r="E62" s="427">
        <f>E39</f>
        <v>45931</v>
      </c>
      <c r="F62" s="428"/>
      <c r="G62" s="427">
        <f>G39</f>
        <v>45962</v>
      </c>
      <c r="H62" s="428"/>
      <c r="I62" s="427">
        <f>I39</f>
        <v>45992</v>
      </c>
      <c r="J62" s="428"/>
      <c r="K62" s="12" t="s">
        <v>61</v>
      </c>
      <c r="L62" s="13"/>
      <c r="M62" s="11"/>
    </row>
    <row r="63" spans="1:13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5" t="s">
        <v>112</v>
      </c>
      <c r="L63" s="16"/>
      <c r="M63" s="11" t="s">
        <v>8</v>
      </c>
    </row>
    <row r="64" spans="1:13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69</v>
      </c>
      <c r="L64" s="17" t="s">
        <v>70</v>
      </c>
      <c r="M64" s="17" t="s">
        <v>10</v>
      </c>
    </row>
    <row r="65" spans="1:14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0"/>
    </row>
    <row r="66" spans="1:14" x14ac:dyDescent="0.3">
      <c r="A66" s="11">
        <f>A55+1</f>
        <v>37</v>
      </c>
      <c r="B66" s="14" t="s">
        <v>17</v>
      </c>
      <c r="C66" s="40">
        <f t="shared" ref="C66:J66" si="4">C11*C43</f>
        <v>62329942.826890871</v>
      </c>
      <c r="D66" s="40">
        <f t="shared" si="4"/>
        <v>0</v>
      </c>
      <c r="E66" s="40">
        <f t="shared" si="4"/>
        <v>45075663.125291251</v>
      </c>
      <c r="F66" s="40">
        <f t="shared" si="4"/>
        <v>0</v>
      </c>
      <c r="G66" s="40">
        <f t="shared" si="4"/>
        <v>37929379.863853388</v>
      </c>
      <c r="H66" s="40">
        <f t="shared" si="4"/>
        <v>0</v>
      </c>
      <c r="I66" s="40">
        <f t="shared" si="4"/>
        <v>48270264.153176382</v>
      </c>
      <c r="J66" s="40">
        <f t="shared" si="4"/>
        <v>0</v>
      </c>
      <c r="K66" s="40">
        <f>SUM('A-Revenues@Changed Rates'!C66,'A-Revenues@Changed Rates'!E66,'A-Revenues@Changed Rates'!G66,'A-Revenues@Changed Rates'!I66,'B-Revenues@Changed Rates'!C66,'B-Revenues@Changed Rates'!E66,'B-Revenues@Changed Rates'!G66,'B-Revenues@Changed Rates'!I66,C66,E66,G66,I66)</f>
        <v>515409353.75845432</v>
      </c>
      <c r="L66" s="40">
        <f>SUM('A-Revenues@Changed Rates'!D66,'A-Revenues@Changed Rates'!F66,'A-Revenues@Changed Rates'!H66,'A-Revenues@Changed Rates'!J66,'B-Revenues@Changed Rates'!D66,'B-Revenues@Changed Rates'!F66,'B-Revenues@Changed Rates'!H66,'B-Revenues@Changed Rates'!J66,D66,F66,H66,J66)</f>
        <v>0</v>
      </c>
      <c r="M66" s="61">
        <f>M55+1</f>
        <v>37</v>
      </c>
    </row>
    <row r="67" spans="1:14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62"/>
      <c r="L67" s="62"/>
      <c r="M67" s="61">
        <f>M66+1</f>
        <v>38</v>
      </c>
    </row>
    <row r="68" spans="1:14" x14ac:dyDescent="0.3">
      <c r="A68" s="11">
        <f t="shared" ref="A68:A86" si="5">A67+1</f>
        <v>39</v>
      </c>
      <c r="B68" s="14" t="s">
        <v>20</v>
      </c>
      <c r="C68" s="40">
        <f t="shared" ref="C68:J68" si="6">C13*C45</f>
        <v>12333572.143485356</v>
      </c>
      <c r="D68" s="40">
        <f t="shared" si="6"/>
        <v>0</v>
      </c>
      <c r="E68" s="40">
        <f t="shared" si="6"/>
        <v>10939262.661291772</v>
      </c>
      <c r="F68" s="40">
        <f t="shared" si="6"/>
        <v>0</v>
      </c>
      <c r="G68" s="40">
        <f t="shared" si="6"/>
        <v>10105067.361023927</v>
      </c>
      <c r="H68" s="40">
        <f t="shared" si="6"/>
        <v>0</v>
      </c>
      <c r="I68" s="40">
        <f t="shared" si="6"/>
        <v>9747883.5492289234</v>
      </c>
      <c r="J68" s="40">
        <f t="shared" si="6"/>
        <v>0</v>
      </c>
      <c r="K68" s="40">
        <f>SUM('A-Revenues@Changed Rates'!C68,'A-Revenues@Changed Rates'!E68,'A-Revenues@Changed Rates'!G68,'A-Revenues@Changed Rates'!I68,'B-Revenues@Changed Rates'!C68,'B-Revenues@Changed Rates'!E68,'B-Revenues@Changed Rates'!G68,'B-Revenues@Changed Rates'!I68,C68,E68,G68,I68)</f>
        <v>124037014.43549466</v>
      </c>
      <c r="L68" s="40">
        <f>SUM('A-Revenues@Changed Rates'!D68,'A-Revenues@Changed Rates'!F68,'A-Revenues@Changed Rates'!H68,'A-Revenues@Changed Rates'!J68,'B-Revenues@Changed Rates'!D68,'B-Revenues@Changed Rates'!F68,'B-Revenues@Changed Rates'!H68,'B-Revenues@Changed Rates'!J68,D68,F68,H68,J68)</f>
        <v>0</v>
      </c>
      <c r="M68" s="61">
        <f t="shared" ref="M68:M90" si="7">M67+1</f>
        <v>39</v>
      </c>
    </row>
    <row r="69" spans="1:14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40"/>
      <c r="L69" s="40"/>
      <c r="M69" s="61">
        <f t="shared" si="7"/>
        <v>40</v>
      </c>
    </row>
    <row r="70" spans="1:14" x14ac:dyDescent="0.3">
      <c r="A70" s="11">
        <f t="shared" si="5"/>
        <v>41</v>
      </c>
      <c r="B70" s="14" t="s">
        <v>110</v>
      </c>
      <c r="C70" s="40">
        <f>'A-Med &amp; Lrg C-I'!E42</f>
        <v>0</v>
      </c>
      <c r="D70" s="40"/>
      <c r="E70" s="40">
        <f>'A-Med &amp; Lrg C-I'!F42</f>
        <v>0</v>
      </c>
      <c r="F70" s="40"/>
      <c r="G70" s="40">
        <f>'A-Med &amp; Lrg C-I'!G42</f>
        <v>0</v>
      </c>
      <c r="H70" s="40"/>
      <c r="I70" s="40">
        <f>'A-Med &amp; Lrg C-I'!H42</f>
        <v>0</v>
      </c>
      <c r="J70" s="40"/>
      <c r="K70" s="40">
        <f>SUM('A-Revenues@Changed Rates'!C70,'A-Revenues@Changed Rates'!E70,'A-Revenues@Changed Rates'!G70,'A-Revenues@Changed Rates'!I70,'B-Revenues@Changed Rates'!C70,'B-Revenues@Changed Rates'!E70,'B-Revenues@Changed Rates'!G70,'B-Revenues@Changed Rates'!I70,C70,E70,G70,I70)</f>
        <v>0</v>
      </c>
      <c r="L70" s="40"/>
      <c r="M70" s="61">
        <f t="shared" si="7"/>
        <v>41</v>
      </c>
    </row>
    <row r="71" spans="1:14" x14ac:dyDescent="0.3">
      <c r="A71" s="11">
        <f t="shared" si="5"/>
        <v>42</v>
      </c>
      <c r="B71" s="14" t="s">
        <v>73</v>
      </c>
      <c r="C71" s="40"/>
      <c r="D71" s="40">
        <f>'A-Med &amp; Lrg C-I'!E62</f>
        <v>0</v>
      </c>
      <c r="E71" s="40"/>
      <c r="F71" s="40">
        <f>'A-Med &amp; Lrg C-I'!F62</f>
        <v>0</v>
      </c>
      <c r="G71" s="40"/>
      <c r="H71" s="40">
        <f>'A-Med &amp; Lrg C-I'!G62</f>
        <v>0</v>
      </c>
      <c r="I71" s="40"/>
      <c r="J71" s="40">
        <f>'A-Med &amp; Lrg C-I'!H62</f>
        <v>0</v>
      </c>
      <c r="K71" s="40"/>
      <c r="L71" s="40">
        <f>SUM('A-Revenues@Changed Rates'!D71,'A-Revenues@Changed Rates'!F71,'A-Revenues@Changed Rates'!H71,'A-Revenues@Changed Rates'!J71,'B-Revenues@Changed Rates'!D71,'B-Revenues@Changed Rates'!F71,'B-Revenues@Changed Rates'!H71,'B-Revenues@Changed Rates'!J71,'C-Revenues@Changed Rates'!D71,F71,H71,J71)</f>
        <v>0</v>
      </c>
      <c r="M71" s="61">
        <f t="shared" si="7"/>
        <v>42</v>
      </c>
    </row>
    <row r="72" spans="1:14" x14ac:dyDescent="0.3">
      <c r="A72" s="11">
        <f t="shared" si="5"/>
        <v>43</v>
      </c>
      <c r="B72" s="14" t="s">
        <v>74</v>
      </c>
      <c r="C72" s="40"/>
      <c r="D72" s="40">
        <f>'B-Med &amp; Lrg C-I'!E54</f>
        <v>41305895.954763144</v>
      </c>
      <c r="E72" s="40"/>
      <c r="F72" s="40">
        <f>'B-Med &amp; Lrg C-I'!F54</f>
        <v>37496272.565862589</v>
      </c>
      <c r="G72" s="40"/>
      <c r="H72" s="40">
        <f>'B-Med &amp; Lrg C-I'!G54</f>
        <v>34216130.56778568</v>
      </c>
      <c r="I72" s="40"/>
      <c r="J72" s="40">
        <f>'B-Med &amp; Lrg C-I'!H54</f>
        <v>34136874.365354694</v>
      </c>
      <c r="K72" s="40"/>
      <c r="L72" s="40">
        <f>SUM('A-Revenues@Changed Rates'!D72,'A-Revenues@Changed Rates'!F72,'A-Revenues@Changed Rates'!H72,'A-Revenues@Changed Rates'!J72,'B-Revenues@Changed Rates'!D72,'B-Revenues@Changed Rates'!F72,'B-Revenues@Changed Rates'!H72,'B-Revenues@Changed Rates'!J72,'C-Revenues@Changed Rates'!D72,F72,H72,J72)</f>
        <v>422302541.51575619</v>
      </c>
      <c r="M72" s="61">
        <f t="shared" si="7"/>
        <v>43</v>
      </c>
    </row>
    <row r="73" spans="1:14" ht="22.5" x14ac:dyDescent="0.3">
      <c r="A73" s="11">
        <f t="shared" si="5"/>
        <v>44</v>
      </c>
      <c r="B73" s="14" t="s">
        <v>96</v>
      </c>
      <c r="C73" s="40"/>
      <c r="D73" s="40">
        <f>'C-Med &amp; Lrg C-I'!E54</f>
        <v>7478111.6576223951</v>
      </c>
      <c r="E73" s="40"/>
      <c r="F73" s="40">
        <f>'C-Med &amp; Lrg C-I'!F54</f>
        <v>6789366.9352706</v>
      </c>
      <c r="G73" s="40"/>
      <c r="H73" s="40">
        <f>'C-Med &amp; Lrg C-I'!G54</f>
        <v>1260083.3803576087</v>
      </c>
      <c r="I73" s="40"/>
      <c r="J73" s="40">
        <f>'C-Med &amp; Lrg C-I'!H54</f>
        <v>1234650.6029974332</v>
      </c>
      <c r="K73" s="40"/>
      <c r="L73" s="40">
        <f>SUM('A-Revenues@Changed Rates'!D73,'A-Revenues@Changed Rates'!F73,'A-Revenues@Changed Rates'!H73,'A-Revenues@Changed Rates'!J73,'B-Revenues@Changed Rates'!D73,'B-Revenues@Changed Rates'!F73,'B-Revenues@Changed Rates'!H73,'B-Revenues@Changed Rates'!J73,'C-Revenues@Changed Rates'!D73,F73,H73,J73)</f>
        <v>42813996.310602129</v>
      </c>
      <c r="M73" s="61">
        <f t="shared" si="7"/>
        <v>44</v>
      </c>
    </row>
    <row r="74" spans="1:14" ht="22.5" x14ac:dyDescent="0.3">
      <c r="A74" s="11">
        <f t="shared" si="5"/>
        <v>45</v>
      </c>
      <c r="B74" s="14" t="s">
        <v>97</v>
      </c>
      <c r="C74" s="40"/>
      <c r="D74" s="40">
        <f>'D-Med &amp; Lrg C-I'!E62</f>
        <v>669602.39940627338</v>
      </c>
      <c r="E74" s="40"/>
      <c r="F74" s="40">
        <f>'D-Med &amp; Lrg C-I'!F62</f>
        <v>606860.52764401736</v>
      </c>
      <c r="G74" s="40"/>
      <c r="H74" s="40">
        <f>'D-Med &amp; Lrg C-I'!G62</f>
        <v>117701.74573256164</v>
      </c>
      <c r="I74" s="40"/>
      <c r="J74" s="40">
        <f>'D-Med &amp; Lrg C-I'!H62</f>
        <v>139616.54118354473</v>
      </c>
      <c r="K74" s="40"/>
      <c r="L74" s="40">
        <f>SUM('A-Revenues@Changed Rates'!D74,'A-Revenues@Changed Rates'!F74,'A-Revenues@Changed Rates'!H74,'A-Revenues@Changed Rates'!J74,'B-Revenues@Changed Rates'!D74,'B-Revenues@Changed Rates'!F74,'B-Revenues@Changed Rates'!H74,'B-Revenues@Changed Rates'!J74,'C-Revenues@Changed Rates'!D74,F74,H74,J74)</f>
        <v>4057424.3734193486</v>
      </c>
      <c r="M74" s="61">
        <f t="shared" si="7"/>
        <v>45</v>
      </c>
    </row>
    <row r="75" spans="1:14" x14ac:dyDescent="0.3">
      <c r="A75" s="11">
        <f t="shared" si="5"/>
        <v>46</v>
      </c>
      <c r="B75" s="14"/>
      <c r="C75" s="40"/>
      <c r="D75" s="18"/>
      <c r="E75" s="40"/>
      <c r="F75" s="18"/>
      <c r="G75" s="40"/>
      <c r="H75" s="18"/>
      <c r="I75" s="40"/>
      <c r="J75" s="40"/>
      <c r="K75" s="40"/>
      <c r="L75" s="40"/>
      <c r="M75" s="61">
        <f t="shared" si="7"/>
        <v>46</v>
      </c>
    </row>
    <row r="76" spans="1:14" x14ac:dyDescent="0.3">
      <c r="A76" s="11">
        <f t="shared" si="5"/>
        <v>47</v>
      </c>
      <c r="B76" s="127" t="s">
        <v>26</v>
      </c>
      <c r="C76" s="40">
        <f>'San Diego Unified Port District'!E46</f>
        <v>0</v>
      </c>
      <c r="D76" s="18"/>
      <c r="E76" s="40">
        <f>'San Diego Unified Port District'!F46</f>
        <v>0</v>
      </c>
      <c r="F76" s="18"/>
      <c r="G76" s="40">
        <f>'San Diego Unified Port District'!G46</f>
        <v>0</v>
      </c>
      <c r="H76" s="18"/>
      <c r="I76" s="40">
        <f>'San Diego Unified Port District'!H46</f>
        <v>0</v>
      </c>
      <c r="J76" s="18"/>
      <c r="K76" s="40">
        <f>SUM('A-Revenues@Changed Rates'!C76:J76,'B-Revenues@Changed Rates'!C76:J76,'C-Revenues@Changed Rates'!C76:J76)</f>
        <v>0</v>
      </c>
      <c r="L76" s="14"/>
      <c r="M76" s="61">
        <f t="shared" si="7"/>
        <v>47</v>
      </c>
    </row>
    <row r="77" spans="1:14" x14ac:dyDescent="0.3">
      <c r="A77" s="11">
        <f t="shared" si="5"/>
        <v>48</v>
      </c>
      <c r="B77" s="14" t="s">
        <v>74</v>
      </c>
      <c r="C77" s="40"/>
      <c r="D77" s="18">
        <f>'San Diego Unified Port District'!E56</f>
        <v>5992.5</v>
      </c>
      <c r="E77" s="40"/>
      <c r="F77" s="18">
        <f>'San Diego Unified Port District'!F56</f>
        <v>12705</v>
      </c>
      <c r="G77" s="40"/>
      <c r="H77" s="18">
        <f>'San Diego Unified Port District'!G56</f>
        <v>12457.5</v>
      </c>
      <c r="I77" s="40"/>
      <c r="J77" s="18">
        <f>'San Diego Unified Port District'!H56</f>
        <v>7342.5</v>
      </c>
      <c r="K77" s="40"/>
      <c r="L77" s="40">
        <f>SUM('A-Revenues@Changed Rates'!C77:J77,'B-Revenues@Changed Rates'!C77:J77,'C-Revenues@Changed Rates'!C77:J77)</f>
        <v>111502</v>
      </c>
      <c r="M77" s="61">
        <f t="shared" si="7"/>
        <v>48</v>
      </c>
      <c r="N77" s="216"/>
    </row>
    <row r="78" spans="1:14" x14ac:dyDescent="0.3">
      <c r="A78" s="11">
        <f t="shared" si="5"/>
        <v>49</v>
      </c>
      <c r="B78" s="14" t="s">
        <v>77</v>
      </c>
      <c r="C78" s="40"/>
      <c r="D78" s="18">
        <f>'San Diego Unified Port District'!E68</f>
        <v>0</v>
      </c>
      <c r="E78" s="40"/>
      <c r="F78" s="18">
        <f>'San Diego Unified Port District'!F68</f>
        <v>0</v>
      </c>
      <c r="G78" s="40"/>
      <c r="H78" s="18">
        <f>'San Diego Unified Port District'!G68</f>
        <v>11597.4</v>
      </c>
      <c r="I78" s="40"/>
      <c r="J78" s="18">
        <f>'San Diego Unified Port District'!H68</f>
        <v>0</v>
      </c>
      <c r="K78" s="40"/>
      <c r="L78" s="40">
        <f>SUM('A-Revenues@Changed Rates'!C78:J78,'B-Revenues@Changed Rates'!C78:J78,'C-Revenues@Changed Rates'!C78:J78)</f>
        <v>11597.4</v>
      </c>
      <c r="M78" s="61">
        <f t="shared" si="7"/>
        <v>49</v>
      </c>
    </row>
    <row r="79" spans="1:14" x14ac:dyDescent="0.3">
      <c r="A79" s="11">
        <f t="shared" si="5"/>
        <v>50</v>
      </c>
      <c r="B79" s="14"/>
      <c r="C79" s="40"/>
      <c r="D79" s="18"/>
      <c r="E79" s="40"/>
      <c r="F79" s="18"/>
      <c r="G79" s="40"/>
      <c r="H79" s="18"/>
      <c r="I79" s="40"/>
      <c r="J79" s="40"/>
      <c r="K79" s="40"/>
      <c r="L79" s="40"/>
      <c r="M79" s="61">
        <f t="shared" si="7"/>
        <v>50</v>
      </c>
    </row>
    <row r="80" spans="1:14" x14ac:dyDescent="0.3">
      <c r="A80" s="11">
        <f t="shared" si="5"/>
        <v>51</v>
      </c>
      <c r="B80" s="14" t="str">
        <f>B25</f>
        <v>Agricultural</v>
      </c>
      <c r="C80" s="40"/>
      <c r="D80" s="18"/>
      <c r="E80" s="40"/>
      <c r="F80" s="18"/>
      <c r="G80" s="40"/>
      <c r="H80" s="18"/>
      <c r="I80" s="40"/>
      <c r="J80" s="40"/>
      <c r="K80" s="40"/>
      <c r="L80" s="40"/>
      <c r="M80" s="61">
        <f t="shared" si="7"/>
        <v>51</v>
      </c>
    </row>
    <row r="81" spans="1:14" x14ac:dyDescent="0.3">
      <c r="A81" s="11">
        <f t="shared" si="5"/>
        <v>52</v>
      </c>
      <c r="B81" s="14" t="str">
        <f>B26</f>
        <v xml:space="preserve">     Schedules PA and TOU-PA</v>
      </c>
      <c r="C81" s="40">
        <f>C26*C51</f>
        <v>461154.05504500761</v>
      </c>
      <c r="D81" s="18"/>
      <c r="E81" s="40">
        <f>E26*E51</f>
        <v>431417.68127842905</v>
      </c>
      <c r="F81" s="18"/>
      <c r="G81" s="40">
        <f>G26*G51</f>
        <v>354747.1295228845</v>
      </c>
      <c r="H81" s="18"/>
      <c r="I81" s="40">
        <f>I26*I51</f>
        <v>313629.40118855628</v>
      </c>
      <c r="J81" s="18"/>
      <c r="K81" s="40">
        <f>SUM('A-Revenues@Changed Rates'!C81:J81,'B-Revenues@Changed Rates'!C81:J81,'C-Revenues@Changed Rates'!C81:J81)</f>
        <v>4145758.1518275589</v>
      </c>
      <c r="L81" s="14"/>
      <c r="M81" s="61">
        <f t="shared" si="7"/>
        <v>52</v>
      </c>
    </row>
    <row r="82" spans="1:14" x14ac:dyDescent="0.3">
      <c r="A82" s="11">
        <f t="shared" si="5"/>
        <v>53</v>
      </c>
      <c r="B82" s="14" t="s">
        <v>80</v>
      </c>
      <c r="C82" s="40"/>
      <c r="D82" s="18">
        <f>'PA-T-1'!E62</f>
        <v>761986.80405046779</v>
      </c>
      <c r="E82" s="40"/>
      <c r="F82" s="18">
        <f>'PA-T-1'!F62</f>
        <v>748298.62259776308</v>
      </c>
      <c r="G82" s="40"/>
      <c r="H82" s="18">
        <f>'PA-T-1'!G62</f>
        <v>661411.01860677649</v>
      </c>
      <c r="I82" s="40"/>
      <c r="J82" s="18">
        <f>'PA-T-1'!H62</f>
        <v>632130.57555408357</v>
      </c>
      <c r="K82" s="40"/>
      <c r="L82" s="40">
        <f>SUM('A-Revenues@Changed Rates'!C82:J82,'B-Revenues@Changed Rates'!C82:J82,'C-Revenues@Changed Rates'!C82:J82)</f>
        <v>8209243.6106188409</v>
      </c>
      <c r="M82" s="61">
        <f t="shared" si="7"/>
        <v>53</v>
      </c>
    </row>
    <row r="83" spans="1:14" x14ac:dyDescent="0.3">
      <c r="A83" s="11">
        <f t="shared" si="5"/>
        <v>54</v>
      </c>
      <c r="B83" s="14"/>
      <c r="C83" s="40"/>
      <c r="D83" s="18"/>
      <c r="E83" s="40"/>
      <c r="F83" s="18"/>
      <c r="G83" s="40"/>
      <c r="H83" s="18"/>
      <c r="I83" s="40"/>
      <c r="J83" s="40"/>
      <c r="K83" s="40"/>
      <c r="L83" s="40"/>
      <c r="M83" s="61">
        <f t="shared" si="7"/>
        <v>54</v>
      </c>
    </row>
    <row r="84" spans="1:14" x14ac:dyDescent="0.3">
      <c r="A84" s="11">
        <f t="shared" si="5"/>
        <v>55</v>
      </c>
      <c r="B84" s="14" t="s">
        <v>39</v>
      </c>
      <c r="C84" s="40">
        <f t="shared" ref="C84:J84" si="8">C29*C53</f>
        <v>305953.511499096</v>
      </c>
      <c r="D84" s="40">
        <f t="shared" si="8"/>
        <v>0</v>
      </c>
      <c r="E84" s="40">
        <f t="shared" si="8"/>
        <v>308213.61531017505</v>
      </c>
      <c r="F84" s="40">
        <f t="shared" si="8"/>
        <v>0</v>
      </c>
      <c r="G84" s="40">
        <f t="shared" si="8"/>
        <v>326933.63877873251</v>
      </c>
      <c r="H84" s="40">
        <f t="shared" si="8"/>
        <v>0</v>
      </c>
      <c r="I84" s="40">
        <f t="shared" si="8"/>
        <v>344025.14804939023</v>
      </c>
      <c r="J84" s="40">
        <f t="shared" si="8"/>
        <v>0</v>
      </c>
      <c r="K84" s="40">
        <f>SUM('A-Revenues@Changed Rates'!C84,'A-Revenues@Changed Rates'!E84,'A-Revenues@Changed Rates'!G84,'A-Revenues@Changed Rates'!I84,'B-Revenues@Changed Rates'!C84,'B-Revenues@Changed Rates'!E84,'B-Revenues@Changed Rates'!G84,'B-Revenues@Changed Rates'!I84,C84,E84,G84,I84)</f>
        <v>3768238.361894825</v>
      </c>
      <c r="L84" s="40">
        <f>SUM('A-Revenues@Changed Rates'!D84,'A-Revenues@Changed Rates'!F84,'A-Revenues@Changed Rates'!H84,'A-Revenues@Changed Rates'!J84,'B-Revenues@Changed Rates'!D84,'B-Revenues@Changed Rates'!F84,'B-Revenues@Changed Rates'!H84,'B-Revenues@Changed Rates'!J84,D84,F84,H84,J84)</f>
        <v>0</v>
      </c>
      <c r="M84" s="61">
        <f t="shared" si="7"/>
        <v>55</v>
      </c>
    </row>
    <row r="85" spans="1:14" x14ac:dyDescent="0.3">
      <c r="A85" s="11">
        <f t="shared" si="5"/>
        <v>56</v>
      </c>
      <c r="B85" s="14"/>
      <c r="C85" s="40"/>
      <c r="D85" s="18"/>
      <c r="E85" s="40"/>
      <c r="F85" s="18"/>
      <c r="G85" s="40"/>
      <c r="H85" s="18"/>
      <c r="I85" s="40"/>
      <c r="J85" s="18"/>
      <c r="K85" s="40"/>
      <c r="L85" s="40"/>
      <c r="M85" s="61">
        <f t="shared" si="7"/>
        <v>56</v>
      </c>
    </row>
    <row r="86" spans="1:14" x14ac:dyDescent="0.3">
      <c r="A86" s="11">
        <f t="shared" si="5"/>
        <v>57</v>
      </c>
      <c r="B86" s="14" t="s">
        <v>111</v>
      </c>
      <c r="C86" s="40">
        <v>0</v>
      </c>
      <c r="D86" s="40">
        <f>Standby!E58</f>
        <v>960051</v>
      </c>
      <c r="E86" s="40">
        <v>0</v>
      </c>
      <c r="F86" s="40">
        <f>Standby!F58</f>
        <v>960051</v>
      </c>
      <c r="G86" s="40">
        <v>0</v>
      </c>
      <c r="H86" s="40">
        <f>Standby!G58</f>
        <v>960051</v>
      </c>
      <c r="I86" s="40">
        <v>0</v>
      </c>
      <c r="J86" s="40">
        <f>Standby!H58</f>
        <v>960051</v>
      </c>
      <c r="K86" s="40">
        <f>SUM('A-Revenues@Changed Rates'!C86,'A-Revenues@Changed Rates'!E86,'A-Revenues@Changed Rates'!G86,'A-Revenues@Changed Rates'!I86,'B-Revenues@Changed Rates'!C86,'B-Revenues@Changed Rates'!E86,'B-Revenues@Changed Rates'!G86,'B-Revenues@Changed Rates'!I86,C86,E86,G86,I86)</f>
        <v>0</v>
      </c>
      <c r="L86" s="40">
        <f>SUM('A-Revenues@Changed Rates'!D86,'A-Revenues@Changed Rates'!F86,'A-Revenues@Changed Rates'!H86,'A-Revenues@Changed Rates'!J86,'B-Revenues@Changed Rates'!D86,'B-Revenues@Changed Rates'!F86,'B-Revenues@Changed Rates'!H86,'B-Revenues@Changed Rates'!J86,D86,F86,H86,J86)</f>
        <v>11520612</v>
      </c>
      <c r="M86" s="61">
        <f t="shared" si="7"/>
        <v>57</v>
      </c>
    </row>
    <row r="87" spans="1:14" x14ac:dyDescent="0.3">
      <c r="A87" s="11">
        <f>A86+1</f>
        <v>58</v>
      </c>
      <c r="B87" s="14"/>
      <c r="C87" s="40"/>
      <c r="D87" s="18"/>
      <c r="E87" s="40"/>
      <c r="F87" s="18"/>
      <c r="G87" s="40"/>
      <c r="H87" s="18"/>
      <c r="I87" s="40"/>
      <c r="J87" s="18"/>
      <c r="K87" s="40"/>
      <c r="L87" s="18"/>
      <c r="M87" s="61">
        <f t="shared" si="7"/>
        <v>58</v>
      </c>
    </row>
    <row r="88" spans="1:14" x14ac:dyDescent="0.3">
      <c r="A88" s="11">
        <f>A87+1</f>
        <v>59</v>
      </c>
      <c r="B88" s="19" t="s">
        <v>98</v>
      </c>
      <c r="C88" s="64">
        <f t="shared" ref="C88:J88" si="9">SUM(C66:C86)</f>
        <v>75430622.536920324</v>
      </c>
      <c r="D88" s="64">
        <f t="shared" si="9"/>
        <v>51181640.315842286</v>
      </c>
      <c r="E88" s="64">
        <f t="shared" si="9"/>
        <v>56754557.083171628</v>
      </c>
      <c r="F88" s="64">
        <f t="shared" si="9"/>
        <v>46613554.651374966</v>
      </c>
      <c r="G88" s="64">
        <f t="shared" si="9"/>
        <v>48716127.993178926</v>
      </c>
      <c r="H88" s="64">
        <f t="shared" si="9"/>
        <v>37239432.612482622</v>
      </c>
      <c r="I88" s="64">
        <f t="shared" si="9"/>
        <v>58675802.251643255</v>
      </c>
      <c r="J88" s="64">
        <f t="shared" si="9"/>
        <v>37110665.585089751</v>
      </c>
      <c r="K88" s="65">
        <f>SUM('A-Revenues@Changed Rates'!C88,'A-Revenues@Changed Rates'!E88,'A-Revenues@Changed Rates'!G88,'A-Revenues@Changed Rates'!I88,'B-Revenues@Changed Rates'!C88,'B-Revenues@Changed Rates'!E88,'B-Revenues@Changed Rates'!G88,'B-Revenues@Changed Rates'!I88,C88,E88,G88,I88)</f>
        <v>647360364.7076714</v>
      </c>
      <c r="L88" s="65">
        <f>SUM('A-Revenues@Changed Rates'!D88,'A-Revenues@Changed Rates'!F88,'A-Revenues@Changed Rates'!H88,'A-Revenues@Changed Rates'!J88,'B-Revenues@Changed Rates'!D88,'B-Revenues@Changed Rates'!F88,'B-Revenues@Changed Rates'!H88,'B-Revenues@Changed Rates'!J88,D88,F88,H88,J88)</f>
        <v>489026917.21039641</v>
      </c>
      <c r="M88" s="11">
        <f t="shared" si="7"/>
        <v>59</v>
      </c>
    </row>
    <row r="89" spans="1:14" x14ac:dyDescent="0.3">
      <c r="A89" s="11">
        <f>A88+1</f>
        <v>60</v>
      </c>
      <c r="B89" s="19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11">
        <f t="shared" si="7"/>
        <v>60</v>
      </c>
    </row>
    <row r="90" spans="1:14" ht="19.5" thickBot="1" x14ac:dyDescent="0.35">
      <c r="A90" s="11">
        <f>A89+1</f>
        <v>61</v>
      </c>
      <c r="B90" s="19" t="s">
        <v>99</v>
      </c>
      <c r="C90" s="62"/>
      <c r="D90" s="66">
        <f>D88+C88</f>
        <v>126612262.85276261</v>
      </c>
      <c r="E90" s="62"/>
      <c r="F90" s="66">
        <f>F88+E88</f>
        <v>103368111.7345466</v>
      </c>
      <c r="G90" s="62"/>
      <c r="H90" s="66">
        <f>H88+G88</f>
        <v>85955560.605661541</v>
      </c>
      <c r="I90" s="62"/>
      <c r="J90" s="66">
        <f>J88+I88</f>
        <v>95786467.836733013</v>
      </c>
      <c r="K90" s="62"/>
      <c r="L90" s="66">
        <f>L88+K88</f>
        <v>1136387281.9180679</v>
      </c>
      <c r="M90" s="11">
        <f t="shared" si="7"/>
        <v>61</v>
      </c>
      <c r="N90" s="46"/>
    </row>
    <row r="91" spans="1:14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4"/>
    </row>
    <row r="92" spans="1:14" x14ac:dyDescent="0.3">
      <c r="B92" s="25" t="str">
        <f>'A-Revenues@Changed Rates'!B92</f>
        <v xml:space="preserve">NOTES: </v>
      </c>
    </row>
    <row r="93" spans="1:14" ht="22.5" x14ac:dyDescent="0.3">
      <c r="A93" s="77">
        <v>4</v>
      </c>
      <c r="B93" s="1" t="str">
        <f>'A-Revenues@Changed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4" ht="22.5" x14ac:dyDescent="0.3">
      <c r="A94" s="77"/>
      <c r="B94" s="1" t="str">
        <f>'A-Revenues@Changed Rates'!B94</f>
        <v>The derivation of revenues for Medium &amp; Large Commercial/Industrial, San Diego Unified Port District, Schedule PA-T-1, and Standby customers are shown on Pages BG-6, BG-7, BG-8, BG-9, BG-13, and BG-14.</v>
      </c>
    </row>
    <row r="95" spans="1:14" ht="22.5" x14ac:dyDescent="0.3">
      <c r="A95" s="77">
        <v>5</v>
      </c>
      <c r="B95" s="1" t="str">
        <f>'A-Revenues@Changed Rates'!B95</f>
        <v>Revenues for Medium and Large Commercial/Industrial customers include revenues of Standard Customers that have Maximum On-Peak Demand rates and Maximum Demand at the Time of System Peak rates based on SDG&amp;E's</v>
      </c>
    </row>
    <row r="96" spans="1:14" x14ac:dyDescent="0.3">
      <c r="A96" s="7"/>
      <c r="B96" s="1" t="str">
        <f>'A-Revenues@Changed Rates'!B96</f>
        <v>on-peak period of 4-9 p.m. everyday year-round. Grandfathered Maximum On-Peak Demand rates and Maximum Demand at the Time of System Peak rates, which are based on SDG&amp;E's</v>
      </c>
    </row>
    <row r="97" spans="1:2" x14ac:dyDescent="0.3">
      <c r="A97" s="7"/>
      <c r="B97" s="1" t="str">
        <f>'A-Revenues@Changed Rates'!B97</f>
        <v>previous on-peak period of 11 a.m. - 6 p.m. summer and 5-8 p.m. winter on weekdays, are not included due to assumed revenue neutrality.</v>
      </c>
    </row>
    <row r="98" spans="1:2" x14ac:dyDescent="0.3">
      <c r="A98" s="7"/>
    </row>
    <row r="99" spans="1:2" x14ac:dyDescent="0.3">
      <c r="A99" s="7"/>
    </row>
    <row r="100" spans="1:2" x14ac:dyDescent="0.3">
      <c r="A100" s="7"/>
    </row>
    <row r="101" spans="1:2" x14ac:dyDescent="0.3">
      <c r="A101" s="7"/>
    </row>
    <row r="102" spans="1:2" x14ac:dyDescent="0.3">
      <c r="A102" s="7"/>
    </row>
    <row r="103" spans="1:2" x14ac:dyDescent="0.3">
      <c r="A103" s="7"/>
    </row>
    <row r="104" spans="1:2" x14ac:dyDescent="0.3">
      <c r="A104" s="7"/>
    </row>
    <row r="105" spans="1:2" x14ac:dyDescent="0.3">
      <c r="A105" s="7"/>
    </row>
    <row r="106" spans="1:2" x14ac:dyDescent="0.3">
      <c r="A106" s="7"/>
    </row>
    <row r="107" spans="1:2" x14ac:dyDescent="0.3">
      <c r="A107" s="7"/>
    </row>
    <row r="108" spans="1:2" x14ac:dyDescent="0.3">
      <c r="A108" s="7"/>
    </row>
    <row r="109" spans="1:2" x14ac:dyDescent="0.3">
      <c r="A109" s="7"/>
    </row>
    <row r="110" spans="1:2" x14ac:dyDescent="0.3">
      <c r="A110" s="7"/>
    </row>
    <row r="111" spans="1:2" x14ac:dyDescent="0.3">
      <c r="A111" s="7"/>
    </row>
    <row r="112" spans="1:2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</sheetData>
  <mergeCells count="17">
    <mergeCell ref="A1:M1"/>
    <mergeCell ref="A2:M2"/>
    <mergeCell ref="A3:M3"/>
    <mergeCell ref="A4:M4"/>
    <mergeCell ref="K7:L7"/>
    <mergeCell ref="C7:D7"/>
    <mergeCell ref="E7:F7"/>
    <mergeCell ref="G7:H7"/>
    <mergeCell ref="I7:J7"/>
    <mergeCell ref="C62:D62"/>
    <mergeCell ref="E62:F62"/>
    <mergeCell ref="G62:H62"/>
    <mergeCell ref="I62:J62"/>
    <mergeCell ref="C39:D39"/>
    <mergeCell ref="E39:F39"/>
    <mergeCell ref="G39:H39"/>
    <mergeCell ref="I39:J39"/>
  </mergeCells>
  <phoneticPr fontId="3" type="noConversion"/>
  <printOptions horizontalCentered="1"/>
  <pageMargins left="0.25" right="0.25" top="0.5" bottom="0.5" header="0.25" footer="0.25"/>
  <pageSetup scale="37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87"/>
  <sheetViews>
    <sheetView zoomScale="70" zoomScaleNormal="70" zoomScaleSheetLayoutView="70" workbookViewId="0">
      <selection activeCell="C27" sqref="C27"/>
    </sheetView>
  </sheetViews>
  <sheetFormatPr defaultColWidth="6" defaultRowHeight="18.75" x14ac:dyDescent="0.3"/>
  <cols>
    <col min="1" max="1" width="5.5703125" style="1" bestFit="1" customWidth="1"/>
    <col min="2" max="2" width="46.42578125" style="1" customWidth="1"/>
    <col min="3" max="3" width="19.140625" style="1" bestFit="1" customWidth="1"/>
    <col min="4" max="8" width="17.140625" style="1" bestFit="1" customWidth="1"/>
    <col min="9" max="9" width="20.5703125" style="1" bestFit="1" customWidth="1"/>
    <col min="10" max="10" width="53.28515625" style="1" bestFit="1" customWidth="1"/>
    <col min="11" max="11" width="5.5703125" style="1" bestFit="1" customWidth="1"/>
    <col min="12" max="15" width="6" style="1" customWidth="1"/>
    <col min="16" max="16384" width="6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113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94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93">
        <f>'Summary of Revs @ Changed Rates'!H8</f>
        <v>45809</v>
      </c>
      <c r="I8" s="24"/>
      <c r="J8" s="95" t="s">
        <v>115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8"/>
      <c r="K9" s="11"/>
    </row>
    <row r="10" spans="1:17" x14ac:dyDescent="0.3">
      <c r="A10" s="11">
        <v>1</v>
      </c>
      <c r="B10" s="38" t="s">
        <v>116</v>
      </c>
      <c r="C10" s="14"/>
      <c r="D10" s="14"/>
      <c r="E10" s="14"/>
      <c r="F10" s="14"/>
      <c r="G10" s="14"/>
      <c r="H10" s="14"/>
      <c r="I10" s="14"/>
      <c r="J10" s="11"/>
      <c r="K10" s="11">
        <v>1</v>
      </c>
    </row>
    <row r="11" spans="1:17" x14ac:dyDescent="0.3">
      <c r="A11" s="11">
        <f>A10+1</f>
        <v>2</v>
      </c>
      <c r="B11" s="14" t="s">
        <v>117</v>
      </c>
      <c r="C11" s="18">
        <f>'Workpaper 1'!C147*1000</f>
        <v>751192254.45003653</v>
      </c>
      <c r="D11" s="18">
        <f>'Workpaper 1'!D147*1000</f>
        <v>713531333.69322109</v>
      </c>
      <c r="E11" s="18">
        <f>'Workpaper 1'!E147*1000</f>
        <v>714756631.10825777</v>
      </c>
      <c r="F11" s="18">
        <f>'Workpaper 1'!F147*1000</f>
        <v>718508298.83782351</v>
      </c>
      <c r="G11" s="18">
        <f>'Workpaper 1'!G147*1000</f>
        <v>724916884.54627109</v>
      </c>
      <c r="H11" s="18">
        <f>'Workpaper 1'!H147*1000</f>
        <v>760340001.74391031</v>
      </c>
      <c r="I11" s="14"/>
      <c r="J11" s="11" t="s">
        <v>118</v>
      </c>
      <c r="K11" s="11">
        <f t="shared" ref="K11:K33" si="0">K10+1</f>
        <v>2</v>
      </c>
    </row>
    <row r="12" spans="1:17" x14ac:dyDescent="0.3">
      <c r="A12" s="11">
        <f t="shared" ref="A12:A33" si="1">A11+1</f>
        <v>3</v>
      </c>
      <c r="B12" s="14" t="s">
        <v>119</v>
      </c>
      <c r="C12" s="24">
        <v>0</v>
      </c>
      <c r="D12" s="24">
        <f>C12</f>
        <v>0</v>
      </c>
      <c r="E12" s="24">
        <f>D12</f>
        <v>0</v>
      </c>
      <c r="F12" s="24">
        <f>E12</f>
        <v>0</v>
      </c>
      <c r="G12" s="24">
        <f>F12</f>
        <v>0</v>
      </c>
      <c r="H12" s="24">
        <f>G12</f>
        <v>0</v>
      </c>
      <c r="I12" s="14"/>
      <c r="J12" s="11"/>
      <c r="K12" s="11">
        <f t="shared" si="0"/>
        <v>3</v>
      </c>
    </row>
    <row r="13" spans="1:17" ht="19.5" thickBot="1" x14ac:dyDescent="0.35">
      <c r="A13" s="11">
        <f t="shared" si="1"/>
        <v>4</v>
      </c>
      <c r="B13" s="14" t="s">
        <v>120</v>
      </c>
      <c r="C13" s="42">
        <f t="shared" ref="C13:H13" si="2">C11*C12</f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  <c r="I13" s="14"/>
      <c r="J13" s="11" t="s">
        <v>121</v>
      </c>
      <c r="K13" s="11">
        <f t="shared" si="0"/>
        <v>4</v>
      </c>
    </row>
    <row r="14" spans="1:17" ht="19.5" thickTop="1" x14ac:dyDescent="0.3">
      <c r="A14" s="11">
        <f t="shared" si="1"/>
        <v>5</v>
      </c>
      <c r="B14" s="14"/>
      <c r="C14" s="14"/>
      <c r="D14" s="14"/>
      <c r="E14" s="14"/>
      <c r="F14" s="14"/>
      <c r="G14" s="14"/>
      <c r="H14" s="14"/>
      <c r="I14" s="14"/>
      <c r="J14" s="11"/>
      <c r="K14" s="11">
        <f t="shared" si="0"/>
        <v>5</v>
      </c>
    </row>
    <row r="15" spans="1:17" x14ac:dyDescent="0.3">
      <c r="A15" s="11">
        <f t="shared" si="1"/>
        <v>6</v>
      </c>
      <c r="B15" s="32" t="s">
        <v>122</v>
      </c>
      <c r="C15" s="14"/>
      <c r="D15" s="14"/>
      <c r="E15" s="14"/>
      <c r="F15" s="14"/>
      <c r="G15" s="14"/>
      <c r="H15" s="14"/>
      <c r="I15" s="14"/>
      <c r="J15" s="11"/>
      <c r="K15" s="11">
        <f t="shared" si="0"/>
        <v>6</v>
      </c>
    </row>
    <row r="16" spans="1:17" x14ac:dyDescent="0.3">
      <c r="A16" s="11">
        <f t="shared" si="1"/>
        <v>7</v>
      </c>
      <c r="B16" s="14" t="s">
        <v>123</v>
      </c>
      <c r="C16" s="18">
        <f>'Workpaper 1'!C45*1000</f>
        <v>0</v>
      </c>
      <c r="D16" s="18">
        <f>'Workpaper 1'!D45*1000</f>
        <v>0</v>
      </c>
      <c r="E16" s="18">
        <f>'Workpaper 1'!E45*1000</f>
        <v>0</v>
      </c>
      <c r="F16" s="18">
        <f>'Workpaper 1'!F45*1000</f>
        <v>0</v>
      </c>
      <c r="G16" s="18">
        <f>'Workpaper 1'!G45*1000</f>
        <v>0</v>
      </c>
      <c r="H16" s="18">
        <f>'Workpaper 1'!H45*1000</f>
        <v>0</v>
      </c>
      <c r="I16" s="14"/>
      <c r="J16" s="11" t="s">
        <v>124</v>
      </c>
      <c r="K16" s="11">
        <f t="shared" si="0"/>
        <v>7</v>
      </c>
    </row>
    <row r="17" spans="1:11" x14ac:dyDescent="0.3">
      <c r="A17" s="11">
        <f t="shared" si="1"/>
        <v>8</v>
      </c>
      <c r="B17" s="14" t="s">
        <v>125</v>
      </c>
      <c r="C17" s="18">
        <f>'Workpaper 1'!C46*1000</f>
        <v>0</v>
      </c>
      <c r="D17" s="18">
        <f>'Workpaper 1'!D46*1000</f>
        <v>0</v>
      </c>
      <c r="E17" s="18">
        <f>'Workpaper 1'!E46*1000</f>
        <v>0</v>
      </c>
      <c r="F17" s="18">
        <f>'Workpaper 1'!F46*1000</f>
        <v>0</v>
      </c>
      <c r="G17" s="18">
        <f>'Workpaper 1'!G46*1000</f>
        <v>0</v>
      </c>
      <c r="H17" s="18">
        <f>'Workpaper 1'!H46*1000</f>
        <v>0</v>
      </c>
      <c r="I17" s="14"/>
      <c r="J17" s="11" t="s">
        <v>126</v>
      </c>
      <c r="K17" s="11">
        <f t="shared" si="0"/>
        <v>8</v>
      </c>
    </row>
    <row r="18" spans="1:11" x14ac:dyDescent="0.3">
      <c r="A18" s="11">
        <f t="shared" si="1"/>
        <v>9</v>
      </c>
      <c r="B18" s="14" t="s">
        <v>127</v>
      </c>
      <c r="C18" s="18">
        <f>'Workpaper 1'!C47*1000</f>
        <v>0</v>
      </c>
      <c r="D18" s="18">
        <f>'Workpaper 1'!D47*1000</f>
        <v>0</v>
      </c>
      <c r="E18" s="18">
        <f>'Workpaper 1'!E47*1000</f>
        <v>0</v>
      </c>
      <c r="F18" s="18">
        <f>'Workpaper 1'!F47*1000</f>
        <v>0</v>
      </c>
      <c r="G18" s="18">
        <f>'Workpaper 1'!G47*1000</f>
        <v>0</v>
      </c>
      <c r="H18" s="18">
        <f>'Workpaper 1'!H47*1000</f>
        <v>0</v>
      </c>
      <c r="I18" s="14"/>
      <c r="J18" s="11" t="s">
        <v>128</v>
      </c>
      <c r="K18" s="11">
        <f t="shared" si="0"/>
        <v>9</v>
      </c>
    </row>
    <row r="19" spans="1:11" ht="19.5" thickBot="1" x14ac:dyDescent="0.35">
      <c r="A19" s="11">
        <f t="shared" si="1"/>
        <v>10</v>
      </c>
      <c r="B19" s="14" t="s">
        <v>129</v>
      </c>
      <c r="C19" s="33">
        <f t="shared" ref="C19:H19" si="3">SUM(C16:C18)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  <c r="H19" s="33">
        <f t="shared" si="3"/>
        <v>0</v>
      </c>
      <c r="I19" s="14"/>
      <c r="J19" s="50" t="s">
        <v>130</v>
      </c>
      <c r="K19" s="11">
        <f t="shared" si="0"/>
        <v>10</v>
      </c>
    </row>
    <row r="20" spans="1:11" ht="20.25" thickTop="1" thickBot="1" x14ac:dyDescent="0.35">
      <c r="A20" s="11">
        <f t="shared" si="1"/>
        <v>11</v>
      </c>
      <c r="B20" s="14" t="s">
        <v>131</v>
      </c>
      <c r="C20" s="35">
        <f>'A-Billing Determinants'!D17</f>
        <v>0</v>
      </c>
      <c r="D20" s="35">
        <f>'A-Billing Determinants'!F17</f>
        <v>0</v>
      </c>
      <c r="E20" s="35">
        <f>'A-Billing Determinants'!H17</f>
        <v>0</v>
      </c>
      <c r="F20" s="35">
        <f>'A-Billing Determinants'!J17</f>
        <v>0</v>
      </c>
      <c r="G20" s="35">
        <f>'A-Billing Determinants'!L17</f>
        <v>0</v>
      </c>
      <c r="H20" s="35">
        <f>'A-Billing Determinants'!N17</f>
        <v>0</v>
      </c>
      <c r="I20" s="14"/>
      <c r="J20" s="11" t="s">
        <v>132</v>
      </c>
      <c r="K20" s="11">
        <f t="shared" si="0"/>
        <v>11</v>
      </c>
    </row>
    <row r="21" spans="1:11" ht="20.25" thickTop="1" thickBot="1" x14ac:dyDescent="0.35">
      <c r="A21" s="11">
        <f t="shared" si="1"/>
        <v>12</v>
      </c>
      <c r="B21" s="14" t="s">
        <v>133</v>
      </c>
      <c r="C21" s="35">
        <f t="shared" ref="C21:H21" si="4">C19-C20</f>
        <v>0</v>
      </c>
      <c r="D21" s="35">
        <f t="shared" si="4"/>
        <v>0</v>
      </c>
      <c r="E21" s="35">
        <f t="shared" si="4"/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14"/>
      <c r="J21" s="36" t="s">
        <v>134</v>
      </c>
      <c r="K21" s="11">
        <f>K20+1</f>
        <v>12</v>
      </c>
    </row>
    <row r="22" spans="1:11" ht="19.5" thickTop="1" x14ac:dyDescent="0.3">
      <c r="A22" s="11">
        <f t="shared" si="1"/>
        <v>13</v>
      </c>
      <c r="B22" s="14"/>
      <c r="C22" s="37"/>
      <c r="D22" s="37"/>
      <c r="E22" s="37"/>
      <c r="F22" s="37"/>
      <c r="G22" s="37"/>
      <c r="H22" s="37"/>
      <c r="I22" s="14"/>
      <c r="J22" s="36"/>
      <c r="K22" s="11">
        <f t="shared" si="0"/>
        <v>13</v>
      </c>
    </row>
    <row r="23" spans="1:11" x14ac:dyDescent="0.3">
      <c r="A23" s="11">
        <f t="shared" si="1"/>
        <v>14</v>
      </c>
      <c r="B23" s="38" t="s">
        <v>135</v>
      </c>
      <c r="C23" s="37"/>
      <c r="D23" s="37"/>
      <c r="E23" s="37"/>
      <c r="F23" s="37"/>
      <c r="G23" s="37"/>
      <c r="H23" s="37"/>
      <c r="I23" s="14"/>
      <c r="J23" s="36"/>
      <c r="K23" s="11">
        <f t="shared" si="0"/>
        <v>14</v>
      </c>
    </row>
    <row r="24" spans="1:11" x14ac:dyDescent="0.3">
      <c r="A24" s="11">
        <f t="shared" si="1"/>
        <v>15</v>
      </c>
      <c r="B24" s="38" t="s">
        <v>136</v>
      </c>
      <c r="C24" s="14"/>
      <c r="D24" s="14"/>
      <c r="E24" s="14"/>
      <c r="F24" s="14"/>
      <c r="G24" s="14"/>
      <c r="H24" s="14"/>
      <c r="I24" s="14"/>
      <c r="J24" s="11"/>
      <c r="K24" s="11">
        <f t="shared" si="0"/>
        <v>15</v>
      </c>
    </row>
    <row r="25" spans="1:11" x14ac:dyDescent="0.3">
      <c r="A25" s="11">
        <f t="shared" si="1"/>
        <v>16</v>
      </c>
      <c r="B25" s="14" t="s">
        <v>123</v>
      </c>
      <c r="C25" s="51">
        <f>'[2]Transmission Rates Summary'!$F$19</f>
        <v>21.02</v>
      </c>
      <c r="D25" s="51">
        <f t="shared" ref="D25:H27" si="5">C25</f>
        <v>21.02</v>
      </c>
      <c r="E25" s="51">
        <f t="shared" si="5"/>
        <v>21.02</v>
      </c>
      <c r="F25" s="51">
        <f t="shared" si="5"/>
        <v>21.02</v>
      </c>
      <c r="G25" s="51">
        <f t="shared" si="5"/>
        <v>21.02</v>
      </c>
      <c r="H25" s="51">
        <f t="shared" si="5"/>
        <v>21.02</v>
      </c>
      <c r="I25" s="14"/>
      <c r="J25" s="11" t="s">
        <v>137</v>
      </c>
      <c r="K25" s="11">
        <f t="shared" si="0"/>
        <v>16</v>
      </c>
    </row>
    <row r="26" spans="1:11" x14ac:dyDescent="0.3">
      <c r="A26" s="11">
        <f t="shared" si="1"/>
        <v>17</v>
      </c>
      <c r="B26" s="14" t="s">
        <v>138</v>
      </c>
      <c r="C26" s="51">
        <f>'[2]Transmission Rates Summary'!$E$19</f>
        <v>20.309999999999999</v>
      </c>
      <c r="D26" s="51">
        <f t="shared" si="5"/>
        <v>20.309999999999999</v>
      </c>
      <c r="E26" s="51">
        <f t="shared" si="5"/>
        <v>20.309999999999999</v>
      </c>
      <c r="F26" s="51">
        <f t="shared" si="5"/>
        <v>20.309999999999999</v>
      </c>
      <c r="G26" s="51">
        <f t="shared" si="5"/>
        <v>20.309999999999999</v>
      </c>
      <c r="H26" s="51">
        <f t="shared" si="5"/>
        <v>20.309999999999999</v>
      </c>
      <c r="I26" s="14"/>
      <c r="J26" s="11" t="s">
        <v>139</v>
      </c>
      <c r="K26" s="11">
        <f t="shared" si="0"/>
        <v>17</v>
      </c>
    </row>
    <row r="27" spans="1:11" x14ac:dyDescent="0.3">
      <c r="A27" s="11">
        <f t="shared" si="1"/>
        <v>18</v>
      </c>
      <c r="B27" s="14" t="s">
        <v>127</v>
      </c>
      <c r="C27" s="51">
        <f>'[2]Transmission Rates Summary'!$D$19</f>
        <v>20.22</v>
      </c>
      <c r="D27" s="51">
        <f t="shared" si="5"/>
        <v>20.22</v>
      </c>
      <c r="E27" s="51">
        <f t="shared" si="5"/>
        <v>20.22</v>
      </c>
      <c r="F27" s="51">
        <f t="shared" si="5"/>
        <v>20.22</v>
      </c>
      <c r="G27" s="51">
        <f t="shared" si="5"/>
        <v>20.22</v>
      </c>
      <c r="H27" s="51">
        <f t="shared" si="5"/>
        <v>20.22</v>
      </c>
      <c r="I27" s="14"/>
      <c r="J27" s="11" t="s">
        <v>140</v>
      </c>
      <c r="K27" s="11">
        <f t="shared" si="0"/>
        <v>18</v>
      </c>
    </row>
    <row r="28" spans="1:11" x14ac:dyDescent="0.3">
      <c r="A28" s="11">
        <f t="shared" si="1"/>
        <v>19</v>
      </c>
      <c r="B28" s="38" t="s">
        <v>141</v>
      </c>
      <c r="C28" s="51"/>
      <c r="D28" s="39"/>
      <c r="E28" s="39"/>
      <c r="F28" s="39"/>
      <c r="G28" s="39"/>
      <c r="H28" s="39"/>
      <c r="I28" s="14"/>
      <c r="J28" s="11"/>
      <c r="K28" s="11">
        <f t="shared" si="0"/>
        <v>19</v>
      </c>
    </row>
    <row r="29" spans="1:11" x14ac:dyDescent="0.3">
      <c r="A29" s="11">
        <f t="shared" si="1"/>
        <v>20</v>
      </c>
      <c r="B29" s="38" t="s">
        <v>142</v>
      </c>
      <c r="C29" s="37"/>
      <c r="D29" s="37"/>
      <c r="E29" s="37"/>
      <c r="F29" s="37"/>
      <c r="G29" s="37"/>
      <c r="H29" s="37"/>
      <c r="I29" s="14"/>
      <c r="J29" s="36"/>
      <c r="K29" s="11">
        <f t="shared" si="0"/>
        <v>20</v>
      </c>
    </row>
    <row r="30" spans="1:11" x14ac:dyDescent="0.3">
      <c r="A30" s="11">
        <f t="shared" si="1"/>
        <v>21</v>
      </c>
      <c r="B30" s="14" t="s">
        <v>123</v>
      </c>
      <c r="C30" s="40">
        <f t="shared" ref="C30:H32" si="6">C25*C16</f>
        <v>0</v>
      </c>
      <c r="D30" s="40">
        <f t="shared" si="6"/>
        <v>0</v>
      </c>
      <c r="E30" s="40">
        <f t="shared" si="6"/>
        <v>0</v>
      </c>
      <c r="F30" s="40">
        <f t="shared" si="6"/>
        <v>0</v>
      </c>
      <c r="G30" s="40">
        <f t="shared" si="6"/>
        <v>0</v>
      </c>
      <c r="H30" s="40">
        <f t="shared" si="6"/>
        <v>0</v>
      </c>
      <c r="I30" s="14"/>
      <c r="J30" s="36" t="s">
        <v>143</v>
      </c>
      <c r="K30" s="11">
        <f t="shared" si="0"/>
        <v>21</v>
      </c>
    </row>
    <row r="31" spans="1:11" x14ac:dyDescent="0.3">
      <c r="A31" s="11">
        <f t="shared" si="1"/>
        <v>22</v>
      </c>
      <c r="B31" s="14" t="s">
        <v>125</v>
      </c>
      <c r="C31" s="37">
        <f t="shared" si="6"/>
        <v>0</v>
      </c>
      <c r="D31" s="37">
        <f t="shared" si="6"/>
        <v>0</v>
      </c>
      <c r="E31" s="37">
        <f t="shared" si="6"/>
        <v>0</v>
      </c>
      <c r="F31" s="37">
        <f t="shared" si="6"/>
        <v>0</v>
      </c>
      <c r="G31" s="37">
        <f t="shared" si="6"/>
        <v>0</v>
      </c>
      <c r="H31" s="37">
        <f t="shared" si="6"/>
        <v>0</v>
      </c>
      <c r="I31" s="14"/>
      <c r="J31" s="36" t="s">
        <v>144</v>
      </c>
      <c r="K31" s="11">
        <f t="shared" si="0"/>
        <v>22</v>
      </c>
    </row>
    <row r="32" spans="1:11" x14ac:dyDescent="0.3">
      <c r="A32" s="11">
        <f t="shared" si="1"/>
        <v>23</v>
      </c>
      <c r="B32" s="14" t="s">
        <v>127</v>
      </c>
      <c r="C32" s="37">
        <f t="shared" si="6"/>
        <v>0</v>
      </c>
      <c r="D32" s="37">
        <f t="shared" si="6"/>
        <v>0</v>
      </c>
      <c r="E32" s="37">
        <f t="shared" si="6"/>
        <v>0</v>
      </c>
      <c r="F32" s="37">
        <f t="shared" si="6"/>
        <v>0</v>
      </c>
      <c r="G32" s="37">
        <f t="shared" si="6"/>
        <v>0</v>
      </c>
      <c r="H32" s="37">
        <f t="shared" si="6"/>
        <v>0</v>
      </c>
      <c r="I32" s="14"/>
      <c r="J32" s="36" t="s">
        <v>145</v>
      </c>
      <c r="K32" s="11">
        <f t="shared" si="0"/>
        <v>23</v>
      </c>
    </row>
    <row r="33" spans="1:17" ht="19.5" thickBot="1" x14ac:dyDescent="0.35">
      <c r="A33" s="11">
        <f t="shared" si="1"/>
        <v>24</v>
      </c>
      <c r="B33" s="14" t="s">
        <v>146</v>
      </c>
      <c r="C33" s="42">
        <f t="shared" ref="C33:H33" si="7">SUM(C30:C32)</f>
        <v>0</v>
      </c>
      <c r="D33" s="42">
        <f t="shared" si="7"/>
        <v>0</v>
      </c>
      <c r="E33" s="42">
        <f t="shared" si="7"/>
        <v>0</v>
      </c>
      <c r="F33" s="42">
        <f t="shared" si="7"/>
        <v>0</v>
      </c>
      <c r="G33" s="42">
        <f t="shared" si="7"/>
        <v>0</v>
      </c>
      <c r="H33" s="42">
        <f t="shared" si="7"/>
        <v>0</v>
      </c>
      <c r="I33" s="14"/>
      <c r="J33" s="50" t="s">
        <v>147</v>
      </c>
      <c r="K33" s="11">
        <f t="shared" si="0"/>
        <v>24</v>
      </c>
    </row>
    <row r="34" spans="1:17" ht="19.5" thickTop="1" x14ac:dyDescent="0.3">
      <c r="A34" s="17"/>
      <c r="B34" s="24"/>
      <c r="C34" s="24"/>
      <c r="D34" s="24"/>
      <c r="E34" s="24"/>
      <c r="F34" s="24"/>
      <c r="G34" s="24"/>
      <c r="H34" s="24"/>
      <c r="I34" s="24"/>
      <c r="J34" s="17"/>
      <c r="K34" s="17"/>
    </row>
    <row r="35" spans="1:17" x14ac:dyDescent="0.3">
      <c r="A35" s="7"/>
      <c r="O35" s="46"/>
      <c r="P35" s="7"/>
      <c r="Q35" s="7"/>
    </row>
    <row r="36" spans="1:17" x14ac:dyDescent="0.3">
      <c r="A36" s="8" t="s">
        <v>8</v>
      </c>
      <c r="B36" s="28"/>
      <c r="C36" s="8" t="str">
        <f>C7</f>
        <v>(A)</v>
      </c>
      <c r="D36" s="8" t="str">
        <f t="shared" ref="D36:I36" si="8">D7</f>
        <v>(B)</v>
      </c>
      <c r="E36" s="8" t="str">
        <f t="shared" si="8"/>
        <v>(C)</v>
      </c>
      <c r="F36" s="8" t="str">
        <f t="shared" si="8"/>
        <v>(D)</v>
      </c>
      <c r="G36" s="8" t="str">
        <f t="shared" si="8"/>
        <v>(E)</v>
      </c>
      <c r="H36" s="8" t="str">
        <f t="shared" si="8"/>
        <v>(F)</v>
      </c>
      <c r="I36" s="8" t="str">
        <f t="shared" si="8"/>
        <v>(G)</v>
      </c>
      <c r="J36" s="28"/>
      <c r="K36" s="8" t="s">
        <v>8</v>
      </c>
      <c r="O36" s="46"/>
      <c r="P36" s="7"/>
      <c r="Q36" s="7"/>
    </row>
    <row r="37" spans="1:17" ht="22.5" x14ac:dyDescent="0.3">
      <c r="A37" s="17" t="s">
        <v>10</v>
      </c>
      <c r="B37" s="17" t="s">
        <v>114</v>
      </c>
      <c r="C37" s="29">
        <f>'Summary of Revs @ Changed Rates'!C30</f>
        <v>45839</v>
      </c>
      <c r="D37" s="29">
        <f>'Summary of Revs @ Changed Rates'!D30</f>
        <v>45870</v>
      </c>
      <c r="E37" s="29">
        <f>'Summary of Revs @ Changed Rates'!E30</f>
        <v>45901</v>
      </c>
      <c r="F37" s="29">
        <f>'Summary of Revs @ Changed Rates'!F30</f>
        <v>45931</v>
      </c>
      <c r="G37" s="29">
        <f>'Summary of Revs @ Changed Rates'!G30</f>
        <v>45962</v>
      </c>
      <c r="H37" s="29">
        <f>'Summary of Revs @ Changed Rates'!H30</f>
        <v>45992</v>
      </c>
      <c r="I37" s="30" t="s">
        <v>61</v>
      </c>
      <c r="J37" s="17" t="s">
        <v>115</v>
      </c>
      <c r="K37" s="17" t="s">
        <v>10</v>
      </c>
      <c r="O37" s="46"/>
      <c r="P37" s="7"/>
      <c r="Q37" s="7"/>
    </row>
    <row r="38" spans="1:17" x14ac:dyDescent="0.3">
      <c r="A38" s="11"/>
      <c r="B38" s="14"/>
      <c r="C38" s="31"/>
      <c r="D38" s="31"/>
      <c r="E38" s="31"/>
      <c r="F38" s="31"/>
      <c r="G38" s="31"/>
      <c r="H38" s="31"/>
      <c r="I38" s="11"/>
      <c r="J38" s="11"/>
      <c r="K38" s="11"/>
      <c r="O38" s="46"/>
      <c r="P38" s="7"/>
      <c r="Q38" s="7"/>
    </row>
    <row r="39" spans="1:17" x14ac:dyDescent="0.3">
      <c r="A39" s="11">
        <f>A33+1</f>
        <v>25</v>
      </c>
      <c r="B39" s="38" t="s">
        <v>116</v>
      </c>
      <c r="C39" s="14"/>
      <c r="D39" s="14"/>
      <c r="E39" s="14"/>
      <c r="F39" s="14"/>
      <c r="G39" s="14"/>
      <c r="H39" s="14"/>
      <c r="I39" s="14"/>
      <c r="J39" s="11"/>
      <c r="K39" s="11">
        <f>K33+1</f>
        <v>25</v>
      </c>
      <c r="O39" s="46"/>
      <c r="P39" s="7"/>
      <c r="Q39" s="7"/>
    </row>
    <row r="40" spans="1:17" x14ac:dyDescent="0.3">
      <c r="A40" s="11">
        <f>A39+1</f>
        <v>26</v>
      </c>
      <c r="B40" s="14" t="s">
        <v>117</v>
      </c>
      <c r="C40" s="47">
        <f>'Workpaper 1'!I147*1000</f>
        <v>838846181.36289918</v>
      </c>
      <c r="D40" s="47">
        <f>'Workpaper 1'!J147*1000</f>
        <v>875481607.36812794</v>
      </c>
      <c r="E40" s="47">
        <f>'Workpaper 1'!K147*1000</f>
        <v>915168821.98981917</v>
      </c>
      <c r="F40" s="47">
        <f>'Workpaper 1'!L147*1000</f>
        <v>830726294.65735018</v>
      </c>
      <c r="G40" s="47">
        <f>'Workpaper 1'!M147*1000</f>
        <v>757391548.70867193</v>
      </c>
      <c r="H40" s="47">
        <f>'Workpaper 1'!N147*1000</f>
        <v>759868650.98507214</v>
      </c>
      <c r="I40" s="37">
        <f>SUM(C11:H11,C40:H40)</f>
        <v>9360728509.4514618</v>
      </c>
      <c r="J40" s="11" t="str">
        <f>J11</f>
        <v>(Page BG-21.3, Line 145) x 1000</v>
      </c>
      <c r="K40" s="11">
        <f t="shared" ref="K40:K62" si="9">K39+1</f>
        <v>26</v>
      </c>
      <c r="O40" s="46"/>
      <c r="P40" s="7"/>
      <c r="Q40" s="7"/>
    </row>
    <row r="41" spans="1:17" x14ac:dyDescent="0.3">
      <c r="A41" s="11">
        <f t="shared" ref="A41:A62" si="10">A40+1</f>
        <v>27</v>
      </c>
      <c r="B41" s="14" t="s">
        <v>119</v>
      </c>
      <c r="C41" s="24">
        <f>H12</f>
        <v>0</v>
      </c>
      <c r="D41" s="24">
        <f>C41</f>
        <v>0</v>
      </c>
      <c r="E41" s="24">
        <f>D41</f>
        <v>0</v>
      </c>
      <c r="F41" s="24">
        <f>E41</f>
        <v>0</v>
      </c>
      <c r="G41" s="24">
        <f>F41</f>
        <v>0</v>
      </c>
      <c r="H41" s="24">
        <f>G41</f>
        <v>0</v>
      </c>
      <c r="I41" s="37">
        <f>SUM(C12:H12,C41:H41)</f>
        <v>0</v>
      </c>
      <c r="J41" s="11"/>
      <c r="K41" s="11">
        <f t="shared" si="9"/>
        <v>27</v>
      </c>
      <c r="O41" s="46"/>
      <c r="P41" s="7"/>
      <c r="Q41" s="7"/>
    </row>
    <row r="42" spans="1:17" ht="19.5" thickBot="1" x14ac:dyDescent="0.35">
      <c r="A42" s="11">
        <f t="shared" si="10"/>
        <v>28</v>
      </c>
      <c r="B42" s="14"/>
      <c r="C42" s="54">
        <f t="shared" ref="C42:H42" si="11">C40*C41</f>
        <v>0</v>
      </c>
      <c r="D42" s="54">
        <f t="shared" si="11"/>
        <v>0</v>
      </c>
      <c r="E42" s="54">
        <f t="shared" si="11"/>
        <v>0</v>
      </c>
      <c r="F42" s="54">
        <f t="shared" si="11"/>
        <v>0</v>
      </c>
      <c r="G42" s="54">
        <f t="shared" si="11"/>
        <v>0</v>
      </c>
      <c r="H42" s="54">
        <f t="shared" si="11"/>
        <v>0</v>
      </c>
      <c r="I42" s="54">
        <f>SUM(C13:H13,C42:H42)</f>
        <v>0</v>
      </c>
      <c r="J42" s="11" t="s">
        <v>148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10"/>
        <v>29</v>
      </c>
      <c r="B43" s="14"/>
      <c r="C43" s="14"/>
      <c r="D43" s="14"/>
      <c r="E43" s="14"/>
      <c r="F43" s="14"/>
      <c r="G43" s="14"/>
      <c r="H43" s="14"/>
      <c r="I43" s="14"/>
      <c r="J43" s="11"/>
      <c r="K43" s="11">
        <f t="shared" si="9"/>
        <v>29</v>
      </c>
      <c r="O43" s="46"/>
      <c r="P43" s="7"/>
      <c r="Q43" s="7"/>
    </row>
    <row r="44" spans="1:17" x14ac:dyDescent="0.3">
      <c r="A44" s="11">
        <f t="shared" si="10"/>
        <v>30</v>
      </c>
      <c r="B44" s="32" t="s">
        <v>122</v>
      </c>
      <c r="C44" s="14"/>
      <c r="D44" s="14"/>
      <c r="E44" s="14"/>
      <c r="F44" s="14"/>
      <c r="G44" s="14"/>
      <c r="H44" s="14"/>
      <c r="I44" s="14"/>
      <c r="J44" s="11"/>
      <c r="K44" s="11">
        <f t="shared" si="9"/>
        <v>30</v>
      </c>
      <c r="O44" s="46"/>
      <c r="P44" s="7"/>
      <c r="Q44" s="7"/>
    </row>
    <row r="45" spans="1:17" x14ac:dyDescent="0.3">
      <c r="A45" s="11">
        <f t="shared" si="10"/>
        <v>31</v>
      </c>
      <c r="B45" s="14" t="s">
        <v>123</v>
      </c>
      <c r="C45" s="47">
        <f>'Workpaper 1'!I45*1000</f>
        <v>0</v>
      </c>
      <c r="D45" s="47">
        <f>'Workpaper 1'!J45*1000</f>
        <v>0</v>
      </c>
      <c r="E45" s="47">
        <f>'Workpaper 1'!K45*1000</f>
        <v>0</v>
      </c>
      <c r="F45" s="47">
        <f>'Workpaper 1'!L45*1000</f>
        <v>0</v>
      </c>
      <c r="G45" s="47">
        <f>'Workpaper 1'!M45*1000</f>
        <v>0</v>
      </c>
      <c r="H45" s="47">
        <f>'Workpaper 1'!N45*1000</f>
        <v>0</v>
      </c>
      <c r="I45" s="37">
        <f>SUM(C16:H16,C45:H45)</f>
        <v>0</v>
      </c>
      <c r="J45" s="11" t="str">
        <f>J16</f>
        <v>(Page BG-21.1, Line 43) x 1000</v>
      </c>
      <c r="K45" s="11">
        <f t="shared" si="9"/>
        <v>31</v>
      </c>
      <c r="O45" s="46"/>
      <c r="P45" s="7"/>
      <c r="Q45" s="7"/>
    </row>
    <row r="46" spans="1:17" x14ac:dyDescent="0.3">
      <c r="A46" s="11">
        <f t="shared" si="10"/>
        <v>32</v>
      </c>
      <c r="B46" s="14" t="s">
        <v>125</v>
      </c>
      <c r="C46" s="47">
        <f>'Workpaper 1'!I46*1000</f>
        <v>0</v>
      </c>
      <c r="D46" s="47">
        <f>'Workpaper 1'!J46*1000</f>
        <v>0</v>
      </c>
      <c r="E46" s="47">
        <f>'Workpaper 1'!K46*1000</f>
        <v>0</v>
      </c>
      <c r="F46" s="47">
        <f>'Workpaper 1'!L46*1000</f>
        <v>0</v>
      </c>
      <c r="G46" s="47">
        <f>'Workpaper 1'!M46*1000</f>
        <v>0</v>
      </c>
      <c r="H46" s="47">
        <f>'Workpaper 1'!N46*1000</f>
        <v>0</v>
      </c>
      <c r="I46" s="37">
        <f>SUM(C17:H17,C46:H46)</f>
        <v>0</v>
      </c>
      <c r="J46" s="11" t="str">
        <f>J17</f>
        <v>(Page BG-21.1, Line 44) x 1000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10"/>
        <v>33</v>
      </c>
      <c r="B47" s="14" t="s">
        <v>127</v>
      </c>
      <c r="C47" s="47">
        <f>'Workpaper 1'!I47*1000</f>
        <v>0</v>
      </c>
      <c r="D47" s="47">
        <f>'Workpaper 1'!J47*1000</f>
        <v>0</v>
      </c>
      <c r="E47" s="47">
        <f>'Workpaper 1'!K47*1000</f>
        <v>0</v>
      </c>
      <c r="F47" s="47">
        <f>'Workpaper 1'!L47*1000</f>
        <v>0</v>
      </c>
      <c r="G47" s="47">
        <f>'Workpaper 1'!M47*1000</f>
        <v>0</v>
      </c>
      <c r="H47" s="47">
        <f>'Workpaper 1'!N47*1000</f>
        <v>0</v>
      </c>
      <c r="I47" s="37">
        <f>SUM(C18:H18,C47:H47)</f>
        <v>0</v>
      </c>
      <c r="J47" s="11" t="str">
        <f>J18</f>
        <v>(Page BG-21.1, Line 45) x 1000</v>
      </c>
      <c r="K47" s="11">
        <f t="shared" si="9"/>
        <v>33</v>
      </c>
      <c r="O47" s="46"/>
      <c r="P47" s="7"/>
      <c r="Q47" s="7"/>
    </row>
    <row r="48" spans="1:17" ht="19.5" thickBot="1" x14ac:dyDescent="0.35">
      <c r="A48" s="11">
        <f t="shared" si="10"/>
        <v>34</v>
      </c>
      <c r="B48" s="14" t="s">
        <v>129</v>
      </c>
      <c r="C48" s="48">
        <f t="shared" ref="C48:I48" si="12">SUM(C45:C47)</f>
        <v>0</v>
      </c>
      <c r="D48" s="48">
        <f t="shared" si="12"/>
        <v>0</v>
      </c>
      <c r="E48" s="48">
        <f t="shared" si="12"/>
        <v>0</v>
      </c>
      <c r="F48" s="48">
        <f t="shared" si="12"/>
        <v>0</v>
      </c>
      <c r="G48" s="48">
        <f t="shared" si="12"/>
        <v>0</v>
      </c>
      <c r="H48" s="48">
        <f t="shared" si="12"/>
        <v>0</v>
      </c>
      <c r="I48" s="49">
        <f t="shared" si="12"/>
        <v>0</v>
      </c>
      <c r="J48" s="50" t="s">
        <v>149</v>
      </c>
      <c r="K48" s="11">
        <f t="shared" si="9"/>
        <v>34</v>
      </c>
      <c r="O48" s="46"/>
      <c r="P48" s="7"/>
      <c r="Q48" s="7"/>
    </row>
    <row r="49" spans="1:17" ht="20.25" thickTop="1" thickBot="1" x14ac:dyDescent="0.35">
      <c r="A49" s="11">
        <f t="shared" si="10"/>
        <v>35</v>
      </c>
      <c r="B49" s="14" t="s">
        <v>131</v>
      </c>
      <c r="C49" s="35">
        <f>'B-Billing Determinants'!D17</f>
        <v>0</v>
      </c>
      <c r="D49" s="35">
        <f>'B-Billing Determinants'!F17</f>
        <v>0</v>
      </c>
      <c r="E49" s="35">
        <f>'B-Billing Determinants'!H17</f>
        <v>0</v>
      </c>
      <c r="F49" s="35">
        <f>'B-Billing Determinants'!J17</f>
        <v>0</v>
      </c>
      <c r="G49" s="35">
        <f>'B-Billing Determinants'!L17</f>
        <v>0</v>
      </c>
      <c r="H49" s="35">
        <f>'B-Billing Determinants'!N17</f>
        <v>0</v>
      </c>
      <c r="I49" s="37">
        <f>SUM(C20:H20,C49:H49)</f>
        <v>0</v>
      </c>
      <c r="J49" s="11" t="s">
        <v>150</v>
      </c>
      <c r="K49" s="11">
        <f t="shared" si="9"/>
        <v>35</v>
      </c>
      <c r="O49" s="46"/>
      <c r="P49" s="7"/>
      <c r="Q49" s="7"/>
    </row>
    <row r="50" spans="1:17" ht="20.25" thickTop="1" thickBot="1" x14ac:dyDescent="0.35">
      <c r="A50" s="11">
        <f t="shared" si="10"/>
        <v>36</v>
      </c>
      <c r="B50" s="14" t="s">
        <v>133</v>
      </c>
      <c r="C50" s="35">
        <f t="shared" ref="C50:I50" si="13">C48-C49</f>
        <v>0</v>
      </c>
      <c r="D50" s="35">
        <f t="shared" si="13"/>
        <v>0</v>
      </c>
      <c r="E50" s="35">
        <f t="shared" si="13"/>
        <v>0</v>
      </c>
      <c r="F50" s="35">
        <f t="shared" si="13"/>
        <v>0</v>
      </c>
      <c r="G50" s="35">
        <f t="shared" si="13"/>
        <v>0</v>
      </c>
      <c r="H50" s="35">
        <f t="shared" si="13"/>
        <v>0</v>
      </c>
      <c r="I50" s="35">
        <f t="shared" si="13"/>
        <v>0</v>
      </c>
      <c r="J50" s="36" t="s">
        <v>151</v>
      </c>
      <c r="K50" s="11">
        <f t="shared" si="9"/>
        <v>36</v>
      </c>
      <c r="O50" s="46"/>
      <c r="P50" s="7"/>
      <c r="Q50" s="7"/>
    </row>
    <row r="51" spans="1:17" ht="19.5" thickTop="1" x14ac:dyDescent="0.3">
      <c r="A51" s="11">
        <f t="shared" si="10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9"/>
        <v>37</v>
      </c>
      <c r="O51" s="46"/>
      <c r="P51" s="7"/>
      <c r="Q51" s="7"/>
    </row>
    <row r="52" spans="1:17" x14ac:dyDescent="0.3">
      <c r="A52" s="11">
        <f t="shared" si="10"/>
        <v>38</v>
      </c>
      <c r="B52" s="38" t="s">
        <v>135</v>
      </c>
      <c r="C52" s="37"/>
      <c r="D52" s="37"/>
      <c r="E52" s="37"/>
      <c r="F52" s="37"/>
      <c r="G52" s="37"/>
      <c r="H52" s="37"/>
      <c r="I52" s="37"/>
      <c r="J52" s="36"/>
      <c r="K52" s="11">
        <f t="shared" si="9"/>
        <v>38</v>
      </c>
      <c r="O52" s="46"/>
      <c r="P52" s="7"/>
      <c r="Q52" s="7"/>
    </row>
    <row r="53" spans="1:17" x14ac:dyDescent="0.3">
      <c r="A53" s="11">
        <f t="shared" si="10"/>
        <v>39</v>
      </c>
      <c r="B53" s="38" t="s">
        <v>136</v>
      </c>
      <c r="C53" s="14"/>
      <c r="D53" s="14"/>
      <c r="E53" s="14"/>
      <c r="F53" s="14"/>
      <c r="G53" s="14"/>
      <c r="H53" s="14"/>
      <c r="I53" s="14"/>
      <c r="J53" s="11"/>
      <c r="K53" s="11">
        <f t="shared" si="9"/>
        <v>39</v>
      </c>
      <c r="O53" s="46"/>
      <c r="P53" s="7"/>
      <c r="Q53" s="7"/>
    </row>
    <row r="54" spans="1:17" x14ac:dyDescent="0.3">
      <c r="A54" s="11">
        <f t="shared" si="10"/>
        <v>40</v>
      </c>
      <c r="B54" s="14" t="s">
        <v>123</v>
      </c>
      <c r="C54" s="51">
        <f>H25</f>
        <v>21.02</v>
      </c>
      <c r="D54" s="51">
        <f t="shared" ref="D54:H56" si="14">C54</f>
        <v>21.02</v>
      </c>
      <c r="E54" s="51">
        <f t="shared" si="14"/>
        <v>21.02</v>
      </c>
      <c r="F54" s="51">
        <f t="shared" si="14"/>
        <v>21.02</v>
      </c>
      <c r="G54" s="51">
        <f t="shared" si="14"/>
        <v>21.02</v>
      </c>
      <c r="H54" s="51">
        <f t="shared" si="14"/>
        <v>21.02</v>
      </c>
      <c r="I54" s="14"/>
      <c r="J54" s="11" t="str">
        <f>J25</f>
        <v>Statement BL, Page BL-1, Line 6, Col. D</v>
      </c>
      <c r="K54" s="11">
        <f t="shared" si="9"/>
        <v>40</v>
      </c>
      <c r="O54" s="46"/>
      <c r="P54" s="7"/>
      <c r="Q54" s="7"/>
    </row>
    <row r="55" spans="1:17" x14ac:dyDescent="0.3">
      <c r="A55" s="11">
        <f t="shared" si="10"/>
        <v>41</v>
      </c>
      <c r="B55" s="14" t="s">
        <v>138</v>
      </c>
      <c r="C55" s="51">
        <f>H26</f>
        <v>20.309999999999999</v>
      </c>
      <c r="D55" s="51">
        <f t="shared" si="14"/>
        <v>20.309999999999999</v>
      </c>
      <c r="E55" s="51">
        <f t="shared" si="14"/>
        <v>20.309999999999999</v>
      </c>
      <c r="F55" s="51">
        <f t="shared" si="14"/>
        <v>20.309999999999999</v>
      </c>
      <c r="G55" s="51">
        <f t="shared" si="14"/>
        <v>20.309999999999999</v>
      </c>
      <c r="H55" s="51">
        <f t="shared" si="14"/>
        <v>20.309999999999999</v>
      </c>
      <c r="I55" s="14"/>
      <c r="J55" s="11" t="str">
        <f>J26</f>
        <v>Statement BL, Page BL-1, Line 6, Col. C</v>
      </c>
      <c r="K55" s="11">
        <f t="shared" si="9"/>
        <v>41</v>
      </c>
      <c r="O55" s="46"/>
      <c r="P55" s="7"/>
      <c r="Q55" s="7"/>
    </row>
    <row r="56" spans="1:17" x14ac:dyDescent="0.3">
      <c r="A56" s="11">
        <f t="shared" si="10"/>
        <v>42</v>
      </c>
      <c r="B56" s="14" t="s">
        <v>127</v>
      </c>
      <c r="C56" s="51">
        <f>H27</f>
        <v>20.22</v>
      </c>
      <c r="D56" s="51">
        <f t="shared" si="14"/>
        <v>20.22</v>
      </c>
      <c r="E56" s="51">
        <f t="shared" si="14"/>
        <v>20.22</v>
      </c>
      <c r="F56" s="51">
        <f t="shared" si="14"/>
        <v>20.22</v>
      </c>
      <c r="G56" s="51">
        <f t="shared" si="14"/>
        <v>20.22</v>
      </c>
      <c r="H56" s="51">
        <f t="shared" si="14"/>
        <v>20.22</v>
      </c>
      <c r="I56" s="14"/>
      <c r="J56" s="11" t="str">
        <f>J27</f>
        <v>Statement BL, Page BL-1, Line 6, Col. B</v>
      </c>
      <c r="K56" s="11">
        <f t="shared" si="9"/>
        <v>42</v>
      </c>
      <c r="O56" s="46"/>
      <c r="P56" s="7"/>
      <c r="Q56" s="7"/>
    </row>
    <row r="57" spans="1:17" x14ac:dyDescent="0.3">
      <c r="A57" s="11">
        <f t="shared" si="10"/>
        <v>43</v>
      </c>
      <c r="B57" s="38" t="s">
        <v>141</v>
      </c>
      <c r="C57" s="51"/>
      <c r="D57" s="51"/>
      <c r="E57" s="51"/>
      <c r="F57" s="51"/>
      <c r="G57" s="51"/>
      <c r="H57" s="51"/>
      <c r="I57" s="14"/>
      <c r="J57" s="61"/>
      <c r="K57" s="11">
        <f t="shared" si="9"/>
        <v>43</v>
      </c>
      <c r="O57" s="46"/>
      <c r="P57" s="7"/>
      <c r="Q57" s="7"/>
    </row>
    <row r="58" spans="1:17" x14ac:dyDescent="0.3">
      <c r="A58" s="11">
        <f t="shared" si="10"/>
        <v>44</v>
      </c>
      <c r="B58" s="38" t="s">
        <v>142</v>
      </c>
      <c r="C58" s="37"/>
      <c r="D58" s="37"/>
      <c r="E58" s="37"/>
      <c r="F58" s="37"/>
      <c r="G58" s="37"/>
      <c r="H58" s="37"/>
      <c r="I58" s="37"/>
      <c r="J58" s="52"/>
      <c r="K58" s="11">
        <f t="shared" si="9"/>
        <v>44</v>
      </c>
      <c r="O58" s="46"/>
      <c r="P58" s="7"/>
      <c r="Q58" s="7"/>
    </row>
    <row r="59" spans="1:17" x14ac:dyDescent="0.3">
      <c r="A59" s="11">
        <f t="shared" si="10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 t="shared" si="15"/>
        <v>0</v>
      </c>
      <c r="H59" s="53">
        <f t="shared" si="15"/>
        <v>0</v>
      </c>
      <c r="I59" s="53">
        <f>SUM(C30:H30,C59:H59)</f>
        <v>0</v>
      </c>
      <c r="J59" s="52" t="s">
        <v>152</v>
      </c>
      <c r="K59" s="11">
        <f t="shared" si="9"/>
        <v>45</v>
      </c>
      <c r="O59" s="46"/>
      <c r="P59" s="7"/>
      <c r="Q59" s="7"/>
    </row>
    <row r="60" spans="1:17" x14ac:dyDescent="0.3">
      <c r="A60" s="11">
        <f t="shared" si="10"/>
        <v>46</v>
      </c>
      <c r="B60" s="14" t="s">
        <v>125</v>
      </c>
      <c r="C60" s="37">
        <f t="shared" si="15"/>
        <v>0</v>
      </c>
      <c r="D60" s="37">
        <f t="shared" si="15"/>
        <v>0</v>
      </c>
      <c r="E60" s="37">
        <f t="shared" si="15"/>
        <v>0</v>
      </c>
      <c r="F60" s="37">
        <f t="shared" si="15"/>
        <v>0</v>
      </c>
      <c r="G60" s="37">
        <f t="shared" si="15"/>
        <v>0</v>
      </c>
      <c r="H60" s="37">
        <f t="shared" si="15"/>
        <v>0</v>
      </c>
      <c r="I60" s="53">
        <f>SUM(C31:H31,C60:H60)</f>
        <v>0</v>
      </c>
      <c r="J60" s="52" t="s">
        <v>153</v>
      </c>
      <c r="K60" s="11">
        <f t="shared" si="9"/>
        <v>46</v>
      </c>
      <c r="O60" s="46"/>
      <c r="P60" s="7"/>
      <c r="Q60" s="7"/>
    </row>
    <row r="61" spans="1:17" x14ac:dyDescent="0.3">
      <c r="A61" s="11">
        <f t="shared" si="10"/>
        <v>47</v>
      </c>
      <c r="B61" s="14" t="s">
        <v>127</v>
      </c>
      <c r="C61" s="37">
        <f t="shared" si="15"/>
        <v>0</v>
      </c>
      <c r="D61" s="37">
        <f t="shared" si="15"/>
        <v>0</v>
      </c>
      <c r="E61" s="37">
        <f t="shared" si="15"/>
        <v>0</v>
      </c>
      <c r="F61" s="37">
        <f t="shared" si="15"/>
        <v>0</v>
      </c>
      <c r="G61" s="37">
        <f t="shared" si="15"/>
        <v>0</v>
      </c>
      <c r="H61" s="37">
        <f t="shared" si="15"/>
        <v>0</v>
      </c>
      <c r="I61" s="53">
        <f>SUM(C32:H32,C61:H61)</f>
        <v>0</v>
      </c>
      <c r="J61" s="52" t="s">
        <v>154</v>
      </c>
      <c r="K61" s="11">
        <f t="shared" si="9"/>
        <v>47</v>
      </c>
      <c r="O61" s="46"/>
      <c r="P61" s="7"/>
      <c r="Q61" s="7"/>
    </row>
    <row r="62" spans="1:17" ht="19.5" thickBot="1" x14ac:dyDescent="0.35">
      <c r="A62" s="11">
        <f t="shared" si="10"/>
        <v>48</v>
      </c>
      <c r="B62" s="38" t="s">
        <v>155</v>
      </c>
      <c r="C62" s="54">
        <f t="shared" ref="C62:I62" si="16">SUM(C59:C61)</f>
        <v>0</v>
      </c>
      <c r="D62" s="54">
        <f t="shared" si="16"/>
        <v>0</v>
      </c>
      <c r="E62" s="54">
        <f t="shared" si="16"/>
        <v>0</v>
      </c>
      <c r="F62" s="54">
        <f t="shared" si="16"/>
        <v>0</v>
      </c>
      <c r="G62" s="54">
        <f t="shared" si="16"/>
        <v>0</v>
      </c>
      <c r="H62" s="54">
        <f t="shared" si="16"/>
        <v>0</v>
      </c>
      <c r="I62" s="54">
        <f t="shared" si="16"/>
        <v>0</v>
      </c>
      <c r="J62" s="50" t="s">
        <v>156</v>
      </c>
      <c r="K62" s="11">
        <f t="shared" si="9"/>
        <v>48</v>
      </c>
      <c r="O62" s="46"/>
      <c r="P62" s="7"/>
      <c r="Q62" s="7"/>
    </row>
    <row r="63" spans="1:17" ht="19.5" thickTop="1" x14ac:dyDescent="0.3">
      <c r="A63" s="17"/>
      <c r="B63" s="24"/>
      <c r="C63" s="24"/>
      <c r="D63" s="24"/>
      <c r="E63" s="24"/>
      <c r="F63" s="24"/>
      <c r="G63" s="24"/>
      <c r="H63" s="24"/>
      <c r="I63" s="56"/>
      <c r="J63" s="17"/>
      <c r="K63" s="17"/>
      <c r="O63" s="46"/>
      <c r="P63" s="7"/>
      <c r="Q63" s="7"/>
    </row>
    <row r="64" spans="1:17" x14ac:dyDescent="0.3">
      <c r="B64" s="25" t="s">
        <v>46</v>
      </c>
    </row>
    <row r="65" spans="1:2" ht="22.5" x14ac:dyDescent="0.3">
      <c r="A65" s="77">
        <v>1</v>
      </c>
      <c r="B65" s="1" t="s">
        <v>157</v>
      </c>
    </row>
    <row r="66" spans="1:2" ht="22.5" x14ac:dyDescent="0.3">
      <c r="A66" s="77"/>
    </row>
    <row r="67" spans="1:2" ht="22.5" x14ac:dyDescent="0.3">
      <c r="A67" s="77"/>
    </row>
    <row r="68" spans="1:2" ht="22.5" x14ac:dyDescent="0.3">
      <c r="A68" s="77"/>
    </row>
    <row r="69" spans="1:2" ht="22.5" x14ac:dyDescent="0.3">
      <c r="A69" s="77"/>
    </row>
    <row r="70" spans="1:2" x14ac:dyDescent="0.3">
      <c r="A70" s="7"/>
    </row>
    <row r="71" spans="1:2" x14ac:dyDescent="0.3">
      <c r="A71" s="7"/>
    </row>
    <row r="72" spans="1:2" x14ac:dyDescent="0.3">
      <c r="A72" s="7"/>
    </row>
    <row r="73" spans="1:2" x14ac:dyDescent="0.3">
      <c r="A73" s="7"/>
    </row>
    <row r="74" spans="1:2" x14ac:dyDescent="0.3">
      <c r="A74" s="7"/>
    </row>
    <row r="75" spans="1:2" x14ac:dyDescent="0.3">
      <c r="A75" s="7"/>
    </row>
    <row r="76" spans="1:2" x14ac:dyDescent="0.3">
      <c r="A76" s="7"/>
    </row>
    <row r="77" spans="1:2" x14ac:dyDescent="0.3">
      <c r="A77" s="7"/>
    </row>
    <row r="78" spans="1:2" x14ac:dyDescent="0.3">
      <c r="A78" s="7"/>
    </row>
    <row r="79" spans="1:2" x14ac:dyDescent="0.3">
      <c r="A79" s="7"/>
    </row>
    <row r="80" spans="1:2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44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Q79"/>
  <sheetViews>
    <sheetView topLeftCell="A22" zoomScale="75" zoomScaleNormal="75" zoomScaleSheetLayoutView="70" workbookViewId="0">
      <selection activeCell="B57" sqref="B57"/>
    </sheetView>
  </sheetViews>
  <sheetFormatPr defaultColWidth="9.140625" defaultRowHeight="18.75" x14ac:dyDescent="0.3"/>
  <cols>
    <col min="1" max="1" width="5.5703125" style="1" bestFit="1" customWidth="1"/>
    <col min="2" max="2" width="38.28515625" style="1" customWidth="1"/>
    <col min="3" max="8" width="17.140625" style="1" bestFit="1" customWidth="1"/>
    <col min="9" max="9" width="18.42578125" style="1" bestFit="1" customWidth="1"/>
    <col min="10" max="10" width="77.42578125" style="1" bestFit="1" customWidth="1"/>
    <col min="11" max="11" width="5.5703125" style="1" bestFit="1" customWidth="1"/>
    <col min="12" max="14" width="17.140625" style="1" bestFit="1" customWidth="1"/>
    <col min="15" max="15" width="20.5703125" style="1" bestFit="1" customWidth="1"/>
    <col min="16" max="16" width="53.5703125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5" t="str">
        <f>'A-Med &amp; Lrg C-I'!A4:K4</f>
        <v>Medium &amp; Large Commercial / Industrial Customers (Standard Customers)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92"/>
      <c r="M4" s="92"/>
      <c r="N4" s="92"/>
      <c r="O4" s="92"/>
      <c r="P4" s="92"/>
      <c r="Q4" s="92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24"/>
      <c r="J8" s="17" t="s">
        <v>158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159</v>
      </c>
      <c r="C10" s="14"/>
      <c r="D10" s="14"/>
      <c r="E10" s="14"/>
      <c r="F10" s="14"/>
      <c r="G10" s="14"/>
      <c r="H10" s="14"/>
      <c r="I10" s="14"/>
      <c r="J10" s="11"/>
      <c r="K10" s="11">
        <v>1</v>
      </c>
    </row>
    <row r="11" spans="1:17" ht="22.5" x14ac:dyDescent="0.3">
      <c r="A11" s="11">
        <f t="shared" ref="A11:A29" si="0">A10+1</f>
        <v>2</v>
      </c>
      <c r="B11" s="32" t="s">
        <v>160</v>
      </c>
      <c r="C11" s="14"/>
      <c r="D11" s="14"/>
      <c r="E11" s="14"/>
      <c r="F11" s="14"/>
      <c r="G11" s="14"/>
      <c r="H11" s="14"/>
      <c r="I11" s="14"/>
      <c r="J11" s="11"/>
      <c r="K11" s="11">
        <f t="shared" ref="K11:K29" si="1">K10+1</f>
        <v>2</v>
      </c>
    </row>
    <row r="12" spans="1:17" x14ac:dyDescent="0.3">
      <c r="A12" s="11">
        <f t="shared" si="0"/>
        <v>3</v>
      </c>
      <c r="B12" s="14" t="s">
        <v>123</v>
      </c>
      <c r="C12" s="18">
        <f>SUM('Workpaper 1'!C72,'Workpaper 1'!C118)*1000</f>
        <v>1319130.6749711034</v>
      </c>
      <c r="D12" s="18">
        <f>SUM('Workpaper 1'!D72,'Workpaper 1'!D118)*1000</f>
        <v>1266851.145619398</v>
      </c>
      <c r="E12" s="18">
        <f>SUM('Workpaper 1'!E72,'Workpaper 1'!E118)*1000</f>
        <v>1259192.1671464564</v>
      </c>
      <c r="F12" s="18">
        <f>SUM('Workpaper 1'!F72,'Workpaper 1'!F118)*1000</f>
        <v>1258613.5546729444</v>
      </c>
      <c r="G12" s="18">
        <f>SUM('Workpaper 1'!G72,'Workpaper 1'!G118)*1000</f>
        <v>1274098.423794566</v>
      </c>
      <c r="H12" s="18">
        <f>SUM('Workpaper 1'!H72,'Workpaper 1'!H118)*1000</f>
        <v>1323592.8917965493</v>
      </c>
      <c r="I12" s="14"/>
      <c r="J12" s="11" t="s">
        <v>161</v>
      </c>
      <c r="K12" s="11">
        <f t="shared" si="1"/>
        <v>3</v>
      </c>
    </row>
    <row r="13" spans="1:17" x14ac:dyDescent="0.3">
      <c r="A13" s="11">
        <f t="shared" si="0"/>
        <v>4</v>
      </c>
      <c r="B13" s="14" t="s">
        <v>125</v>
      </c>
      <c r="C13" s="18">
        <f>SUM('Workpaper 1'!C73,'Workpaper 1'!C119)*1000</f>
        <v>367859.35809466295</v>
      </c>
      <c r="D13" s="18">
        <f>SUM('Workpaper 1'!D73,'Workpaper 1'!D119)*1000</f>
        <v>348137.85583792522</v>
      </c>
      <c r="E13" s="18">
        <f>SUM('Workpaper 1'!E73,'Workpaper 1'!E119)*1000</f>
        <v>349643.49090479879</v>
      </c>
      <c r="F13" s="18">
        <f>SUM('Workpaper 1'!F73,'Workpaper 1'!F119)*1000</f>
        <v>352142.23391519726</v>
      </c>
      <c r="G13" s="18">
        <f>SUM('Workpaper 1'!G73,'Workpaper 1'!G119)*1000</f>
        <v>354889.95896315761</v>
      </c>
      <c r="H13" s="18">
        <f>SUM('Workpaper 1'!H73,'Workpaper 1'!H119)*1000</f>
        <v>377035.49002893537</v>
      </c>
      <c r="I13" s="14"/>
      <c r="J13" s="11" t="s">
        <v>162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18">
        <f>SUM('Workpaper 1'!C74,'Workpaper 1'!C120)*1000</f>
        <v>123365.29967816362</v>
      </c>
      <c r="D14" s="18">
        <f>SUM('Workpaper 1'!D74,'Workpaper 1'!D120)*1000</f>
        <v>108722.18458657856</v>
      </c>
      <c r="E14" s="18">
        <f>SUM('Workpaper 1'!E74,'Workpaper 1'!E120)*1000</f>
        <v>114912.67194425229</v>
      </c>
      <c r="F14" s="18">
        <f>SUM('Workpaper 1'!F74,'Workpaper 1'!F120)*1000</f>
        <v>119903.97227361002</v>
      </c>
      <c r="G14" s="18">
        <f>SUM('Workpaper 1'!G74,'Workpaper 1'!G120)*1000</f>
        <v>118373.41998487132</v>
      </c>
      <c r="H14" s="18">
        <f>SUM('Workpaper 1'!H74,'Workpaper 1'!H120)*1000</f>
        <v>127012.4780566524</v>
      </c>
      <c r="I14" s="14"/>
      <c r="J14" s="11" t="s">
        <v>163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33">
        <f t="shared" ref="C15:H15" si="2">SUM(C12:C14)</f>
        <v>1810355.3327439299</v>
      </c>
      <c r="D15" s="33">
        <f t="shared" si="2"/>
        <v>1723711.1860439018</v>
      </c>
      <c r="E15" s="33">
        <f t="shared" si="2"/>
        <v>1723748.3299955074</v>
      </c>
      <c r="F15" s="33">
        <f t="shared" si="2"/>
        <v>1730659.7608617516</v>
      </c>
      <c r="G15" s="33">
        <f t="shared" si="2"/>
        <v>1747361.8027425949</v>
      </c>
      <c r="H15" s="33">
        <f t="shared" si="2"/>
        <v>1827640.8598821373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Determinants'!D18</f>
        <v>1810355.3327439302</v>
      </c>
      <c r="D16" s="35">
        <f>'A-Billing Determinants'!F18</f>
        <v>1723711.1860439018</v>
      </c>
      <c r="E16" s="35">
        <f>'A-Billing Determinants'!H18</f>
        <v>1723748.3299955076</v>
      </c>
      <c r="F16" s="35">
        <f>'A-Billing Determinants'!J18</f>
        <v>1730659.7608617519</v>
      </c>
      <c r="G16" s="35">
        <f>'A-Billing Determinants'!L18</f>
        <v>1747361.8027425944</v>
      </c>
      <c r="H16" s="35">
        <f>'A-Billing Determinants'!N18</f>
        <v>1827640.8598821373</v>
      </c>
      <c r="I16" s="14"/>
      <c r="J16" s="11" t="s">
        <v>165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52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167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136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Summary'!$F$21</f>
        <v>18.920000000000002</v>
      </c>
      <c r="D21" s="51">
        <f t="shared" ref="D21:H23" si="4">C21</f>
        <v>18.920000000000002</v>
      </c>
      <c r="E21" s="51">
        <f t="shared" si="4"/>
        <v>18.920000000000002</v>
      </c>
      <c r="F21" s="51">
        <f t="shared" si="4"/>
        <v>18.920000000000002</v>
      </c>
      <c r="G21" s="51">
        <f t="shared" si="4"/>
        <v>18.920000000000002</v>
      </c>
      <c r="H21" s="51">
        <f t="shared" si="4"/>
        <v>18.920000000000002</v>
      </c>
      <c r="I21" s="14"/>
      <c r="J21" s="11" t="s">
        <v>168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Summary'!$E$21</f>
        <v>18.28</v>
      </c>
      <c r="D22" s="51">
        <f t="shared" si="4"/>
        <v>18.28</v>
      </c>
      <c r="E22" s="51">
        <f t="shared" si="4"/>
        <v>18.28</v>
      </c>
      <c r="F22" s="51">
        <f t="shared" si="4"/>
        <v>18.28</v>
      </c>
      <c r="G22" s="51">
        <f t="shared" si="4"/>
        <v>18.28</v>
      </c>
      <c r="H22" s="51">
        <f t="shared" si="4"/>
        <v>18.28</v>
      </c>
      <c r="I22" s="14"/>
      <c r="J22" s="11" t="s">
        <v>169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Summary'!$D$21</f>
        <v>18.2</v>
      </c>
      <c r="D23" s="51">
        <f t="shared" si="4"/>
        <v>18.2</v>
      </c>
      <c r="E23" s="51">
        <f t="shared" si="4"/>
        <v>18.2</v>
      </c>
      <c r="F23" s="51">
        <f t="shared" si="4"/>
        <v>18.2</v>
      </c>
      <c r="G23" s="51">
        <f t="shared" si="4"/>
        <v>18.2</v>
      </c>
      <c r="H23" s="51">
        <f t="shared" si="4"/>
        <v>18.2</v>
      </c>
      <c r="I23" s="14"/>
      <c r="J23" s="11" t="s">
        <v>170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171</v>
      </c>
      <c r="C24" s="37"/>
      <c r="D24" s="37"/>
      <c r="E24" s="37"/>
      <c r="F24" s="37"/>
      <c r="G24" s="37"/>
      <c r="H24" s="37"/>
      <c r="I24" s="14"/>
      <c r="J24" s="52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40">
        <f t="shared" ref="C26:H28" si="5">C21*C12</f>
        <v>24957952.370453279</v>
      </c>
      <c r="D26" s="40">
        <f t="shared" si="5"/>
        <v>23968823.675119013</v>
      </c>
      <c r="E26" s="40">
        <f t="shared" si="5"/>
        <v>23823915.802410956</v>
      </c>
      <c r="F26" s="40">
        <f t="shared" si="5"/>
        <v>23812968.45441211</v>
      </c>
      <c r="G26" s="40">
        <f t="shared" si="5"/>
        <v>24105942.178193189</v>
      </c>
      <c r="H26" s="40">
        <f t="shared" si="5"/>
        <v>25042377.512790717</v>
      </c>
      <c r="I26" s="14"/>
      <c r="J26" s="52" t="s">
        <v>172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6724469.0659704395</v>
      </c>
      <c r="D27" s="37">
        <f t="shared" si="5"/>
        <v>6363960.0047172736</v>
      </c>
      <c r="E27" s="37">
        <f t="shared" si="5"/>
        <v>6391483.0137397218</v>
      </c>
      <c r="F27" s="37">
        <f t="shared" si="5"/>
        <v>6437160.0359698059</v>
      </c>
      <c r="G27" s="37">
        <f t="shared" si="5"/>
        <v>6487388.449846522</v>
      </c>
      <c r="H27" s="37">
        <f t="shared" si="5"/>
        <v>6892208.7577289389</v>
      </c>
      <c r="I27" s="14"/>
      <c r="J27" s="52" t="s">
        <v>173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2245248.4541425779</v>
      </c>
      <c r="D28" s="37">
        <f t="shared" si="5"/>
        <v>1978743.7594757297</v>
      </c>
      <c r="E28" s="37">
        <f t="shared" si="5"/>
        <v>2091410.6293853915</v>
      </c>
      <c r="F28" s="37">
        <f t="shared" si="5"/>
        <v>2182252.2953797025</v>
      </c>
      <c r="G28" s="37">
        <f t="shared" si="5"/>
        <v>2154396.2437246577</v>
      </c>
      <c r="H28" s="37">
        <f t="shared" si="5"/>
        <v>2311627.1006310736</v>
      </c>
      <c r="I28" s="14"/>
      <c r="J28" s="52" t="s">
        <v>174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42">
        <f t="shared" ref="C29:H29" si="6">SUM(C26:C28)</f>
        <v>33927669.890566297</v>
      </c>
      <c r="D29" s="42">
        <f t="shared" si="6"/>
        <v>32311527.439312018</v>
      </c>
      <c r="E29" s="42">
        <f t="shared" si="6"/>
        <v>32306809.445536073</v>
      </c>
      <c r="F29" s="42">
        <f t="shared" si="6"/>
        <v>32432380.785761617</v>
      </c>
      <c r="G29" s="42">
        <f t="shared" si="6"/>
        <v>32747726.871764369</v>
      </c>
      <c r="H29" s="42">
        <f t="shared" si="6"/>
        <v>34246213.371150732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7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45839</v>
      </c>
      <c r="D33" s="29">
        <f>'Summary of Revs @ Changed Rates'!D30</f>
        <v>45870</v>
      </c>
      <c r="E33" s="29">
        <f>'Summary of Revs @ Changed Rates'!E30</f>
        <v>45901</v>
      </c>
      <c r="F33" s="29">
        <f>'Summary of Revs @ Changed Rates'!F30</f>
        <v>45931</v>
      </c>
      <c r="G33" s="29">
        <f>'Summary of Revs @ Changed Rates'!G30</f>
        <v>45962</v>
      </c>
      <c r="H33" s="29">
        <f>'Summary of Revs @ Changed Rates'!H30</f>
        <v>45992</v>
      </c>
      <c r="I33" s="30" t="s">
        <v>61</v>
      </c>
      <c r="J33" s="17" t="s">
        <v>158</v>
      </c>
      <c r="K33" s="17" t="s">
        <v>10</v>
      </c>
      <c r="O33" s="46"/>
      <c r="P33" s="7"/>
      <c r="Q33" s="7"/>
    </row>
    <row r="34" spans="1:17" x14ac:dyDescent="0.3">
      <c r="A34" s="11"/>
      <c r="B34" s="14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176</v>
      </c>
      <c r="C35" s="14"/>
      <c r="D35" s="14"/>
      <c r="E35" s="14"/>
      <c r="F35" s="14"/>
      <c r="G35" s="14"/>
      <c r="H35" s="14"/>
      <c r="I35" s="14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 t="shared" ref="A36:A54" si="8">A35+1</f>
        <v>22</v>
      </c>
      <c r="B36" s="32" t="s">
        <v>160</v>
      </c>
      <c r="C36" s="14"/>
      <c r="D36" s="14"/>
      <c r="E36" s="14"/>
      <c r="F36" s="14"/>
      <c r="G36" s="14"/>
      <c r="H36" s="14"/>
      <c r="I36" s="14"/>
      <c r="J36" s="11"/>
      <c r="K36" s="11">
        <f t="shared" ref="K36:K54" si="9">K35+1</f>
        <v>22</v>
      </c>
      <c r="O36" s="46"/>
      <c r="P36" s="7"/>
      <c r="Q36" s="7"/>
    </row>
    <row r="37" spans="1:17" x14ac:dyDescent="0.3">
      <c r="A37" s="11">
        <f t="shared" si="8"/>
        <v>23</v>
      </c>
      <c r="B37" s="14" t="s">
        <v>123</v>
      </c>
      <c r="C37" s="47">
        <f>SUM('Workpaper 1'!I72,'Workpaper 1'!I118)*1000</f>
        <v>1450836.3999017198</v>
      </c>
      <c r="D37" s="47">
        <f>SUM('Workpaper 1'!J72,'Workpaper 1'!J118)*1000</f>
        <v>1527049.3847391456</v>
      </c>
      <c r="E37" s="47">
        <f>SUM('Workpaper 1'!K72,'Workpaper 1'!K118)*1000</f>
        <v>1607098.8424718597</v>
      </c>
      <c r="F37" s="47">
        <f>SUM('Workpaper 1'!L72,'Workpaper 1'!L118)*1000</f>
        <v>1459082.7527519455</v>
      </c>
      <c r="G37" s="47">
        <f>SUM('Workpaper 1'!M72,'Workpaper 1'!M118)*1000</f>
        <v>1331400.3572650356</v>
      </c>
      <c r="H37" s="47">
        <f>SUM('Workpaper 1'!N72,'Workpaper 1'!N118)*1000</f>
        <v>1304528.1602410818</v>
      </c>
      <c r="I37" s="37">
        <f>SUM(C12:H12,C37:H37)</f>
        <v>16381474.755371809</v>
      </c>
      <c r="J37" s="11" t="str">
        <f>J12</f>
        <v xml:space="preserve">(Pages BG-21.2 &amp; 21.3, Line 70 + Line 116) x 1000 </v>
      </c>
      <c r="K37" s="11">
        <f t="shared" si="9"/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SUM('Workpaper 1'!I73,'Workpaper 1'!I119)*1000</f>
        <v>416734.95947722631</v>
      </c>
      <c r="D38" s="47">
        <f>SUM('Workpaper 1'!J73,'Workpaper 1'!J119)*1000</f>
        <v>433884.81587843189</v>
      </c>
      <c r="E38" s="47">
        <f>SUM('Workpaper 1'!K73,'Workpaper 1'!K119)*1000</f>
        <v>452668.65164151671</v>
      </c>
      <c r="F38" s="47">
        <f>SUM('Workpaper 1'!L73,'Workpaper 1'!L119)*1000</f>
        <v>410878.83136670472</v>
      </c>
      <c r="G38" s="47">
        <f>SUM('Workpaper 1'!M73,'Workpaper 1'!M119)*1000</f>
        <v>370767.45587967592</v>
      </c>
      <c r="H38" s="47">
        <f>SUM('Workpaper 1'!N73,'Workpaper 1'!N119)*1000</f>
        <v>374862.55653553904</v>
      </c>
      <c r="I38" s="37">
        <f>SUM(C13:H13,C38:H38)</f>
        <v>4609505.6585237719</v>
      </c>
      <c r="J38" s="11" t="str">
        <f>J13</f>
        <v>(Pages BG-21.2 &amp; 21.3, Line 71 + Line 117)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SUM('Workpaper 1'!I74,'Workpaper 1'!I120)*1000</f>
        <v>145958.44394809866</v>
      </c>
      <c r="D39" s="47">
        <f>SUM('Workpaper 1'!J74,'Workpaper 1'!J120)*1000</f>
        <v>144377.36478774692</v>
      </c>
      <c r="E39" s="47">
        <f>SUM('Workpaper 1'!K74,'Workpaper 1'!K120)*1000</f>
        <v>144219.93973563885</v>
      </c>
      <c r="F39" s="47">
        <f>SUM('Workpaper 1'!L74,'Workpaper 1'!L120)*1000</f>
        <v>130745.15639628655</v>
      </c>
      <c r="G39" s="47">
        <f>SUM('Workpaper 1'!M74,'Workpaper 1'!M120)*1000</f>
        <v>123538.83048630392</v>
      </c>
      <c r="H39" s="47">
        <f>SUM('Workpaper 1'!N74,'Workpaper 1'!N120)*1000</f>
        <v>143006.26594086632</v>
      </c>
      <c r="I39" s="37">
        <f>SUM(C14:H14,C39:H39)</f>
        <v>1544136.0278190696</v>
      </c>
      <c r="J39" s="11" t="str">
        <f>J14</f>
        <v>(Pages BG-21.2 &amp; 21.3, Line 72 + Line 118)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2013529.8033270447</v>
      </c>
      <c r="D40" s="48">
        <f t="shared" si="10"/>
        <v>2105311.5654053241</v>
      </c>
      <c r="E40" s="48">
        <f t="shared" si="10"/>
        <v>2203987.4338490153</v>
      </c>
      <c r="F40" s="48">
        <f t="shared" si="10"/>
        <v>2000706.7405149369</v>
      </c>
      <c r="G40" s="48">
        <f t="shared" si="10"/>
        <v>1825706.6436310154</v>
      </c>
      <c r="H40" s="48">
        <f t="shared" si="10"/>
        <v>1822396.982717487</v>
      </c>
      <c r="I40" s="49">
        <f t="shared" si="10"/>
        <v>22535116.441714652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Determinants'!D18</f>
        <v>2013529.8033270447</v>
      </c>
      <c r="D41" s="35">
        <f>'B-Billing Determinants'!F18</f>
        <v>2105311.5654053241</v>
      </c>
      <c r="E41" s="35">
        <f>'B-Billing Determinants'!H18</f>
        <v>2203987.4338490153</v>
      </c>
      <c r="F41" s="35">
        <f>'B-Billing Determinants'!J18</f>
        <v>2000706.7405149366</v>
      </c>
      <c r="G41" s="35">
        <f>'B-Billing Determinants'!L18</f>
        <v>1825706.6436310154</v>
      </c>
      <c r="H41" s="35">
        <f>'B-Billing Determinants'!N18</f>
        <v>1822396.9827174873</v>
      </c>
      <c r="I41" s="37">
        <f>SUM(C16:H16,C41:H41)</f>
        <v>22535116.441714648</v>
      </c>
      <c r="J41" s="11" t="s">
        <v>178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52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167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136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18.920000000000002</v>
      </c>
      <c r="D46" s="51">
        <f t="shared" ref="D46:H48" si="12">C46</f>
        <v>18.920000000000002</v>
      </c>
      <c r="E46" s="51">
        <f t="shared" si="12"/>
        <v>18.920000000000002</v>
      </c>
      <c r="F46" s="51">
        <f t="shared" si="12"/>
        <v>18.920000000000002</v>
      </c>
      <c r="G46" s="51">
        <f t="shared" si="12"/>
        <v>18.920000000000002</v>
      </c>
      <c r="H46" s="51">
        <f t="shared" si="12"/>
        <v>18.920000000000002</v>
      </c>
      <c r="I46" s="14"/>
      <c r="J46" s="11" t="str">
        <f>J21</f>
        <v>Statement BL, Page BL-1, Line 8,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18.28</v>
      </c>
      <c r="D47" s="51">
        <f t="shared" si="12"/>
        <v>18.28</v>
      </c>
      <c r="E47" s="51">
        <f t="shared" si="12"/>
        <v>18.28</v>
      </c>
      <c r="F47" s="51">
        <f t="shared" si="12"/>
        <v>18.28</v>
      </c>
      <c r="G47" s="51">
        <f t="shared" si="12"/>
        <v>18.28</v>
      </c>
      <c r="H47" s="51">
        <f t="shared" si="12"/>
        <v>18.28</v>
      </c>
      <c r="I47" s="14"/>
      <c r="J47" s="11" t="str">
        <f>J22</f>
        <v>Statement BL, Page BL-1, Line 8,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18.2</v>
      </c>
      <c r="D48" s="51">
        <f t="shared" si="12"/>
        <v>18.2</v>
      </c>
      <c r="E48" s="51">
        <f t="shared" si="12"/>
        <v>18.2</v>
      </c>
      <c r="F48" s="51">
        <f t="shared" si="12"/>
        <v>18.2</v>
      </c>
      <c r="G48" s="51">
        <f t="shared" si="12"/>
        <v>18.2</v>
      </c>
      <c r="H48" s="51">
        <f t="shared" si="12"/>
        <v>18.2</v>
      </c>
      <c r="I48" s="14"/>
      <c r="J48" s="11" t="str">
        <f>J23</f>
        <v>Statement BL, Page BL-1, Line 8,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171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27449824.686140541</v>
      </c>
      <c r="D51" s="53">
        <f t="shared" si="13"/>
        <v>28891774.359264638</v>
      </c>
      <c r="E51" s="53">
        <f t="shared" si="13"/>
        <v>30406310.099567588</v>
      </c>
      <c r="F51" s="53">
        <f t="shared" si="13"/>
        <v>27605845.682066813</v>
      </c>
      <c r="G51" s="53">
        <f t="shared" si="13"/>
        <v>25190094.759454478</v>
      </c>
      <c r="H51" s="53">
        <f t="shared" si="13"/>
        <v>24681672.791761272</v>
      </c>
      <c r="I51" s="53">
        <f>SUM(C26:H26,C51:H51)</f>
        <v>309937502.3716346</v>
      </c>
      <c r="J51" s="52" t="s">
        <v>180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7617915.0592436977</v>
      </c>
      <c r="D52" s="37">
        <f t="shared" si="13"/>
        <v>7931414.4342577355</v>
      </c>
      <c r="E52" s="37">
        <f t="shared" si="13"/>
        <v>8274782.9520069258</v>
      </c>
      <c r="F52" s="37">
        <f t="shared" si="13"/>
        <v>7510865.0373833627</v>
      </c>
      <c r="G52" s="37">
        <f t="shared" si="13"/>
        <v>6777629.0934804762</v>
      </c>
      <c r="H52" s="37">
        <f t="shared" si="13"/>
        <v>6852487.5334696537</v>
      </c>
      <c r="I52" s="53">
        <f>SUM(C27:H27,C52:H52)</f>
        <v>84261763.437814564</v>
      </c>
      <c r="J52" s="52" t="s">
        <v>181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2656443.6798553956</v>
      </c>
      <c r="D53" s="37">
        <f t="shared" si="13"/>
        <v>2627668.0391369937</v>
      </c>
      <c r="E53" s="37">
        <f t="shared" si="13"/>
        <v>2624802.9031886272</v>
      </c>
      <c r="F53" s="37">
        <f t="shared" si="13"/>
        <v>2379561.8464124152</v>
      </c>
      <c r="G53" s="37">
        <f t="shared" si="13"/>
        <v>2248406.7148507312</v>
      </c>
      <c r="H53" s="37">
        <f t="shared" si="13"/>
        <v>2602714.0401237668</v>
      </c>
      <c r="I53" s="53">
        <f>SUM(C28:H28,C53:H53)</f>
        <v>28103275.706307065</v>
      </c>
      <c r="J53" s="52" t="s">
        <v>182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54">
        <f t="shared" ref="C54:I54" si="14">SUM(C51:C53)</f>
        <v>37724183.425239637</v>
      </c>
      <c r="D54" s="54">
        <f t="shared" si="14"/>
        <v>39450856.832659364</v>
      </c>
      <c r="E54" s="54">
        <f t="shared" si="14"/>
        <v>41305895.954763144</v>
      </c>
      <c r="F54" s="54">
        <f t="shared" si="14"/>
        <v>37496272.565862589</v>
      </c>
      <c r="G54" s="54">
        <f t="shared" si="14"/>
        <v>34216130.56778568</v>
      </c>
      <c r="H54" s="54">
        <f t="shared" si="14"/>
        <v>34136874.365354694</v>
      </c>
      <c r="I54" s="54">
        <f t="shared" si="14"/>
        <v>422302541.51575625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7"/>
      <c r="B55" s="24"/>
      <c r="C55" s="24"/>
      <c r="D55" s="24"/>
      <c r="E55" s="24"/>
      <c r="F55" s="24"/>
      <c r="G55" s="24"/>
      <c r="H55" s="24"/>
      <c r="I55" s="56"/>
      <c r="J55" s="17"/>
      <c r="K55" s="17"/>
      <c r="O55" s="46"/>
      <c r="P55" s="7"/>
      <c r="Q55" s="7"/>
    </row>
    <row r="56" spans="1:17" x14ac:dyDescent="0.3">
      <c r="B56" s="25" t="s">
        <v>46</v>
      </c>
    </row>
    <row r="57" spans="1:17" ht="22.5" x14ac:dyDescent="0.3">
      <c r="A57" s="77">
        <v>1</v>
      </c>
      <c r="B57" s="1" t="s">
        <v>184</v>
      </c>
    </row>
    <row r="58" spans="1:17" ht="22.5" x14ac:dyDescent="0.3">
      <c r="A58" s="77">
        <v>2</v>
      </c>
      <c r="B58" s="1" t="s">
        <v>157</v>
      </c>
    </row>
    <row r="59" spans="1:17" ht="22.5" x14ac:dyDescent="0.3">
      <c r="A59" s="77"/>
    </row>
    <row r="60" spans="1:17" ht="22.5" x14ac:dyDescent="0.3">
      <c r="A60" s="77"/>
    </row>
    <row r="61" spans="1:17" ht="22.5" x14ac:dyDescent="0.3">
      <c r="A61" s="77"/>
    </row>
    <row r="62" spans="1:17" x14ac:dyDescent="0.3">
      <c r="A62" s="7"/>
    </row>
    <row r="63" spans="1:17" x14ac:dyDescent="0.3">
      <c r="A63" s="7"/>
    </row>
    <row r="64" spans="1:17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</sheetData>
  <mergeCells count="5">
    <mergeCell ref="A5:K5"/>
    <mergeCell ref="A1:K1"/>
    <mergeCell ref="A2:K2"/>
    <mergeCell ref="A3:K3"/>
    <mergeCell ref="A4:K4"/>
  </mergeCells>
  <phoneticPr fontId="3" type="noConversion"/>
  <printOptions horizontalCentered="1"/>
  <pageMargins left="0.25" right="0.25" top="0.5" bottom="0.5" header="0.25" footer="0.25"/>
  <pageSetup scale="41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Q101"/>
  <sheetViews>
    <sheetView zoomScale="75" zoomScaleNormal="75" zoomScaleSheetLayoutView="70" workbookViewId="0">
      <selection activeCell="H23" sqref="H23"/>
    </sheetView>
  </sheetViews>
  <sheetFormatPr defaultColWidth="9.140625" defaultRowHeight="18.75" x14ac:dyDescent="0.3"/>
  <cols>
    <col min="1" max="1" width="5.5703125" style="1" bestFit="1" customWidth="1"/>
    <col min="2" max="2" width="42.5703125" style="1" customWidth="1"/>
    <col min="3" max="8" width="15.5703125" style="1" bestFit="1" customWidth="1"/>
    <col min="9" max="9" width="17.140625" style="1" bestFit="1" customWidth="1"/>
    <col min="10" max="10" width="51.140625" style="1" customWidth="1"/>
    <col min="11" max="11" width="5.5703125" style="1" bestFit="1" customWidth="1"/>
    <col min="12" max="14" width="17.140625" style="1" bestFit="1" customWidth="1"/>
    <col min="15" max="15" width="18.42578125" style="1" bestFit="1" customWidth="1"/>
    <col min="16" max="16" width="68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185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187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188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29" si="0">A11+1</f>
        <v>3</v>
      </c>
      <c r="B12" s="14" t="s">
        <v>123</v>
      </c>
      <c r="C12" s="47">
        <f>'Workpaper 1'!C82*1000</f>
        <v>1260128.8647639793</v>
      </c>
      <c r="D12" s="47">
        <f>'Workpaper 1'!D82*1000</f>
        <v>1210187.6836343671</v>
      </c>
      <c r="E12" s="47">
        <f>'Workpaper 1'!E82*1000</f>
        <v>1202871.2744025288</v>
      </c>
      <c r="F12" s="47">
        <f>'Workpaper 1'!F82*1000</f>
        <v>1202318.5419907826</v>
      </c>
      <c r="G12" s="47">
        <f>'Workpaper 1'!G82*1000</f>
        <v>1217110.8070161375</v>
      </c>
      <c r="H12" s="47">
        <f>'Workpaper 1'!H82*1000</f>
        <v>1248565.0076541766</v>
      </c>
      <c r="I12" s="14"/>
      <c r="J12" s="11" t="s">
        <v>189</v>
      </c>
      <c r="K12" s="11">
        <f t="shared" ref="K12:K29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1'!C83*1000</f>
        <v>311646.02328803472</v>
      </c>
      <c r="D13" s="47">
        <f>'Workpaper 1'!D83*1000</f>
        <v>299294.92894161149</v>
      </c>
      <c r="E13" s="47">
        <f>'Workpaper 1'!E83*1000</f>
        <v>297485.48714116734</v>
      </c>
      <c r="F13" s="47">
        <f>'Workpaper 1'!F83*1000</f>
        <v>297348.78932963416</v>
      </c>
      <c r="G13" s="47">
        <f>'Workpaper 1'!G83*1000</f>
        <v>301007.10610935325</v>
      </c>
      <c r="H13" s="47">
        <f>'Workpaper 1'!H83*1000</f>
        <v>311503.86767482245</v>
      </c>
      <c r="I13" s="14"/>
      <c r="J13" s="11" t="s">
        <v>190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1'!C84*1000</f>
        <v>38292.581524402965</v>
      </c>
      <c r="D14" s="47">
        <f>'Workpaper 1'!D84*1000</f>
        <v>36774.977410010397</v>
      </c>
      <c r="E14" s="47">
        <f>'Workpaper 1'!E84*1000</f>
        <v>36552.647611201653</v>
      </c>
      <c r="F14" s="47">
        <f>'Workpaper 1'!F84*1000</f>
        <v>36535.85127272406</v>
      </c>
      <c r="G14" s="47">
        <f>'Workpaper 1'!G84*1000</f>
        <v>36985.356105327075</v>
      </c>
      <c r="H14" s="47">
        <f>'Workpaper 1'!H84*1000</f>
        <v>44369.069224299092</v>
      </c>
      <c r="I14" s="14"/>
      <c r="J14" s="11" t="s">
        <v>191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1610067.4695764172</v>
      </c>
      <c r="D15" s="48">
        <f t="shared" si="2"/>
        <v>1546257.5899859888</v>
      </c>
      <c r="E15" s="48">
        <f t="shared" si="2"/>
        <v>1536909.4091548978</v>
      </c>
      <c r="F15" s="48">
        <f t="shared" si="2"/>
        <v>1536203.1825931408</v>
      </c>
      <c r="G15" s="48">
        <f t="shared" si="2"/>
        <v>1555103.2692308179</v>
      </c>
      <c r="H15" s="48">
        <f t="shared" si="2"/>
        <v>1604437.9445532982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Determinants'!D19</f>
        <v>1610067.4695764172</v>
      </c>
      <c r="D16" s="35">
        <f>'A-Billing Determinants'!F19</f>
        <v>1546257.589985989</v>
      </c>
      <c r="E16" s="35">
        <f>'A-Billing Determinants'!H19</f>
        <v>1536909.4091548978</v>
      </c>
      <c r="F16" s="35">
        <f>'A-Billing Determinants'!J19</f>
        <v>1536203.182593141</v>
      </c>
      <c r="G16" s="35">
        <f>'A-Billing Determinants'!L19</f>
        <v>1555103.2692308179</v>
      </c>
      <c r="H16" s="35">
        <f>'A-Billing Determinants'!N19</f>
        <v>1604437.9445532979</v>
      </c>
      <c r="I16" s="14"/>
      <c r="J16" s="11" t="s">
        <v>192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187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193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Summary'!$F$25</f>
        <v>0.78</v>
      </c>
      <c r="D21" s="51">
        <f>C21</f>
        <v>0.78</v>
      </c>
      <c r="E21" s="51">
        <f t="shared" ref="E21:F23" si="4">D21</f>
        <v>0.78</v>
      </c>
      <c r="F21" s="51">
        <f t="shared" si="4"/>
        <v>0.78</v>
      </c>
      <c r="G21" s="51">
        <f>F21</f>
        <v>0.78</v>
      </c>
      <c r="H21" s="51">
        <f>'[2]Transmission Rates Summary'!$F$24</f>
        <v>3.87</v>
      </c>
      <c r="I21" s="14"/>
      <c r="J21" s="11" t="s">
        <v>194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Summary'!$E$25</f>
        <v>0.76</v>
      </c>
      <c r="D22" s="51">
        <f>C22</f>
        <v>0.76</v>
      </c>
      <c r="E22" s="51">
        <f t="shared" si="4"/>
        <v>0.76</v>
      </c>
      <c r="F22" s="51">
        <f t="shared" si="4"/>
        <v>0.76</v>
      </c>
      <c r="G22" s="51">
        <f>F22</f>
        <v>0.76</v>
      </c>
      <c r="H22" s="51">
        <f>'[2]Transmission Rates Summary'!$E$24</f>
        <v>3.73</v>
      </c>
      <c r="I22" s="14"/>
      <c r="J22" s="11" t="s">
        <v>195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Summary'!$D$25</f>
        <v>0.75</v>
      </c>
      <c r="D23" s="51">
        <f>C23</f>
        <v>0.75</v>
      </c>
      <c r="E23" s="51">
        <f t="shared" si="4"/>
        <v>0.75</v>
      </c>
      <c r="F23" s="51">
        <f t="shared" si="4"/>
        <v>0.75</v>
      </c>
      <c r="G23" s="51">
        <f>F23</f>
        <v>0.75</v>
      </c>
      <c r="H23" s="51">
        <f>'[2]Transmission Rates Summary'!$D$24</f>
        <v>3.72</v>
      </c>
      <c r="I23" s="14"/>
      <c r="J23" s="11" t="s">
        <v>196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197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53">
        <f t="shared" ref="C26:H28" si="5">C21*C12</f>
        <v>982900.51451590389</v>
      </c>
      <c r="D26" s="53">
        <f t="shared" si="5"/>
        <v>943946.39323480637</v>
      </c>
      <c r="E26" s="53">
        <f t="shared" si="5"/>
        <v>938239.59403397248</v>
      </c>
      <c r="F26" s="53">
        <f t="shared" si="5"/>
        <v>937808.46275281045</v>
      </c>
      <c r="G26" s="53">
        <f t="shared" si="5"/>
        <v>949346.4294725873</v>
      </c>
      <c r="H26" s="53">
        <f t="shared" si="5"/>
        <v>4831946.5796216633</v>
      </c>
      <c r="I26" s="14"/>
      <c r="J26" s="52" t="s">
        <v>198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236850.97769890638</v>
      </c>
      <c r="D27" s="37">
        <f t="shared" si="5"/>
        <v>227464.14599562474</v>
      </c>
      <c r="E27" s="37">
        <f t="shared" si="5"/>
        <v>226088.97022728718</v>
      </c>
      <c r="F27" s="37">
        <f t="shared" si="5"/>
        <v>225985.07989052197</v>
      </c>
      <c r="G27" s="37">
        <f t="shared" si="5"/>
        <v>228765.40064310847</v>
      </c>
      <c r="H27" s="37">
        <f t="shared" si="5"/>
        <v>1161909.4264270877</v>
      </c>
      <c r="I27" s="14"/>
      <c r="J27" s="52" t="s">
        <v>199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28719.436143302224</v>
      </c>
      <c r="D28" s="37">
        <f t="shared" si="5"/>
        <v>27581.233057507798</v>
      </c>
      <c r="E28" s="37">
        <f t="shared" si="5"/>
        <v>27414.48570840124</v>
      </c>
      <c r="F28" s="37">
        <f t="shared" si="5"/>
        <v>27401.888454543045</v>
      </c>
      <c r="G28" s="37">
        <f t="shared" si="5"/>
        <v>27739.017078995304</v>
      </c>
      <c r="H28" s="37">
        <f t="shared" si="5"/>
        <v>165052.93751439263</v>
      </c>
      <c r="I28" s="14"/>
      <c r="J28" s="52" t="s">
        <v>200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1248470.9283581125</v>
      </c>
      <c r="D29" s="54">
        <f t="shared" si="6"/>
        <v>1198991.772287939</v>
      </c>
      <c r="E29" s="54">
        <f t="shared" si="6"/>
        <v>1191743.049969661</v>
      </c>
      <c r="F29" s="54">
        <f t="shared" si="6"/>
        <v>1191195.4310978753</v>
      </c>
      <c r="G29" s="54">
        <f t="shared" si="6"/>
        <v>1205850.847194691</v>
      </c>
      <c r="H29" s="54">
        <f t="shared" si="6"/>
        <v>6158908.9435631437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104"/>
      <c r="B31" s="98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45839</v>
      </c>
      <c r="D33" s="29">
        <f>'Summary of Revs @ Changed Rates'!D30</f>
        <v>45870</v>
      </c>
      <c r="E33" s="29">
        <f>'Summary of Revs @ Changed Rates'!E30</f>
        <v>45901</v>
      </c>
      <c r="F33" s="29">
        <f>'Summary of Revs @ Changed Rates'!F30</f>
        <v>45931</v>
      </c>
      <c r="G33" s="29">
        <f>'Summary of Revs @ Changed Rates'!G30</f>
        <v>45962</v>
      </c>
      <c r="H33" s="29">
        <f>'Summary of Revs @ Changed Rates'!H30</f>
        <v>45992</v>
      </c>
      <c r="I33" s="30" t="s">
        <v>61</v>
      </c>
      <c r="J33" s="17" t="s">
        <v>186</v>
      </c>
      <c r="K33" s="17" t="s">
        <v>10</v>
      </c>
      <c r="O33" s="46"/>
      <c r="P33" s="7"/>
      <c r="Q33" s="7"/>
    </row>
    <row r="34" spans="1:17" x14ac:dyDescent="0.3">
      <c r="A34" s="8"/>
      <c r="B34" s="28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187</v>
      </c>
      <c r="C35" s="31"/>
      <c r="D35" s="31"/>
      <c r="E35" s="31"/>
      <c r="F35" s="31"/>
      <c r="G35" s="31"/>
      <c r="H35" s="31"/>
      <c r="I35" s="11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>A35+1</f>
        <v>22</v>
      </c>
      <c r="B36" s="32" t="s">
        <v>201</v>
      </c>
      <c r="C36" s="14"/>
      <c r="D36" s="14"/>
      <c r="E36" s="14"/>
      <c r="F36" s="14"/>
      <c r="G36" s="14"/>
      <c r="H36" s="14"/>
      <c r="I36" s="14"/>
      <c r="J36" s="11"/>
      <c r="K36" s="11">
        <f>K35+1</f>
        <v>22</v>
      </c>
      <c r="O36" s="46"/>
      <c r="P36" s="7"/>
      <c r="Q36" s="7"/>
    </row>
    <row r="37" spans="1:17" x14ac:dyDescent="0.3">
      <c r="A37" s="11">
        <f t="shared" ref="A37:A54" si="8">A36+1</f>
        <v>23</v>
      </c>
      <c r="B37" s="14" t="s">
        <v>123</v>
      </c>
      <c r="C37" s="47">
        <f>'Workpaper 1'!I82*1000</f>
        <v>1368595.7154767574</v>
      </c>
      <c r="D37" s="47">
        <f>'Workpaper 1'!J82*1000</f>
        <v>1440488.566055404</v>
      </c>
      <c r="E37" s="47">
        <f>'Workpaper 1'!K82*1000</f>
        <v>1516000.4190021951</v>
      </c>
      <c r="F37" s="47">
        <f>'Workpaper 1'!L82*1000</f>
        <v>1376374.6236843907</v>
      </c>
      <c r="G37" s="47">
        <f>'Workpaper 1'!M82*1000</f>
        <v>1271849.7511882195</v>
      </c>
      <c r="H37" s="47">
        <f>'Workpaper 1'!N82*1000</f>
        <v>1246179.4883613386</v>
      </c>
      <c r="I37" s="37">
        <f>SUM(C12:H12,C37:H37)</f>
        <v>15560670.743230278</v>
      </c>
      <c r="J37" s="11" t="str">
        <f>J12</f>
        <v>(Page BG-21.2, Line 80) x 1000</v>
      </c>
      <c r="K37" s="11">
        <f t="shared" ref="K37:K54" si="9">K36+1</f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'Workpaper 1'!I83*1000</f>
        <v>341450.26974220807</v>
      </c>
      <c r="D38" s="47">
        <f>'Workpaper 1'!J83*1000</f>
        <v>359386.78155867523</v>
      </c>
      <c r="E38" s="47">
        <f>'Workpaper 1'!K83*1000</f>
        <v>378226.19649023074</v>
      </c>
      <c r="F38" s="47">
        <f>'Workpaper 1'!L83*1000</f>
        <v>343391.02571255027</v>
      </c>
      <c r="G38" s="47">
        <f>'Workpaper 1'!M83*1000</f>
        <v>314544.74876418617</v>
      </c>
      <c r="H38" s="47">
        <f>'Workpaper 1'!N83*1000</f>
        <v>308196.16367066529</v>
      </c>
      <c r="I38" s="37">
        <f>SUM(C13:H13,C38:H38)</f>
        <v>3863481.3884231392</v>
      </c>
      <c r="J38" s="11" t="str">
        <f>J13</f>
        <v>(Page BG-21.2, Line 81)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'Workpaper 1'!I84*1000</f>
        <v>48634.486524778789</v>
      </c>
      <c r="D39" s="47">
        <f>'Workpaper 1'!J84*1000</f>
        <v>51189.274496971964</v>
      </c>
      <c r="E39" s="47">
        <f>'Workpaper 1'!K84*1000</f>
        <v>53872.667520252362</v>
      </c>
      <c r="F39" s="47">
        <f>'Workpaper 1'!L84*1000</f>
        <v>48910.918200052474</v>
      </c>
      <c r="G39" s="47">
        <f>'Workpaper 1'!M84*1000</f>
        <v>38648.753826687738</v>
      </c>
      <c r="H39" s="47">
        <f>'Workpaper 1'!N84*1000</f>
        <v>37868.690247844715</v>
      </c>
      <c r="I39" s="37">
        <f>SUM(C14:H14,C39:H39)</f>
        <v>508635.27396455331</v>
      </c>
      <c r="J39" s="11" t="str">
        <f>J14</f>
        <v>(Page BG-21.2, Line 82)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1758680.4717437443</v>
      </c>
      <c r="D40" s="48">
        <f t="shared" si="10"/>
        <v>1851064.6221110511</v>
      </c>
      <c r="E40" s="48">
        <f t="shared" si="10"/>
        <v>1948099.2830126781</v>
      </c>
      <c r="F40" s="48">
        <f t="shared" si="10"/>
        <v>1768676.5675969936</v>
      </c>
      <c r="G40" s="48">
        <f t="shared" si="10"/>
        <v>1625043.2537790935</v>
      </c>
      <c r="H40" s="48">
        <f t="shared" si="10"/>
        <v>1592244.3422798486</v>
      </c>
      <c r="I40" s="49">
        <f t="shared" si="10"/>
        <v>19932787.405617971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Determinants'!D19</f>
        <v>1758680.4717437441</v>
      </c>
      <c r="D41" s="35">
        <f>'B-Billing Determinants'!F19</f>
        <v>1851064.6221110509</v>
      </c>
      <c r="E41" s="35">
        <f>'B-Billing Determinants'!H19</f>
        <v>1948099.2830126781</v>
      </c>
      <c r="F41" s="35">
        <f>'B-Billing Determinants'!J19</f>
        <v>1768676.5675969934</v>
      </c>
      <c r="G41" s="35">
        <f>'B-Billing Determinants'!L19</f>
        <v>1625043.2537790933</v>
      </c>
      <c r="H41" s="35">
        <f>'B-Billing Determinants'!N19</f>
        <v>1592244.3422798486</v>
      </c>
      <c r="I41" s="37">
        <f>SUM(C16:H16,C41:H41)</f>
        <v>19932787.405617971</v>
      </c>
      <c r="J41" s="11" t="s">
        <v>202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36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187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193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3.87</v>
      </c>
      <c r="D46" s="51">
        <f t="shared" ref="D46:F48" si="12">C46</f>
        <v>3.87</v>
      </c>
      <c r="E46" s="51">
        <f t="shared" si="12"/>
        <v>3.87</v>
      </c>
      <c r="F46" s="51">
        <f>E46</f>
        <v>3.87</v>
      </c>
      <c r="G46" s="51">
        <f>C21</f>
        <v>0.78</v>
      </c>
      <c r="H46" s="51">
        <f>'C-Med &amp; Lrg C-I'!$C21</f>
        <v>0.78</v>
      </c>
      <c r="I46" s="14"/>
      <c r="J46" s="11" t="str">
        <f>J21</f>
        <v>Statement BL, Page 1, Lines 11 &amp; 12,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3.73</v>
      </c>
      <c r="D47" s="51">
        <f t="shared" si="12"/>
        <v>3.73</v>
      </c>
      <c r="E47" s="51">
        <f t="shared" si="12"/>
        <v>3.73</v>
      </c>
      <c r="F47" s="51">
        <f t="shared" si="12"/>
        <v>3.73</v>
      </c>
      <c r="G47" s="51">
        <f>C22</f>
        <v>0.76</v>
      </c>
      <c r="H47" s="51">
        <f>'C-Med &amp; Lrg C-I'!$C22</f>
        <v>0.76</v>
      </c>
      <c r="I47" s="14"/>
      <c r="J47" s="11" t="str">
        <f>J22</f>
        <v>Statement BL, Page 1, Lines 11 &amp; 12,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3.72</v>
      </c>
      <c r="D48" s="51">
        <f t="shared" si="12"/>
        <v>3.72</v>
      </c>
      <c r="E48" s="51">
        <f t="shared" si="12"/>
        <v>3.72</v>
      </c>
      <c r="F48" s="51">
        <f t="shared" si="12"/>
        <v>3.72</v>
      </c>
      <c r="G48" s="51">
        <f>C23</f>
        <v>0.75</v>
      </c>
      <c r="H48" s="51">
        <f>'C-Med &amp; Lrg C-I'!$C23</f>
        <v>0.75</v>
      </c>
      <c r="I48" s="14"/>
      <c r="J48" s="11" t="str">
        <f>J23</f>
        <v>Statement BL, Page 1, Lines 11 &amp; 12,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197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5296465.4188950509</v>
      </c>
      <c r="D51" s="53">
        <f t="shared" si="13"/>
        <v>5574690.7506344141</v>
      </c>
      <c r="E51" s="53">
        <f t="shared" si="13"/>
        <v>5866921.6215384956</v>
      </c>
      <c r="F51" s="53">
        <f t="shared" si="13"/>
        <v>5326569.7936585918</v>
      </c>
      <c r="G51" s="53">
        <f t="shared" si="13"/>
        <v>992042.8059268113</v>
      </c>
      <c r="H51" s="53">
        <f t="shared" si="13"/>
        <v>972020.00092184416</v>
      </c>
      <c r="I51" s="53">
        <f>SUM(C26:H26,C51:H51)</f>
        <v>33612898.365206949</v>
      </c>
      <c r="J51" s="52" t="s">
        <v>203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1273609.506138436</v>
      </c>
      <c r="D52" s="37">
        <f t="shared" si="13"/>
        <v>1340512.6952138585</v>
      </c>
      <c r="E52" s="37">
        <f t="shared" si="13"/>
        <v>1410783.7129085606</v>
      </c>
      <c r="F52" s="37">
        <f t="shared" si="13"/>
        <v>1280848.5259078124</v>
      </c>
      <c r="G52" s="37">
        <f t="shared" si="13"/>
        <v>239054.00906078148</v>
      </c>
      <c r="H52" s="37">
        <f t="shared" si="13"/>
        <v>234229.08438970562</v>
      </c>
      <c r="I52" s="53">
        <f>SUM(C27:H27,C52:H52)</f>
        <v>8086101.5345016904</v>
      </c>
      <c r="J52" s="52" t="s">
        <v>204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180920.28987217712</v>
      </c>
      <c r="D53" s="37">
        <f t="shared" si="13"/>
        <v>190424.10112873573</v>
      </c>
      <c r="E53" s="37">
        <f t="shared" si="13"/>
        <v>200406.3231753388</v>
      </c>
      <c r="F53" s="37">
        <f t="shared" si="13"/>
        <v>181948.61570419522</v>
      </c>
      <c r="G53" s="37">
        <f t="shared" si="13"/>
        <v>28986.565370015804</v>
      </c>
      <c r="H53" s="37">
        <f t="shared" si="13"/>
        <v>28401.517685883537</v>
      </c>
      <c r="I53" s="53">
        <f>SUM(C28:H28,C53:H53)</f>
        <v>1114996.4108934884</v>
      </c>
      <c r="J53" s="52" t="s">
        <v>205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224">
        <f t="shared" ref="C54:I54" si="14">SUM(C51:C53)</f>
        <v>6750995.2149056643</v>
      </c>
      <c r="D54" s="224">
        <f t="shared" si="14"/>
        <v>7105627.5469770087</v>
      </c>
      <c r="E54" s="224">
        <f t="shared" si="14"/>
        <v>7478111.6576223951</v>
      </c>
      <c r="F54" s="224">
        <f t="shared" si="14"/>
        <v>6789366.9352706</v>
      </c>
      <c r="G54" s="224">
        <f t="shared" si="14"/>
        <v>1260083.3803576087</v>
      </c>
      <c r="H54" s="224">
        <f t="shared" si="14"/>
        <v>1234650.6029974332</v>
      </c>
      <c r="I54" s="54">
        <f t="shared" si="14"/>
        <v>42813996.310602129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1"/>
      <c r="B55" s="24"/>
      <c r="C55" s="225"/>
      <c r="D55" s="225"/>
      <c r="E55" s="225"/>
      <c r="F55" s="225"/>
      <c r="G55" s="225"/>
      <c r="H55" s="225"/>
      <c r="I55" s="105"/>
      <c r="J55" s="17"/>
      <c r="K55" s="17"/>
      <c r="O55" s="46"/>
      <c r="P55" s="7"/>
      <c r="Q55" s="7"/>
    </row>
    <row r="56" spans="1:17" x14ac:dyDescent="0.3">
      <c r="A56" s="7"/>
      <c r="B56" s="25" t="s">
        <v>46</v>
      </c>
      <c r="O56" s="46"/>
      <c r="P56" s="7"/>
      <c r="Q56" s="7"/>
    </row>
    <row r="57" spans="1:17" ht="22.5" x14ac:dyDescent="0.3">
      <c r="A57" s="77">
        <v>1</v>
      </c>
      <c r="B57" s="1" t="s">
        <v>206</v>
      </c>
      <c r="O57" s="46"/>
      <c r="P57" s="7"/>
      <c r="Q57" s="7"/>
    </row>
    <row r="58" spans="1:17" ht="22.5" x14ac:dyDescent="0.3">
      <c r="A58" s="77">
        <v>2</v>
      </c>
      <c r="B58" s="1" t="s">
        <v>207</v>
      </c>
      <c r="O58" s="46"/>
      <c r="P58" s="7"/>
      <c r="Q58" s="7"/>
    </row>
    <row r="59" spans="1:17" ht="22.5" x14ac:dyDescent="0.3">
      <c r="A59" s="77">
        <v>3</v>
      </c>
      <c r="B59" s="1" t="s">
        <v>157</v>
      </c>
      <c r="O59" s="46"/>
      <c r="P59" s="7"/>
      <c r="Q59" s="7"/>
    </row>
    <row r="60" spans="1:17" ht="22.5" x14ac:dyDescent="0.3">
      <c r="A60" s="77"/>
      <c r="O60" s="46"/>
      <c r="P60" s="7"/>
      <c r="Q60" s="7"/>
    </row>
    <row r="61" spans="1:17" ht="22.5" x14ac:dyDescent="0.3">
      <c r="A61" s="77"/>
      <c r="O61" s="46"/>
      <c r="P61" s="7"/>
      <c r="Q61" s="7"/>
    </row>
    <row r="62" spans="1:17" ht="22.5" x14ac:dyDescent="0.3">
      <c r="A62" s="77"/>
      <c r="O62" s="46"/>
      <c r="P62" s="7"/>
      <c r="Q62" s="7"/>
    </row>
    <row r="63" spans="1:17" x14ac:dyDescent="0.3">
      <c r="A63" s="96"/>
      <c r="B63" s="25"/>
      <c r="O63" s="46"/>
      <c r="P63" s="7"/>
      <c r="Q63" s="7"/>
    </row>
    <row r="64" spans="1:17" x14ac:dyDescent="0.3">
      <c r="A64" s="96"/>
      <c r="O64" s="46"/>
      <c r="P64" s="7"/>
      <c r="Q64" s="7"/>
    </row>
    <row r="65" spans="1:17" x14ac:dyDescent="0.3">
      <c r="A65" s="96"/>
      <c r="O65" s="46"/>
      <c r="P65" s="7"/>
      <c r="Q65" s="7"/>
    </row>
    <row r="66" spans="1:17" x14ac:dyDescent="0.3">
      <c r="A66" s="96"/>
      <c r="O66" s="46"/>
      <c r="P66" s="7"/>
      <c r="Q66" s="7"/>
    </row>
    <row r="67" spans="1:17" x14ac:dyDescent="0.3">
      <c r="A67" s="96"/>
      <c r="B67" s="25"/>
      <c r="O67" s="46"/>
      <c r="P67" s="7"/>
      <c r="Q67" s="7"/>
    </row>
    <row r="68" spans="1:17" x14ac:dyDescent="0.3">
      <c r="A68" s="96"/>
      <c r="O68" s="46"/>
      <c r="P68" s="7"/>
      <c r="Q68" s="7"/>
    </row>
    <row r="69" spans="1:17" x14ac:dyDescent="0.3">
      <c r="A69" s="96"/>
      <c r="O69" s="46"/>
      <c r="P69" s="7"/>
      <c r="Q69" s="7"/>
    </row>
    <row r="70" spans="1:17" x14ac:dyDescent="0.3">
      <c r="A70" s="96"/>
      <c r="O70" s="46"/>
      <c r="P70" s="7"/>
      <c r="Q70" s="7"/>
    </row>
    <row r="71" spans="1:17" x14ac:dyDescent="0.3">
      <c r="A71" s="96"/>
      <c r="O71" s="46"/>
      <c r="P71" s="7"/>
      <c r="Q71" s="7"/>
    </row>
    <row r="72" spans="1:17" x14ac:dyDescent="0.3">
      <c r="A72" s="96"/>
      <c r="O72" s="46"/>
      <c r="P72" s="7"/>
      <c r="Q72" s="7"/>
    </row>
    <row r="73" spans="1:17" x14ac:dyDescent="0.3">
      <c r="A73" s="96"/>
      <c r="B73" s="97"/>
      <c r="O73" s="46"/>
      <c r="P73" s="7"/>
      <c r="Q73" s="7"/>
    </row>
    <row r="74" spans="1:17" x14ac:dyDescent="0.3">
      <c r="A74" s="96"/>
      <c r="O74" s="46"/>
      <c r="P74" s="7"/>
      <c r="Q74" s="7"/>
    </row>
    <row r="75" spans="1:17" x14ac:dyDescent="0.3">
      <c r="A75" s="96"/>
      <c r="O75" s="46"/>
      <c r="P75" s="7"/>
      <c r="Q75" s="7"/>
    </row>
    <row r="76" spans="1:17" x14ac:dyDescent="0.3">
      <c r="A76" s="96"/>
      <c r="O76" s="46"/>
      <c r="P76" s="7"/>
      <c r="Q76" s="7"/>
    </row>
    <row r="77" spans="1:17" x14ac:dyDescent="0.3">
      <c r="A77" s="96"/>
      <c r="O77" s="46"/>
      <c r="P77" s="7"/>
      <c r="Q77" s="7"/>
    </row>
    <row r="78" spans="1:17" x14ac:dyDescent="0.3">
      <c r="A78" s="96"/>
    </row>
    <row r="79" spans="1:17" x14ac:dyDescent="0.3">
      <c r="A79" s="96"/>
      <c r="B79" s="25"/>
    </row>
    <row r="80" spans="1:17" ht="22.5" x14ac:dyDescent="0.3">
      <c r="A80" s="26"/>
    </row>
    <row r="81" spans="1:1" ht="22.5" x14ac:dyDescent="0.3">
      <c r="A81" s="26"/>
    </row>
    <row r="82" spans="1:1" ht="22.5" x14ac:dyDescent="0.3">
      <c r="A82" s="26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48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Q77"/>
  <sheetViews>
    <sheetView zoomScale="75" zoomScaleNormal="75" zoomScaleSheetLayoutView="70" workbookViewId="0">
      <selection activeCell="H23" sqref="H23"/>
    </sheetView>
  </sheetViews>
  <sheetFormatPr defaultColWidth="9.140625" defaultRowHeight="18.75" x14ac:dyDescent="0.3"/>
  <cols>
    <col min="1" max="1" width="6" style="1" bestFit="1" customWidth="1"/>
    <col min="2" max="2" width="48.140625" style="1" customWidth="1"/>
    <col min="3" max="3" width="18" style="1" bestFit="1" customWidth="1"/>
    <col min="4" max="8" width="17.28515625" style="1" bestFit="1" customWidth="1"/>
    <col min="9" max="9" width="18.42578125" style="1" bestFit="1" customWidth="1"/>
    <col min="10" max="10" width="64.5703125" style="1" bestFit="1" customWidth="1"/>
    <col min="11" max="11" width="5.5703125" style="1" bestFit="1" customWidth="1"/>
    <col min="12" max="12" width="17.140625" style="1" bestFit="1" customWidth="1"/>
    <col min="13" max="13" width="33.85546875" style="1" customWidth="1"/>
    <col min="14" max="14" width="17.140625" style="1" bestFit="1" customWidth="1"/>
    <col min="15" max="15" width="18.42578125" style="1" bestFit="1" customWidth="1"/>
    <col min="16" max="16" width="68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185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459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45658</v>
      </c>
      <c r="D8" s="29">
        <f>'Summary of Revs @ Changed Rates'!D8</f>
        <v>45689</v>
      </c>
      <c r="E8" s="29">
        <f>'Summary of Revs @ Changed Rates'!E8</f>
        <v>45717</v>
      </c>
      <c r="F8" s="29">
        <f>'Summary of Revs @ Changed Rates'!F8</f>
        <v>45748</v>
      </c>
      <c r="G8" s="29">
        <f>'Summary of Revs @ Changed Rates'!G8</f>
        <v>45778</v>
      </c>
      <c r="H8" s="29">
        <f>'Summary of Revs @ Changed Rates'!H8</f>
        <v>45809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208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209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37" si="0">A11+1</f>
        <v>3</v>
      </c>
      <c r="B12" s="14" t="s">
        <v>123</v>
      </c>
      <c r="C12" s="47">
        <f>'Workpaper 1'!C128*1000</f>
        <v>0</v>
      </c>
      <c r="D12" s="47">
        <f>'Workpaper 1'!D128*1000</f>
        <v>0</v>
      </c>
      <c r="E12" s="47">
        <f>'Workpaper 1'!E128*1000</f>
        <v>0</v>
      </c>
      <c r="F12" s="47">
        <f>'Workpaper 1'!F128*1000</f>
        <v>0</v>
      </c>
      <c r="G12" s="47">
        <f>'Workpaper 1'!G128*1000</f>
        <v>0</v>
      </c>
      <c r="H12" s="47">
        <f>'Workpaper 1'!H128*1000</f>
        <v>0</v>
      </c>
      <c r="I12" s="14"/>
      <c r="J12" s="11" t="s">
        <v>210</v>
      </c>
      <c r="K12" s="11">
        <f t="shared" ref="K12:K37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1'!C129*1000</f>
        <v>37744.02702402509</v>
      </c>
      <c r="D13" s="47">
        <f>'Workpaper 1'!D129*1000</f>
        <v>32788.017784402902</v>
      </c>
      <c r="E13" s="47">
        <f>'Workpaper 1'!E129*1000</f>
        <v>35019.00235852191</v>
      </c>
      <c r="F13" s="47">
        <f>'Workpaper 1'!F129*1000</f>
        <v>36792.275706357286</v>
      </c>
      <c r="G13" s="47">
        <f>'Workpaper 1'!G129*1000</f>
        <v>36178.665806053199</v>
      </c>
      <c r="H13" s="47">
        <f>'Workpaper 1'!H129*1000</f>
        <v>38018.045916729381</v>
      </c>
      <c r="I13" s="14"/>
      <c r="J13" s="11" t="s">
        <v>211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1'!C130*1000</f>
        <v>86134.254200093434</v>
      </c>
      <c r="D14" s="47">
        <f>'Workpaper 1'!D130*1000</f>
        <v>74824.328012516606</v>
      </c>
      <c r="E14" s="47">
        <f>'Workpaper 1'!E130*1000</f>
        <v>79915.575756201622</v>
      </c>
      <c r="F14" s="47">
        <f>'Workpaper 1'!F130*1000</f>
        <v>83962.297564965716</v>
      </c>
      <c r="G14" s="47">
        <f>'Workpaper 1'!G130*1000</f>
        <v>82562.001006815088</v>
      </c>
      <c r="H14" s="47">
        <f>'Workpaper 1'!H130*1000</f>
        <v>84418.999481222272</v>
      </c>
      <c r="I14" s="14"/>
      <c r="J14" s="11" t="s">
        <v>212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123878.28122411852</v>
      </c>
      <c r="D15" s="48">
        <f t="shared" si="2"/>
        <v>107612.34579691952</v>
      </c>
      <c r="E15" s="48">
        <f t="shared" si="2"/>
        <v>114934.57811472352</v>
      </c>
      <c r="F15" s="48">
        <f t="shared" si="2"/>
        <v>120754.573271323</v>
      </c>
      <c r="G15" s="48">
        <f t="shared" si="2"/>
        <v>118740.66681286829</v>
      </c>
      <c r="H15" s="48">
        <f t="shared" si="2"/>
        <v>122437.04539795165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Determinants'!D20</f>
        <v>123878.28122411853</v>
      </c>
      <c r="D16" s="35">
        <f>'A-Billing Determinants'!F20</f>
        <v>107612.3457969195</v>
      </c>
      <c r="E16" s="35">
        <f>'A-Billing Determinants'!H20</f>
        <v>114934.57811472354</v>
      </c>
      <c r="F16" s="35">
        <f>'A-Billing Determinants'!J20</f>
        <v>120754.573271323</v>
      </c>
      <c r="G16" s="35">
        <f>'A-Billing Determinants'!L20</f>
        <v>118740.66681286828</v>
      </c>
      <c r="H16" s="35">
        <f>'A-Billing Determinants'!N20</f>
        <v>122437.04539795166</v>
      </c>
      <c r="I16" s="14"/>
      <c r="J16" s="11" t="s">
        <v>213</v>
      </c>
      <c r="K16" s="11">
        <f t="shared" si="1"/>
        <v>7</v>
      </c>
    </row>
    <row r="17" spans="1:13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3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3" x14ac:dyDescent="0.3">
      <c r="A19" s="11">
        <f t="shared" si="0"/>
        <v>10</v>
      </c>
      <c r="B19" s="38" t="s">
        <v>214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3" x14ac:dyDescent="0.3">
      <c r="A20" s="11">
        <f t="shared" si="0"/>
        <v>11</v>
      </c>
      <c r="B20" s="38" t="s">
        <v>215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3" x14ac:dyDescent="0.3">
      <c r="A21" s="11">
        <f t="shared" si="0"/>
        <v>12</v>
      </c>
      <c r="B21" s="14" t="s">
        <v>123</v>
      </c>
      <c r="C21" s="51">
        <f>'[2]Transmission Rates Summary'!$F$33</f>
        <v>0</v>
      </c>
      <c r="D21" s="51">
        <f>C21</f>
        <v>0</v>
      </c>
      <c r="E21" s="51">
        <f>D21</f>
        <v>0</v>
      </c>
      <c r="F21" s="51">
        <f>E21</f>
        <v>0</v>
      </c>
      <c r="G21" s="51">
        <f>F21</f>
        <v>0</v>
      </c>
      <c r="H21" s="51">
        <f>'[2]Transmission Rates Summary'!$F$32</f>
        <v>0</v>
      </c>
      <c r="I21" s="14"/>
      <c r="J21" s="11" t="s">
        <v>216</v>
      </c>
      <c r="K21" s="11">
        <f t="shared" si="1"/>
        <v>12</v>
      </c>
    </row>
    <row r="22" spans="1:13" x14ac:dyDescent="0.3">
      <c r="A22" s="11">
        <f t="shared" si="0"/>
        <v>13</v>
      </c>
      <c r="B22" s="14" t="s">
        <v>138</v>
      </c>
      <c r="C22" s="51">
        <f>'[2]Transmission Rates Summary'!$E$33</f>
        <v>0.95</v>
      </c>
      <c r="D22" s="51">
        <f t="shared" ref="D22:G23" si="4">C22</f>
        <v>0.95</v>
      </c>
      <c r="E22" s="51">
        <f t="shared" si="4"/>
        <v>0.95</v>
      </c>
      <c r="F22" s="51">
        <f t="shared" si="4"/>
        <v>0.95</v>
      </c>
      <c r="G22" s="51">
        <f t="shared" si="4"/>
        <v>0.95</v>
      </c>
      <c r="H22" s="51">
        <f>'[2]Transmission Rates Summary'!$E$32</f>
        <v>4.9000000000000004</v>
      </c>
      <c r="I22" s="14"/>
      <c r="J22" s="11" t="s">
        <v>217</v>
      </c>
      <c r="K22" s="11">
        <f t="shared" si="1"/>
        <v>13</v>
      </c>
    </row>
    <row r="23" spans="1:13" x14ac:dyDescent="0.3">
      <c r="A23" s="11">
        <f t="shared" si="0"/>
        <v>14</v>
      </c>
      <c r="B23" s="14" t="s">
        <v>127</v>
      </c>
      <c r="C23" s="51">
        <f>'[2]Transmission Rates Summary'!$D$33</f>
        <v>0.95</v>
      </c>
      <c r="D23" s="51">
        <f t="shared" si="4"/>
        <v>0.95</v>
      </c>
      <c r="E23" s="51">
        <f t="shared" si="4"/>
        <v>0.95</v>
      </c>
      <c r="F23" s="51">
        <f t="shared" si="4"/>
        <v>0.95</v>
      </c>
      <c r="G23" s="51">
        <f t="shared" si="4"/>
        <v>0.95</v>
      </c>
      <c r="H23" s="51">
        <f>'[2]Transmission Rates Summary'!$D$32</f>
        <v>4.87</v>
      </c>
      <c r="I23" s="14"/>
      <c r="J23" s="11" t="s">
        <v>218</v>
      </c>
      <c r="K23" s="11">
        <f t="shared" si="1"/>
        <v>14</v>
      </c>
    </row>
    <row r="24" spans="1:13" x14ac:dyDescent="0.3">
      <c r="A24" s="11">
        <f t="shared" si="0"/>
        <v>15</v>
      </c>
      <c r="B24" s="38" t="s">
        <v>219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3" x14ac:dyDescent="0.3">
      <c r="A25" s="11">
        <f t="shared" si="0"/>
        <v>16</v>
      </c>
      <c r="B25" s="38" t="s">
        <v>220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3" x14ac:dyDescent="0.3">
      <c r="A26" s="11">
        <f t="shared" si="0"/>
        <v>17</v>
      </c>
      <c r="B26" s="14" t="s">
        <v>123</v>
      </c>
      <c r="C26" s="53">
        <f t="shared" ref="C26:H28" si="5">C21*C12</f>
        <v>0</v>
      </c>
      <c r="D26" s="53">
        <f t="shared" si="5"/>
        <v>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14"/>
      <c r="J26" s="52" t="s">
        <v>198</v>
      </c>
      <c r="K26" s="11">
        <f t="shared" si="1"/>
        <v>17</v>
      </c>
    </row>
    <row r="27" spans="1:13" x14ac:dyDescent="0.3">
      <c r="A27" s="11">
        <f t="shared" si="0"/>
        <v>18</v>
      </c>
      <c r="B27" s="14" t="s">
        <v>125</v>
      </c>
      <c r="C27" s="37">
        <f t="shared" si="5"/>
        <v>35856.825672823834</v>
      </c>
      <c r="D27" s="37">
        <f t="shared" si="5"/>
        <v>31148.616895182757</v>
      </c>
      <c r="E27" s="37">
        <f t="shared" si="5"/>
        <v>33268.052240595811</v>
      </c>
      <c r="F27" s="37">
        <f t="shared" si="5"/>
        <v>34952.66192103942</v>
      </c>
      <c r="G27" s="37">
        <f t="shared" si="5"/>
        <v>34369.73251575054</v>
      </c>
      <c r="H27" s="37">
        <f t="shared" si="5"/>
        <v>186288.42499197397</v>
      </c>
      <c r="I27" s="14"/>
      <c r="J27" s="52" t="s">
        <v>199</v>
      </c>
      <c r="K27" s="11">
        <f t="shared" si="1"/>
        <v>18</v>
      </c>
    </row>
    <row r="28" spans="1:13" x14ac:dyDescent="0.3">
      <c r="A28" s="11">
        <f t="shared" si="0"/>
        <v>19</v>
      </c>
      <c r="B28" s="14" t="s">
        <v>127</v>
      </c>
      <c r="C28" s="37">
        <f t="shared" si="5"/>
        <v>81827.541490088755</v>
      </c>
      <c r="D28" s="37">
        <f t="shared" si="5"/>
        <v>71083.111611890767</v>
      </c>
      <c r="E28" s="37">
        <f t="shared" si="5"/>
        <v>75919.796968391543</v>
      </c>
      <c r="F28" s="37">
        <f t="shared" si="5"/>
        <v>79764.182686717424</v>
      </c>
      <c r="G28" s="37">
        <f t="shared" si="5"/>
        <v>78433.900956474332</v>
      </c>
      <c r="H28" s="37">
        <f t="shared" si="5"/>
        <v>411120.5274735525</v>
      </c>
      <c r="I28" s="14"/>
      <c r="J28" s="52" t="s">
        <v>200</v>
      </c>
      <c r="K28" s="11">
        <f t="shared" si="1"/>
        <v>19</v>
      </c>
    </row>
    <row r="29" spans="1:13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117684.36716291259</v>
      </c>
      <c r="D29" s="54">
        <f t="shared" si="6"/>
        <v>102231.72850707352</v>
      </c>
      <c r="E29" s="54">
        <f t="shared" si="6"/>
        <v>109187.84920898735</v>
      </c>
      <c r="F29" s="54">
        <f t="shared" si="6"/>
        <v>114716.84460775685</v>
      </c>
      <c r="G29" s="54">
        <f t="shared" si="6"/>
        <v>112803.63347222487</v>
      </c>
      <c r="H29" s="54">
        <f t="shared" si="6"/>
        <v>597408.95246552653</v>
      </c>
      <c r="I29" s="14"/>
      <c r="J29" s="50" t="s">
        <v>175</v>
      </c>
      <c r="K29" s="11">
        <f t="shared" si="1"/>
        <v>20</v>
      </c>
    </row>
    <row r="30" spans="1:13" ht="19.5" thickTop="1" x14ac:dyDescent="0.3">
      <c r="A30" s="11">
        <f t="shared" si="0"/>
        <v>21</v>
      </c>
      <c r="B30" s="14"/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3" x14ac:dyDescent="0.3">
      <c r="A31" s="11">
        <f t="shared" si="0"/>
        <v>22</v>
      </c>
      <c r="B31" s="32" t="s">
        <v>142</v>
      </c>
      <c r="C31" s="14"/>
      <c r="D31" s="14"/>
      <c r="E31" s="14"/>
      <c r="F31" s="14"/>
      <c r="G31" s="14"/>
      <c r="H31" s="14"/>
      <c r="I31" s="14"/>
      <c r="J31" s="11"/>
      <c r="K31" s="11">
        <f t="shared" si="1"/>
        <v>22</v>
      </c>
      <c r="L31" s="391"/>
    </row>
    <row r="32" spans="1:13" ht="37.5" x14ac:dyDescent="0.3">
      <c r="A32" s="11">
        <f t="shared" si="0"/>
        <v>23</v>
      </c>
      <c r="B32" s="14" t="s">
        <v>123</v>
      </c>
      <c r="C32" s="53">
        <f>ROUND(SUM(C26,'C-Med &amp; Lrg C-I'!C26,'B-Med &amp; Lrg C-I'!C26,'A-Med &amp; Lrg C-I'!C30),0)</f>
        <v>25940853</v>
      </c>
      <c r="D32" s="53">
        <f>ROUND(SUM(D26,'C-Med &amp; Lrg C-I'!D26,'B-Med &amp; Lrg C-I'!D26,'A-Med &amp; Lrg C-I'!D30),0)</f>
        <v>24912770</v>
      </c>
      <c r="E32" s="53">
        <f>ROUND(SUM(E26,'C-Med &amp; Lrg C-I'!E26,'B-Med &amp; Lrg C-I'!E26,'A-Med &amp; Lrg C-I'!E30),0)</f>
        <v>24762155</v>
      </c>
      <c r="F32" s="53">
        <f>ROUND(SUM(F26,'C-Med &amp; Lrg C-I'!F26,'B-Med &amp; Lrg C-I'!F26,'A-Med &amp; Lrg C-I'!F30),0)</f>
        <v>24750777</v>
      </c>
      <c r="G32" s="53">
        <f>ROUND(SUM(G26,'C-Med &amp; Lrg C-I'!G26,'B-Med &amp; Lrg C-I'!G26,'A-Med &amp; Lrg C-I'!G30),0)</f>
        <v>25055289</v>
      </c>
      <c r="H32" s="53">
        <f>ROUND(SUM(H26,'C-Med &amp; Lrg C-I'!H26,'B-Med &amp; Lrg C-I'!H26,'A-Med &amp; Lrg C-I'!H30),0)</f>
        <v>29874324</v>
      </c>
      <c r="I32" s="14"/>
      <c r="J32" s="99" t="s">
        <v>441</v>
      </c>
      <c r="K32" s="11">
        <f t="shared" si="1"/>
        <v>23</v>
      </c>
      <c r="M32" s="413"/>
    </row>
    <row r="33" spans="1:17" ht="37.5" x14ac:dyDescent="0.3">
      <c r="A33" s="11">
        <f t="shared" si="0"/>
        <v>24</v>
      </c>
      <c r="B33" s="14" t="s">
        <v>125</v>
      </c>
      <c r="C33" s="53">
        <f>ROUND(SUM(C27,'C-Med &amp; Lrg C-I'!C27,'B-Med &amp; Lrg C-I'!C27,'A-Med &amp; Lrg C-I'!C31),0)</f>
        <v>6997177</v>
      </c>
      <c r="D33" s="53">
        <f>ROUND(SUM(D27,'C-Med &amp; Lrg C-I'!D27,'B-Med &amp; Lrg C-I'!D27,'A-Med &amp; Lrg C-I'!D31),0)</f>
        <v>6622573</v>
      </c>
      <c r="E33" s="53">
        <f>ROUND(SUM(E27,'C-Med &amp; Lrg C-I'!E27,'B-Med &amp; Lrg C-I'!E27,'A-Med &amp; Lrg C-I'!E31),0)</f>
        <v>6650840</v>
      </c>
      <c r="F33" s="53">
        <f>ROUND(SUM(F27,'C-Med &amp; Lrg C-I'!F27,'B-Med &amp; Lrg C-I'!F27,'A-Med &amp; Lrg C-I'!F31),0)</f>
        <v>6698098</v>
      </c>
      <c r="G33" s="53">
        <f>ROUND(SUM(G27,'C-Med &amp; Lrg C-I'!G27,'B-Med &amp; Lrg C-I'!G27,'A-Med &amp; Lrg C-I'!G31),0)</f>
        <v>6750524</v>
      </c>
      <c r="H33" s="53">
        <f>ROUND(SUM(H27,'C-Med &amp; Lrg C-I'!H27,'B-Med &amp; Lrg C-I'!H27,'A-Med &amp; Lrg C-I'!H31),0)</f>
        <v>8240407</v>
      </c>
      <c r="I33" s="14"/>
      <c r="J33" s="99" t="s">
        <v>442</v>
      </c>
      <c r="K33" s="11">
        <f t="shared" si="1"/>
        <v>24</v>
      </c>
      <c r="M33" s="413"/>
    </row>
    <row r="34" spans="1:17" ht="37.5" x14ac:dyDescent="0.3">
      <c r="A34" s="11">
        <f t="shared" si="0"/>
        <v>25</v>
      </c>
      <c r="B34" s="14" t="s">
        <v>127</v>
      </c>
      <c r="C34" s="53">
        <f>ROUND(SUM(C28,'C-Med &amp; Lrg C-I'!C28,'B-Med &amp; Lrg C-I'!C28,'A-Med &amp; Lrg C-I'!C32),0)</f>
        <v>2355795</v>
      </c>
      <c r="D34" s="53">
        <f>ROUND(SUM(D28,'C-Med &amp; Lrg C-I'!D28,'B-Med &amp; Lrg C-I'!D28,'A-Med &amp; Lrg C-I'!D32),0)</f>
        <v>2077408</v>
      </c>
      <c r="E34" s="53">
        <f>ROUND(SUM(E28,'C-Med &amp; Lrg C-I'!E28,'B-Med &amp; Lrg C-I'!E28,'A-Med &amp; Lrg C-I'!E32),0)</f>
        <v>2194745</v>
      </c>
      <c r="F34" s="53">
        <f>ROUND(SUM(F28,'C-Med &amp; Lrg C-I'!F28,'B-Med &amp; Lrg C-I'!F28,'A-Med &amp; Lrg C-I'!F32),0)</f>
        <v>2289418</v>
      </c>
      <c r="G34" s="53">
        <f>ROUND(SUM(G28,'C-Med &amp; Lrg C-I'!G28,'B-Med &amp; Lrg C-I'!G28,'A-Med &amp; Lrg C-I'!G32),0)</f>
        <v>2260569</v>
      </c>
      <c r="H34" s="53">
        <f>ROUND(SUM(H28,'C-Med &amp; Lrg C-I'!H28,'B-Med &amp; Lrg C-I'!H28,'A-Med &amp; Lrg C-I'!H32),0)</f>
        <v>2887801</v>
      </c>
      <c r="I34" s="14"/>
      <c r="J34" s="99" t="s">
        <v>443</v>
      </c>
      <c r="K34" s="11">
        <f t="shared" si="1"/>
        <v>25</v>
      </c>
      <c r="M34" s="413"/>
    </row>
    <row r="35" spans="1:17" ht="19.5" thickBot="1" x14ac:dyDescent="0.35">
      <c r="A35" s="11">
        <f t="shared" si="0"/>
        <v>26</v>
      </c>
      <c r="B35" s="14" t="s">
        <v>221</v>
      </c>
      <c r="C35" s="42">
        <f t="shared" ref="C35:H35" si="7">SUM(C32:C34)</f>
        <v>35293825</v>
      </c>
      <c r="D35" s="42">
        <f t="shared" si="7"/>
        <v>33612751</v>
      </c>
      <c r="E35" s="42">
        <f t="shared" si="7"/>
        <v>33607740</v>
      </c>
      <c r="F35" s="42">
        <f t="shared" si="7"/>
        <v>33738293</v>
      </c>
      <c r="G35" s="42">
        <f t="shared" si="7"/>
        <v>34066382</v>
      </c>
      <c r="H35" s="42">
        <f t="shared" si="7"/>
        <v>41002532</v>
      </c>
      <c r="I35" s="14"/>
      <c r="J35" s="55" t="s">
        <v>177</v>
      </c>
      <c r="K35" s="11">
        <f t="shared" si="1"/>
        <v>26</v>
      </c>
    </row>
    <row r="36" spans="1:17" ht="19.5" thickTop="1" x14ac:dyDescent="0.3">
      <c r="A36" s="11">
        <f t="shared" si="0"/>
        <v>27</v>
      </c>
      <c r="B36" s="14"/>
      <c r="C36" s="14"/>
      <c r="D36" s="14"/>
      <c r="E36" s="14"/>
      <c r="F36" s="14"/>
      <c r="G36" s="14"/>
      <c r="H36" s="14"/>
      <c r="I36" s="14"/>
      <c r="J36" s="11"/>
      <c r="K36" s="11">
        <f t="shared" si="1"/>
        <v>27</v>
      </c>
    </row>
    <row r="37" spans="1:17" ht="19.5" thickBot="1" x14ac:dyDescent="0.35">
      <c r="A37" s="11">
        <f t="shared" si="0"/>
        <v>28</v>
      </c>
      <c r="B37" s="38" t="s">
        <v>155</v>
      </c>
      <c r="C37" s="45">
        <f>C35+'A-Med &amp; Lrg C-I'!C13</f>
        <v>35293825</v>
      </c>
      <c r="D37" s="45">
        <f>D35+'A-Med &amp; Lrg C-I'!D13</f>
        <v>33612751</v>
      </c>
      <c r="E37" s="45">
        <f>E35+'A-Med &amp; Lrg C-I'!E13</f>
        <v>33607740</v>
      </c>
      <c r="F37" s="45">
        <f>F35+'A-Med &amp; Lrg C-I'!F13</f>
        <v>33738293</v>
      </c>
      <c r="G37" s="45">
        <f>G35+'A-Med &amp; Lrg C-I'!G13</f>
        <v>34066382</v>
      </c>
      <c r="H37" s="45">
        <f>H35+'A-Med &amp; Lrg C-I'!H13</f>
        <v>41002532</v>
      </c>
      <c r="I37" s="14"/>
      <c r="J37" s="99" t="s">
        <v>222</v>
      </c>
      <c r="K37" s="11">
        <f t="shared" si="1"/>
        <v>28</v>
      </c>
    </row>
    <row r="38" spans="1:17" ht="19.5" thickTop="1" x14ac:dyDescent="0.3">
      <c r="A38" s="17"/>
      <c r="B38" s="24"/>
      <c r="C38" s="24"/>
      <c r="D38" s="24"/>
      <c r="E38" s="24"/>
      <c r="F38" s="24"/>
      <c r="G38" s="24"/>
      <c r="H38" s="24"/>
      <c r="I38" s="24"/>
      <c r="J38" s="17"/>
      <c r="K38" s="17"/>
    </row>
    <row r="39" spans="1:17" x14ac:dyDescent="0.3">
      <c r="A39" s="7"/>
      <c r="O39" s="46"/>
      <c r="P39" s="7"/>
      <c r="Q39" s="7"/>
    </row>
    <row r="40" spans="1:17" x14ac:dyDescent="0.3">
      <c r="A40" s="8" t="s">
        <v>8</v>
      </c>
      <c r="B40" s="28"/>
      <c r="C40" s="8" t="str">
        <f>C7</f>
        <v>(A)</v>
      </c>
      <c r="D40" s="8" t="str">
        <f t="shared" ref="D40:I40" si="8">D7</f>
        <v>(B)</v>
      </c>
      <c r="E40" s="8" t="str">
        <f t="shared" si="8"/>
        <v>(C)</v>
      </c>
      <c r="F40" s="8" t="str">
        <f t="shared" si="8"/>
        <v>(D)</v>
      </c>
      <c r="G40" s="8" t="str">
        <f t="shared" si="8"/>
        <v>(E)</v>
      </c>
      <c r="H40" s="8" t="str">
        <f t="shared" si="8"/>
        <v>(F)</v>
      </c>
      <c r="I40" s="8" t="str">
        <f t="shared" si="8"/>
        <v>(G)</v>
      </c>
      <c r="J40" s="28"/>
      <c r="K40" s="8" t="s">
        <v>8</v>
      </c>
    </row>
    <row r="41" spans="1:17" ht="22.5" x14ac:dyDescent="0.3">
      <c r="A41" s="17" t="s">
        <v>10</v>
      </c>
      <c r="B41" s="17" t="s">
        <v>114</v>
      </c>
      <c r="C41" s="29">
        <f>'Summary of Revs @ Changed Rates'!C30</f>
        <v>45839</v>
      </c>
      <c r="D41" s="29">
        <f>'Summary of Revs @ Changed Rates'!D30</f>
        <v>45870</v>
      </c>
      <c r="E41" s="29">
        <f>'Summary of Revs @ Changed Rates'!E30</f>
        <v>45901</v>
      </c>
      <c r="F41" s="29">
        <f>'Summary of Revs @ Changed Rates'!F30</f>
        <v>45931</v>
      </c>
      <c r="G41" s="29">
        <f>'Summary of Revs @ Changed Rates'!G30</f>
        <v>45962</v>
      </c>
      <c r="H41" s="29">
        <f>'Summary of Revs @ Changed Rates'!H30</f>
        <v>45992</v>
      </c>
      <c r="I41" s="30" t="s">
        <v>61</v>
      </c>
      <c r="J41" s="17" t="s">
        <v>186</v>
      </c>
      <c r="K41" s="17" t="s">
        <v>10</v>
      </c>
    </row>
    <row r="42" spans="1:17" x14ac:dyDescent="0.3">
      <c r="A42" s="11"/>
      <c r="B42" s="14"/>
      <c r="C42" s="31"/>
      <c r="D42" s="31"/>
      <c r="E42" s="31"/>
      <c r="F42" s="31"/>
      <c r="G42" s="31"/>
      <c r="H42" s="31"/>
      <c r="I42" s="11"/>
      <c r="J42" s="11"/>
      <c r="K42" s="11"/>
    </row>
    <row r="43" spans="1:17" x14ac:dyDescent="0.3">
      <c r="A43" s="11">
        <f>A37+1</f>
        <v>29</v>
      </c>
      <c r="B43" s="32" t="s">
        <v>208</v>
      </c>
      <c r="C43" s="31"/>
      <c r="D43" s="31"/>
      <c r="E43" s="31"/>
      <c r="F43" s="31"/>
      <c r="G43" s="31"/>
      <c r="H43" s="31"/>
      <c r="I43" s="11"/>
      <c r="J43" s="11"/>
      <c r="K43" s="11">
        <f>K37+1</f>
        <v>29</v>
      </c>
    </row>
    <row r="44" spans="1:17" ht="22.5" x14ac:dyDescent="0.3">
      <c r="A44" s="11">
        <f>A43+1</f>
        <v>30</v>
      </c>
      <c r="B44" s="32" t="s">
        <v>209</v>
      </c>
      <c r="C44" s="14"/>
      <c r="D44" s="14"/>
      <c r="E44" s="14"/>
      <c r="F44" s="14"/>
      <c r="G44" s="14"/>
      <c r="H44" s="14"/>
      <c r="I44" s="14"/>
      <c r="J44" s="11"/>
      <c r="K44" s="11">
        <f>K43+1</f>
        <v>30</v>
      </c>
    </row>
    <row r="45" spans="1:17" x14ac:dyDescent="0.3">
      <c r="A45" s="11">
        <f t="shared" ref="A45:A70" si="9">A44+1</f>
        <v>31</v>
      </c>
      <c r="B45" s="14" t="s">
        <v>123</v>
      </c>
      <c r="C45" s="47">
        <f>'Workpaper 1'!I128*1000</f>
        <v>0</v>
      </c>
      <c r="D45" s="47">
        <f>'Workpaper 1'!J128*1000</f>
        <v>0</v>
      </c>
      <c r="E45" s="47">
        <f>'Workpaper 1'!K128*1000</f>
        <v>0</v>
      </c>
      <c r="F45" s="47">
        <f>'Workpaper 1'!L128*1000</f>
        <v>0</v>
      </c>
      <c r="G45" s="47">
        <f>'Workpaper 1'!M128*1000</f>
        <v>0</v>
      </c>
      <c r="H45" s="47">
        <f>'Workpaper 1'!N128*1000</f>
        <v>0</v>
      </c>
      <c r="I45" s="37">
        <f>SUM(C12:H12,C45:H45)</f>
        <v>0</v>
      </c>
      <c r="J45" s="11" t="str">
        <f>J12</f>
        <v>(Page BG-21.3, Line 126) x 1000</v>
      </c>
      <c r="K45" s="11">
        <f t="shared" ref="K45:K70" si="10">K44+1</f>
        <v>31</v>
      </c>
    </row>
    <row r="46" spans="1:17" x14ac:dyDescent="0.3">
      <c r="A46" s="11">
        <f t="shared" si="9"/>
        <v>32</v>
      </c>
      <c r="B46" s="14" t="s">
        <v>125</v>
      </c>
      <c r="C46" s="47">
        <f>'Workpaper 1'!I129*1000</f>
        <v>44063.879277385495</v>
      </c>
      <c r="D46" s="47">
        <f>'Workpaper 1'!J129*1000</f>
        <v>43095.657656739822</v>
      </c>
      <c r="E46" s="47">
        <f>'Workpaper 1'!K129*1000</f>
        <v>42612.308807087829</v>
      </c>
      <c r="F46" s="47">
        <f>'Workpaper 1'!L129*1000</f>
        <v>38619.527393761688</v>
      </c>
      <c r="G46" s="47">
        <f>'Workpaper 1'!M129*1000</f>
        <v>37749.600722709838</v>
      </c>
      <c r="H46" s="47">
        <f>'Workpaper 1'!N129*1000</f>
        <v>44778.169186547064</v>
      </c>
      <c r="I46" s="37">
        <f>SUM(C13:H13,C46:H46)</f>
        <v>467459.17764032149</v>
      </c>
      <c r="J46" s="11" t="str">
        <f>J13</f>
        <v>(Page BG-21.3, Line 127) x 1000</v>
      </c>
      <c r="K46" s="11">
        <f t="shared" si="10"/>
        <v>32</v>
      </c>
    </row>
    <row r="47" spans="1:17" x14ac:dyDescent="0.3">
      <c r="A47" s="11">
        <f t="shared" si="9"/>
        <v>33</v>
      </c>
      <c r="B47" s="14" t="s">
        <v>127</v>
      </c>
      <c r="C47" s="47">
        <f>'Workpaper 1'!I130*1000</f>
        <v>97843.761091923501</v>
      </c>
      <c r="D47" s="47">
        <f>'Workpaper 1'!J130*1000</f>
        <v>95693.826803611533</v>
      </c>
      <c r="E47" s="47">
        <f>'Workpaper 1'!K130*1000</f>
        <v>94620.551591692594</v>
      </c>
      <c r="F47" s="47">
        <f>'Workpaper 1'!L130*1000</f>
        <v>85754.587970140681</v>
      </c>
      <c r="G47" s="47">
        <f>'Workpaper 1'!M130*1000</f>
        <v>86146.973732618208</v>
      </c>
      <c r="H47" s="47">
        <f>'Workpaper 1'!N130*1000</f>
        <v>102186.61100665793</v>
      </c>
      <c r="I47" s="37">
        <f>SUM(C14:H14,C47:H47)</f>
        <v>1054063.7682184591</v>
      </c>
      <c r="J47" s="11" t="str">
        <f>J14</f>
        <v>(Page BG-21.3, Line 128) x 1000</v>
      </c>
      <c r="K47" s="11">
        <f t="shared" si="10"/>
        <v>33</v>
      </c>
    </row>
    <row r="48" spans="1:17" ht="19.5" thickBot="1" x14ac:dyDescent="0.35">
      <c r="A48" s="11">
        <f t="shared" si="9"/>
        <v>34</v>
      </c>
      <c r="B48" s="14" t="s">
        <v>129</v>
      </c>
      <c r="C48" s="48">
        <f t="shared" ref="C48:I48" si="11">SUM(C45:C47)</f>
        <v>141907.640369309</v>
      </c>
      <c r="D48" s="48">
        <f t="shared" si="11"/>
        <v>138789.48446035135</v>
      </c>
      <c r="E48" s="48">
        <f t="shared" si="11"/>
        <v>137232.86039878044</v>
      </c>
      <c r="F48" s="48">
        <f t="shared" si="11"/>
        <v>124374.11536390237</v>
      </c>
      <c r="G48" s="48">
        <f t="shared" si="11"/>
        <v>123896.57445532805</v>
      </c>
      <c r="H48" s="48">
        <f t="shared" si="11"/>
        <v>146964.78019320499</v>
      </c>
      <c r="I48" s="49">
        <f t="shared" si="11"/>
        <v>1521522.9458587805</v>
      </c>
      <c r="J48" s="50" t="s">
        <v>149</v>
      </c>
      <c r="K48" s="11">
        <f t="shared" si="10"/>
        <v>34</v>
      </c>
    </row>
    <row r="49" spans="1:12" ht="20.25" thickTop="1" thickBot="1" x14ac:dyDescent="0.35">
      <c r="A49" s="11">
        <f t="shared" si="9"/>
        <v>35</v>
      </c>
      <c r="B49" s="14" t="s">
        <v>131</v>
      </c>
      <c r="C49" s="35">
        <f>'B-Billing Determinants'!D20</f>
        <v>141907.64036930897</v>
      </c>
      <c r="D49" s="35">
        <f>'B-Billing Determinants'!F20</f>
        <v>138789.48446035135</v>
      </c>
      <c r="E49" s="35">
        <f>'B-Billing Determinants'!H20</f>
        <v>137232.86039878041</v>
      </c>
      <c r="F49" s="35">
        <f>'B-Billing Determinants'!J20</f>
        <v>124374.11536390237</v>
      </c>
      <c r="G49" s="35">
        <f>'B-Billing Determinants'!L20</f>
        <v>123896.57445532805</v>
      </c>
      <c r="H49" s="35">
        <f>'B-Billing Determinants'!N20</f>
        <v>146964.78019320499</v>
      </c>
      <c r="I49" s="37">
        <f>SUM(C16:H16,C49:H49)</f>
        <v>1521522.9458587805</v>
      </c>
      <c r="J49" s="11" t="s">
        <v>223</v>
      </c>
      <c r="K49" s="11">
        <f t="shared" si="10"/>
        <v>35</v>
      </c>
    </row>
    <row r="50" spans="1:12" ht="20.25" thickTop="1" thickBot="1" x14ac:dyDescent="0.35">
      <c r="A50" s="11">
        <f t="shared" si="9"/>
        <v>36</v>
      </c>
      <c r="B50" s="14" t="s">
        <v>133</v>
      </c>
      <c r="C50" s="35">
        <f t="shared" ref="C50:I50" si="12">C48-C49</f>
        <v>0</v>
      </c>
      <c r="D50" s="35">
        <f t="shared" si="12"/>
        <v>0</v>
      </c>
      <c r="E50" s="35">
        <f t="shared" si="12"/>
        <v>0</v>
      </c>
      <c r="F50" s="35">
        <f t="shared" si="12"/>
        <v>0</v>
      </c>
      <c r="G50" s="35">
        <f t="shared" si="12"/>
        <v>0</v>
      </c>
      <c r="H50" s="35">
        <f t="shared" si="12"/>
        <v>0</v>
      </c>
      <c r="I50" s="35">
        <f t="shared" si="12"/>
        <v>0</v>
      </c>
      <c r="J50" s="36" t="s">
        <v>151</v>
      </c>
      <c r="K50" s="11">
        <f t="shared" si="10"/>
        <v>36</v>
      </c>
    </row>
    <row r="51" spans="1:12" ht="19.5" thickTop="1" x14ac:dyDescent="0.3">
      <c r="A51" s="11">
        <f t="shared" si="9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10"/>
        <v>37</v>
      </c>
    </row>
    <row r="52" spans="1:12" x14ac:dyDescent="0.3">
      <c r="A52" s="11">
        <f t="shared" si="9"/>
        <v>38</v>
      </c>
      <c r="B52" s="38" t="s">
        <v>214</v>
      </c>
      <c r="C52" s="37"/>
      <c r="D52" s="37"/>
      <c r="E52" s="37"/>
      <c r="F52" s="37"/>
      <c r="G52" s="37"/>
      <c r="H52" s="37"/>
      <c r="I52" s="37"/>
      <c r="J52" s="36"/>
      <c r="K52" s="11">
        <f t="shared" si="10"/>
        <v>38</v>
      </c>
    </row>
    <row r="53" spans="1:12" x14ac:dyDescent="0.3">
      <c r="A53" s="11">
        <f t="shared" si="9"/>
        <v>39</v>
      </c>
      <c r="B53" s="38" t="s">
        <v>215</v>
      </c>
      <c r="C53" s="14"/>
      <c r="D53" s="14"/>
      <c r="E53" s="14"/>
      <c r="F53" s="14"/>
      <c r="G53" s="14"/>
      <c r="H53" s="14"/>
      <c r="I53" s="14"/>
      <c r="J53" s="11"/>
      <c r="K53" s="11">
        <f t="shared" si="10"/>
        <v>39</v>
      </c>
    </row>
    <row r="54" spans="1:12" x14ac:dyDescent="0.3">
      <c r="A54" s="11">
        <f t="shared" si="9"/>
        <v>40</v>
      </c>
      <c r="B54" s="14" t="s">
        <v>123</v>
      </c>
      <c r="C54" s="51">
        <f>H21</f>
        <v>0</v>
      </c>
      <c r="D54" s="51">
        <f t="shared" ref="D54:F56" si="13">C54</f>
        <v>0</v>
      </c>
      <c r="E54" s="51">
        <f t="shared" si="13"/>
        <v>0</v>
      </c>
      <c r="F54" s="51">
        <f>E54</f>
        <v>0</v>
      </c>
      <c r="G54" s="51">
        <f t="shared" ref="G54:H56" si="14">C21</f>
        <v>0</v>
      </c>
      <c r="H54" s="51">
        <f t="shared" si="14"/>
        <v>0</v>
      </c>
      <c r="I54" s="14"/>
      <c r="J54" s="11" t="str">
        <f>J21</f>
        <v>Statement BL, Page BL-1, Lines 19 &amp; 20, Col. D</v>
      </c>
      <c r="K54" s="11">
        <f t="shared" si="10"/>
        <v>40</v>
      </c>
    </row>
    <row r="55" spans="1:12" x14ac:dyDescent="0.3">
      <c r="A55" s="11">
        <f t="shared" si="9"/>
        <v>41</v>
      </c>
      <c r="B55" s="14" t="s">
        <v>138</v>
      </c>
      <c r="C55" s="51">
        <f>H22</f>
        <v>4.9000000000000004</v>
      </c>
      <c r="D55" s="51">
        <f t="shared" si="13"/>
        <v>4.9000000000000004</v>
      </c>
      <c r="E55" s="51">
        <f t="shared" si="13"/>
        <v>4.9000000000000004</v>
      </c>
      <c r="F55" s="51">
        <f t="shared" si="13"/>
        <v>4.9000000000000004</v>
      </c>
      <c r="G55" s="51">
        <f t="shared" si="14"/>
        <v>0.95</v>
      </c>
      <c r="H55" s="51">
        <f t="shared" si="14"/>
        <v>0.95</v>
      </c>
      <c r="I55" s="14"/>
      <c r="J55" s="11" t="str">
        <f>J22</f>
        <v>Statement BL, Page BL-1, Lines 19 &amp; 20, Col. C</v>
      </c>
      <c r="K55" s="11">
        <f t="shared" si="10"/>
        <v>41</v>
      </c>
    </row>
    <row r="56" spans="1:12" x14ac:dyDescent="0.3">
      <c r="A56" s="11">
        <f t="shared" si="9"/>
        <v>42</v>
      </c>
      <c r="B56" s="14" t="s">
        <v>127</v>
      </c>
      <c r="C56" s="51">
        <f>H23</f>
        <v>4.87</v>
      </c>
      <c r="D56" s="51">
        <f t="shared" si="13"/>
        <v>4.87</v>
      </c>
      <c r="E56" s="51">
        <f t="shared" si="13"/>
        <v>4.87</v>
      </c>
      <c r="F56" s="51">
        <f t="shared" si="13"/>
        <v>4.87</v>
      </c>
      <c r="G56" s="51">
        <f t="shared" si="14"/>
        <v>0.95</v>
      </c>
      <c r="H56" s="51">
        <f t="shared" si="14"/>
        <v>0.95</v>
      </c>
      <c r="I56" s="14"/>
      <c r="J56" s="11" t="str">
        <f>J23</f>
        <v>Statement BL, Page BL-1, Lines 19 &amp; 20, Col. B</v>
      </c>
      <c r="K56" s="11">
        <f t="shared" si="10"/>
        <v>42</v>
      </c>
    </row>
    <row r="57" spans="1:12" x14ac:dyDescent="0.3">
      <c r="A57" s="11">
        <f t="shared" si="9"/>
        <v>43</v>
      </c>
      <c r="B57" s="38" t="s">
        <v>219</v>
      </c>
      <c r="C57" s="51"/>
      <c r="D57" s="51"/>
      <c r="E57" s="51"/>
      <c r="F57" s="51"/>
      <c r="G57" s="51"/>
      <c r="H57" s="51"/>
      <c r="I57" s="14"/>
      <c r="J57" s="61"/>
      <c r="K57" s="11">
        <f t="shared" si="10"/>
        <v>43</v>
      </c>
    </row>
    <row r="58" spans="1:12" x14ac:dyDescent="0.3">
      <c r="A58" s="11">
        <f t="shared" si="9"/>
        <v>44</v>
      </c>
      <c r="B58" s="38" t="s">
        <v>220</v>
      </c>
      <c r="C58" s="37"/>
      <c r="D58" s="37"/>
      <c r="E58" s="37"/>
      <c r="F58" s="37"/>
      <c r="G58" s="37"/>
      <c r="H58" s="37"/>
      <c r="I58" s="37"/>
      <c r="J58" s="52"/>
      <c r="K58" s="11">
        <f t="shared" si="10"/>
        <v>44</v>
      </c>
    </row>
    <row r="59" spans="1:12" x14ac:dyDescent="0.3">
      <c r="A59" s="11">
        <f t="shared" si="9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>G54*G45</f>
        <v>0</v>
      </c>
      <c r="H59" s="53">
        <f t="shared" si="15"/>
        <v>0</v>
      </c>
      <c r="I59" s="53">
        <f>SUM(C26:H26,C59:H59)</f>
        <v>0</v>
      </c>
      <c r="J59" s="52" t="s">
        <v>152</v>
      </c>
      <c r="K59" s="11">
        <f t="shared" si="10"/>
        <v>45</v>
      </c>
    </row>
    <row r="60" spans="1:12" x14ac:dyDescent="0.3">
      <c r="A60" s="11">
        <f t="shared" si="9"/>
        <v>46</v>
      </c>
      <c r="B60" s="14" t="s">
        <v>125</v>
      </c>
      <c r="C60" s="37">
        <f>C55*C46</f>
        <v>215913.00845918895</v>
      </c>
      <c r="D60" s="37">
        <f t="shared" si="15"/>
        <v>211168.72251802514</v>
      </c>
      <c r="E60" s="37">
        <f t="shared" si="15"/>
        <v>208800.31315473039</v>
      </c>
      <c r="F60" s="37">
        <f t="shared" si="15"/>
        <v>189235.68422943229</v>
      </c>
      <c r="G60" s="37">
        <f t="shared" si="15"/>
        <v>35862.120686574344</v>
      </c>
      <c r="H60" s="37">
        <f t="shared" si="15"/>
        <v>42539.260727219706</v>
      </c>
      <c r="I60" s="53">
        <f>SUM(C27:H27,C60:H60)</f>
        <v>1259403.4240125371</v>
      </c>
      <c r="J60" s="52" t="s">
        <v>153</v>
      </c>
      <c r="K60" s="11">
        <f t="shared" si="10"/>
        <v>46</v>
      </c>
    </row>
    <row r="61" spans="1:12" x14ac:dyDescent="0.3">
      <c r="A61" s="11">
        <f t="shared" si="9"/>
        <v>47</v>
      </c>
      <c r="B61" s="14" t="s">
        <v>127</v>
      </c>
      <c r="C61" s="37">
        <f t="shared" si="15"/>
        <v>476499.11651766748</v>
      </c>
      <c r="D61" s="37">
        <f t="shared" si="15"/>
        <v>466028.93653358816</v>
      </c>
      <c r="E61" s="37">
        <f t="shared" si="15"/>
        <v>460802.08625154296</v>
      </c>
      <c r="F61" s="37">
        <f t="shared" si="15"/>
        <v>417624.84341458511</v>
      </c>
      <c r="G61" s="37">
        <f t="shared" si="15"/>
        <v>81839.625045987297</v>
      </c>
      <c r="H61" s="37">
        <f t="shared" si="15"/>
        <v>97077.280456325025</v>
      </c>
      <c r="I61" s="53">
        <f>SUM(C28:H28,C61:H61)</f>
        <v>2798020.9494068115</v>
      </c>
      <c r="J61" s="52" t="s">
        <v>154</v>
      </c>
      <c r="K61" s="11">
        <f t="shared" si="10"/>
        <v>47</v>
      </c>
    </row>
    <row r="62" spans="1:12" ht="19.5" thickBot="1" x14ac:dyDescent="0.35">
      <c r="A62" s="11">
        <f t="shared" si="9"/>
        <v>48</v>
      </c>
      <c r="B62" s="14" t="s">
        <v>129</v>
      </c>
      <c r="C62" s="54">
        <f t="shared" ref="C62:I62" si="16">SUM(C59:C61)</f>
        <v>692412.1249768564</v>
      </c>
      <c r="D62" s="54">
        <f t="shared" si="16"/>
        <v>677197.6590516133</v>
      </c>
      <c r="E62" s="54">
        <f t="shared" si="16"/>
        <v>669602.39940627338</v>
      </c>
      <c r="F62" s="54">
        <f t="shared" si="16"/>
        <v>606860.52764401736</v>
      </c>
      <c r="G62" s="54">
        <f t="shared" si="16"/>
        <v>117701.74573256164</v>
      </c>
      <c r="H62" s="54">
        <f t="shared" si="16"/>
        <v>139616.54118354473</v>
      </c>
      <c r="I62" s="54">
        <f t="shared" si="16"/>
        <v>4057424.3734193486</v>
      </c>
      <c r="J62" s="50" t="s">
        <v>156</v>
      </c>
      <c r="K62" s="11">
        <f t="shared" si="10"/>
        <v>48</v>
      </c>
    </row>
    <row r="63" spans="1:12" ht="19.5" thickTop="1" x14ac:dyDescent="0.3">
      <c r="A63" s="11">
        <f t="shared" si="9"/>
        <v>49</v>
      </c>
      <c r="B63" s="14"/>
      <c r="C63" s="14"/>
      <c r="D63" s="14"/>
      <c r="E63" s="14"/>
      <c r="F63" s="14"/>
      <c r="G63" s="14"/>
      <c r="H63" s="14"/>
      <c r="I63" s="14"/>
      <c r="J63" s="11"/>
      <c r="K63" s="11">
        <f t="shared" si="10"/>
        <v>49</v>
      </c>
    </row>
    <row r="64" spans="1:12" x14ac:dyDescent="0.3">
      <c r="A64" s="11">
        <f t="shared" si="9"/>
        <v>50</v>
      </c>
      <c r="B64" s="32" t="s">
        <v>142</v>
      </c>
      <c r="C64" s="14"/>
      <c r="D64" s="14"/>
      <c r="E64" s="14"/>
      <c r="F64" s="14"/>
      <c r="G64" s="14"/>
      <c r="H64" s="14"/>
      <c r="I64" s="14"/>
      <c r="J64" s="11"/>
      <c r="K64" s="11">
        <f t="shared" si="10"/>
        <v>50</v>
      </c>
      <c r="L64" s="391"/>
    </row>
    <row r="65" spans="1:13" ht="37.5" x14ac:dyDescent="0.3">
      <c r="A65" s="11">
        <f t="shared" si="9"/>
        <v>51</v>
      </c>
      <c r="B65" s="14" t="s">
        <v>123</v>
      </c>
      <c r="C65" s="53">
        <f>ROUND(SUM(C59,'C-Med &amp; Lrg C-I'!C51,'B-Med &amp; Lrg C-I'!C51,'A-Med &amp; Lrg C-I'!C59),0)</f>
        <v>32746290</v>
      </c>
      <c r="D65" s="53">
        <f>ROUND(SUM(D59,'C-Med &amp; Lrg C-I'!D51,'B-Med &amp; Lrg C-I'!D51,'A-Med &amp; Lrg C-I'!D59),0)</f>
        <v>34466465</v>
      </c>
      <c r="E65" s="53">
        <f>ROUND(SUM(E59,'C-Med &amp; Lrg C-I'!E51,'B-Med &amp; Lrg C-I'!E51,'A-Med &amp; Lrg C-I'!E59),0)</f>
        <v>36273232</v>
      </c>
      <c r="F65" s="53">
        <f>ROUND(SUM(F59,'C-Med &amp; Lrg C-I'!F51,'B-Med &amp; Lrg C-I'!F51,'A-Med &amp; Lrg C-I'!F59),0)</f>
        <v>32932415</v>
      </c>
      <c r="G65" s="53">
        <f>ROUND(SUM(G59,'C-Med &amp; Lrg C-I'!G51,'B-Med &amp; Lrg C-I'!G51,'A-Med &amp; Lrg C-I'!G59),0)</f>
        <v>26182138</v>
      </c>
      <c r="H65" s="53">
        <f>ROUND(SUM(H59,'C-Med &amp; Lrg C-I'!H51,'B-Med &amp; Lrg C-I'!H51,'A-Med &amp; Lrg C-I'!H59),0)</f>
        <v>25653693</v>
      </c>
      <c r="I65" s="53">
        <f>ROUND(SUM(I59,'C-Med &amp; Lrg C-I'!I51,'B-Med &amp; Lrg C-I'!I51,'A-Med &amp; Lrg C-I'!I59),0)</f>
        <v>343550401</v>
      </c>
      <c r="J65" s="99" t="s">
        <v>444</v>
      </c>
      <c r="K65" s="11">
        <f t="shared" si="10"/>
        <v>51</v>
      </c>
      <c r="M65" s="413"/>
    </row>
    <row r="66" spans="1:13" ht="37.5" x14ac:dyDescent="0.3">
      <c r="A66" s="11">
        <f t="shared" si="9"/>
        <v>52</v>
      </c>
      <c r="B66" s="14" t="s">
        <v>125</v>
      </c>
      <c r="C66" s="53">
        <f>ROUND(SUM(C60,'C-Med &amp; Lrg C-I'!C52,'B-Med &amp; Lrg C-I'!C52,'A-Med &amp; Lrg C-I'!C60),0)</f>
        <v>9107438</v>
      </c>
      <c r="D66" s="53">
        <f>ROUND(SUM(D60,'C-Med &amp; Lrg C-I'!D52,'B-Med &amp; Lrg C-I'!D52,'A-Med &amp; Lrg C-I'!D60),0)</f>
        <v>9483096</v>
      </c>
      <c r="E66" s="53">
        <f>ROUND(SUM(E60,'C-Med &amp; Lrg C-I'!E52,'B-Med &amp; Lrg C-I'!E52,'A-Med &amp; Lrg C-I'!E60),0)</f>
        <v>9894367</v>
      </c>
      <c r="F66" s="53">
        <f>ROUND(SUM(F60,'C-Med &amp; Lrg C-I'!F52,'B-Med &amp; Lrg C-I'!F52,'A-Med &amp; Lrg C-I'!F60),0)</f>
        <v>8980949</v>
      </c>
      <c r="G66" s="53">
        <f>ROUND(SUM(G60,'C-Med &amp; Lrg C-I'!G52,'B-Med &amp; Lrg C-I'!G52,'A-Med &amp; Lrg C-I'!G60),0)</f>
        <v>7052545</v>
      </c>
      <c r="H66" s="53">
        <f>ROUND(SUM(H60,'C-Med &amp; Lrg C-I'!H52,'B-Med &amp; Lrg C-I'!H52,'A-Med &amp; Lrg C-I'!H60),0)</f>
        <v>7129256</v>
      </c>
      <c r="I66" s="53">
        <f>ROUND(SUM(I60,'C-Med &amp; Lrg C-I'!I52,'B-Med &amp; Lrg C-I'!I52,'A-Med &amp; Lrg C-I'!I60),0)</f>
        <v>93607268</v>
      </c>
      <c r="J66" s="99" t="s">
        <v>445</v>
      </c>
      <c r="K66" s="11">
        <f t="shared" si="10"/>
        <v>52</v>
      </c>
      <c r="M66" s="413"/>
    </row>
    <row r="67" spans="1:13" ht="37.5" x14ac:dyDescent="0.3">
      <c r="A67" s="11">
        <f t="shared" si="9"/>
        <v>53</v>
      </c>
      <c r="B67" s="14" t="s">
        <v>127</v>
      </c>
      <c r="C67" s="53">
        <f>ROUND(SUM(C61,'C-Med &amp; Lrg C-I'!C53,'B-Med &amp; Lrg C-I'!C53,'A-Med &amp; Lrg C-I'!C61),0)</f>
        <v>3313863</v>
      </c>
      <c r="D67" s="53">
        <f>ROUND(SUM(D61,'C-Med &amp; Lrg C-I'!D53,'B-Med &amp; Lrg C-I'!D53,'A-Med &amp; Lrg C-I'!D61),0)</f>
        <v>3284121</v>
      </c>
      <c r="E67" s="53">
        <f>ROUND(SUM(E61,'C-Med &amp; Lrg C-I'!E53,'B-Med &amp; Lrg C-I'!E53,'A-Med &amp; Lrg C-I'!E61),0)</f>
        <v>3286011</v>
      </c>
      <c r="F67" s="53">
        <f>ROUND(SUM(F61,'C-Med &amp; Lrg C-I'!F53,'B-Med &amp; Lrg C-I'!F53,'A-Med &amp; Lrg C-I'!F61),0)</f>
        <v>2979135</v>
      </c>
      <c r="G67" s="53">
        <f>ROUND(SUM(G61,'C-Med &amp; Lrg C-I'!G53,'B-Med &amp; Lrg C-I'!G53,'A-Med &amp; Lrg C-I'!G61),0)</f>
        <v>2359233</v>
      </c>
      <c r="H67" s="53">
        <f>ROUND(SUM(H61,'C-Med &amp; Lrg C-I'!H53,'B-Med &amp; Lrg C-I'!H53,'A-Med &amp; Lrg C-I'!H61),0)</f>
        <v>2728193</v>
      </c>
      <c r="I67" s="53">
        <f>ROUND(SUM(I61,'C-Med &amp; Lrg C-I'!I53,'B-Med &amp; Lrg C-I'!I53,'A-Med &amp; Lrg C-I'!I61),0)</f>
        <v>32016293</v>
      </c>
      <c r="J67" s="99" t="s">
        <v>446</v>
      </c>
      <c r="K67" s="11">
        <f t="shared" si="10"/>
        <v>53</v>
      </c>
      <c r="M67" s="413"/>
    </row>
    <row r="68" spans="1:13" ht="19.5" thickBot="1" x14ac:dyDescent="0.35">
      <c r="A68" s="11">
        <f t="shared" si="9"/>
        <v>54</v>
      </c>
      <c r="B68" s="14" t="s">
        <v>221</v>
      </c>
      <c r="C68" s="54">
        <f t="shared" ref="C68:I68" si="17">SUM(C65:C67)</f>
        <v>45167591</v>
      </c>
      <c r="D68" s="54">
        <f t="shared" si="17"/>
        <v>47233682</v>
      </c>
      <c r="E68" s="54">
        <f t="shared" si="17"/>
        <v>49453610</v>
      </c>
      <c r="F68" s="54">
        <f t="shared" si="17"/>
        <v>44892499</v>
      </c>
      <c r="G68" s="54">
        <f t="shared" si="17"/>
        <v>35593916</v>
      </c>
      <c r="H68" s="54">
        <f t="shared" si="17"/>
        <v>35511142</v>
      </c>
      <c r="I68" s="54">
        <f t="shared" si="17"/>
        <v>469173962</v>
      </c>
      <c r="J68" s="55" t="s">
        <v>224</v>
      </c>
      <c r="K68" s="11">
        <f t="shared" si="10"/>
        <v>54</v>
      </c>
    </row>
    <row r="69" spans="1:13" ht="19.5" thickTop="1" x14ac:dyDescent="0.3">
      <c r="A69" s="11">
        <f t="shared" si="9"/>
        <v>55</v>
      </c>
      <c r="B69" s="14"/>
      <c r="C69" s="14"/>
      <c r="D69" s="14"/>
      <c r="E69" s="14"/>
      <c r="F69" s="14"/>
      <c r="G69" s="14"/>
      <c r="H69" s="14"/>
      <c r="I69" s="44"/>
      <c r="J69" s="11"/>
      <c r="K69" s="11">
        <f t="shared" si="10"/>
        <v>55</v>
      </c>
    </row>
    <row r="70" spans="1:13" ht="19.5" thickBot="1" x14ac:dyDescent="0.35">
      <c r="A70" s="11">
        <f t="shared" si="9"/>
        <v>56</v>
      </c>
      <c r="B70" s="38" t="s">
        <v>155</v>
      </c>
      <c r="C70" s="45">
        <f>C68+'A-Med &amp; Lrg C-I'!C42</f>
        <v>45167591</v>
      </c>
      <c r="D70" s="45">
        <f>D68+'A-Med &amp; Lrg C-I'!D42</f>
        <v>47233682</v>
      </c>
      <c r="E70" s="45">
        <f>E68+'A-Med &amp; Lrg C-I'!E42</f>
        <v>49453610</v>
      </c>
      <c r="F70" s="45">
        <f>F68+'A-Med &amp; Lrg C-I'!F42</f>
        <v>44892499</v>
      </c>
      <c r="G70" s="45">
        <f>G68+'A-Med &amp; Lrg C-I'!G42</f>
        <v>35593916</v>
      </c>
      <c r="H70" s="45">
        <f>H68+'A-Med &amp; Lrg C-I'!H42</f>
        <v>35511142</v>
      </c>
      <c r="I70" s="45">
        <f>I68+'A-Med &amp; Lrg C-I'!I42</f>
        <v>469173962</v>
      </c>
      <c r="J70" s="99" t="s">
        <v>225</v>
      </c>
      <c r="K70" s="11">
        <f t="shared" si="10"/>
        <v>56</v>
      </c>
    </row>
    <row r="71" spans="1:13" ht="19.5" thickTop="1" x14ac:dyDescent="0.3">
      <c r="A71" s="17"/>
      <c r="B71" s="24"/>
      <c r="C71" s="24"/>
      <c r="D71" s="24"/>
      <c r="E71" s="24"/>
      <c r="F71" s="24"/>
      <c r="G71" s="24"/>
      <c r="H71" s="24"/>
      <c r="I71" s="56"/>
      <c r="J71" s="17"/>
      <c r="K71" s="17"/>
    </row>
    <row r="72" spans="1:13" x14ac:dyDescent="0.3">
      <c r="B72" s="25" t="s">
        <v>46</v>
      </c>
    </row>
    <row r="73" spans="1:13" ht="22.5" x14ac:dyDescent="0.3">
      <c r="A73" s="77">
        <v>1</v>
      </c>
      <c r="B73" s="1" t="s">
        <v>226</v>
      </c>
    </row>
    <row r="74" spans="1:13" ht="22.5" x14ac:dyDescent="0.3">
      <c r="A74" s="77">
        <v>2</v>
      </c>
      <c r="B74" s="1" t="s">
        <v>227</v>
      </c>
    </row>
    <row r="75" spans="1:13" ht="22.5" x14ac:dyDescent="0.3">
      <c r="A75" s="77">
        <v>3</v>
      </c>
      <c r="B75" s="1" t="s">
        <v>157</v>
      </c>
    </row>
    <row r="76" spans="1:13" ht="22.5" x14ac:dyDescent="0.3">
      <c r="A76" s="77"/>
    </row>
    <row r="77" spans="1:13" ht="22.5" x14ac:dyDescent="0.3">
      <c r="A77" s="77"/>
    </row>
  </sheetData>
  <mergeCells count="5">
    <mergeCell ref="A5:K5"/>
    <mergeCell ref="A1:K1"/>
    <mergeCell ref="A2:K2"/>
    <mergeCell ref="A3:K3"/>
    <mergeCell ref="A4:K4"/>
  </mergeCells>
  <phoneticPr fontId="3" type="noConversion"/>
  <printOptions horizontalCentered="1"/>
  <pageMargins left="0.25" right="0.25" top="0.5" bottom="0.5" header="0.25" footer="0.25"/>
  <pageSetup scale="42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3AC84-FACA-4282-BD16-14808BBDF7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04B780-743B-4365-8A84-15A6523CF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12E7C-D25C-4848-B663-F437733053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Comparison of Revenues</vt:lpstr>
      <vt:lpstr>Summary of Revs @ Changed Rates</vt:lpstr>
      <vt:lpstr>A-Revenues@Changed Rates</vt:lpstr>
      <vt:lpstr>B-Revenues@Changed Rates</vt:lpstr>
      <vt:lpstr>C-Revenues@Changed Rates</vt:lpstr>
      <vt:lpstr>A-Med &amp; Lrg C-I</vt:lpstr>
      <vt:lpstr>B-Med &amp; Lrg C-I</vt:lpstr>
      <vt:lpstr>C-Med &amp; Lrg C-I</vt:lpstr>
      <vt:lpstr>D-Med &amp; Lrg C-I</vt:lpstr>
      <vt:lpstr>E-Med &amp; Lrg C-I</vt:lpstr>
      <vt:lpstr>F-Med &amp; Lrg C-I</vt:lpstr>
      <vt:lpstr>San Diego Unified Port District</vt:lpstr>
      <vt:lpstr>PA-T-1</vt:lpstr>
      <vt:lpstr>Standby</vt:lpstr>
      <vt:lpstr>Wholesale TAC Rates</vt:lpstr>
      <vt:lpstr>Escondido</vt:lpstr>
      <vt:lpstr>Rate Impact</vt:lpstr>
      <vt:lpstr>A-Billing Determinants</vt:lpstr>
      <vt:lpstr>B-Billing Determinants</vt:lpstr>
      <vt:lpstr>Billing Determinants-12 Month</vt:lpstr>
      <vt:lpstr>Workpaper 1</vt:lpstr>
      <vt:lpstr>Workpaper 2</vt:lpstr>
      <vt:lpstr>'A-Billing Determinants'!Print_Area</vt:lpstr>
      <vt:lpstr>'A-Med &amp; Lrg C-I'!Print_Area</vt:lpstr>
      <vt:lpstr>'A-Revenues@Changed Rates'!Print_Area</vt:lpstr>
      <vt:lpstr>'B-Billing Determinants'!Print_Area</vt:lpstr>
      <vt:lpstr>'Billing Determinants-12 Month'!Print_Area</vt:lpstr>
      <vt:lpstr>'B-Med &amp; Lrg C-I'!Print_Area</vt:lpstr>
      <vt:lpstr>'B-Revenues@Changed Rates'!Print_Area</vt:lpstr>
      <vt:lpstr>'C-Med &amp; Lrg C-I'!Print_Area</vt:lpstr>
      <vt:lpstr>'Comparison of Revenues'!Print_Area</vt:lpstr>
      <vt:lpstr>'C-Revenues@Changed Rates'!Print_Area</vt:lpstr>
      <vt:lpstr>'D-Med &amp; Lrg C-I'!Print_Area</vt:lpstr>
      <vt:lpstr>'E-Med &amp; Lrg C-I'!Print_Area</vt:lpstr>
      <vt:lpstr>'F-Med &amp; Lrg C-I'!Print_Area</vt:lpstr>
      <vt:lpstr>'PA-T-1'!Print_Area</vt:lpstr>
      <vt:lpstr>'Rate Impact'!Print_Area</vt:lpstr>
      <vt:lpstr>'San Diego Unified Port District'!Print_Area</vt:lpstr>
      <vt:lpstr>Standby!Print_Area</vt:lpstr>
      <vt:lpstr>'Summary of Revs @ Changed Rates'!Print_Area</vt:lpstr>
      <vt:lpstr>'Workpaper 1'!Print_Area</vt:lpstr>
      <vt:lpstr>'Workpaper 2'!Print_Area</vt:lpstr>
      <vt:lpstr>'Workpaper 1'!Print_Titles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Sempra Energy</dc:creator>
  <cp:keywords/>
  <dc:description/>
  <cp:lastModifiedBy>Pham, Jenny L.</cp:lastModifiedBy>
  <cp:revision/>
  <cp:lastPrinted>2024-10-26T03:31:27Z</cp:lastPrinted>
  <dcterms:created xsi:type="dcterms:W3CDTF">2002-10-18T20:00:36Z</dcterms:created>
  <dcterms:modified xsi:type="dcterms:W3CDTF">2026-03-23T20:14:28Z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01DC-43EE-7F53-F035</vt:lpwstr>
  </property>
  <property fmtid="{D5CDD505-2E9C-101B-9397-08002B2CF9AE}" pid="3" name="ContentTypeId">
    <vt:lpwstr>0x010100B2C66BA30F6EC541B9CEB3D9AC6A7FD3</vt:lpwstr>
  </property>
</Properties>
</file>