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2.xml" ContentType="application/vnd.openxmlformats-officedocument.drawing+xml"/>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drawings/drawing3.xml" ContentType="application/vnd.openxmlformats-officedocument.drawing+xml"/>
  <Override PartName="/xl/customProperty86.bin" ContentType="application/vnd.openxmlformats-officedocument.spreadsheetml.customProperty"/>
  <Override PartName="/xl/customProperty87.bin" ContentType="application/vnd.openxmlformats-officedocument.spreadsheetml.customProperty"/>
  <Override PartName="/xl/drawings/drawing4.xml" ContentType="application/vnd.openxmlformats-officedocument.drawing+xml"/>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mpra.sharepoint.com/teams/transmissionrevenue/2025/TO6 Implementation Files/"/>
    </mc:Choice>
  </mc:AlternateContent>
  <xr:revisionPtr revIDLastSave="124" documentId="8_{ABB1E494-48DE-43CA-ABB1-82EA6FB1F7D7}" xr6:coauthVersionLast="47" xr6:coauthVersionMax="47" xr10:uidLastSave="{92A48E87-BEC8-4086-8394-9C59EF903AE9}"/>
  <bookViews>
    <workbookView xWindow="-27420" yWindow="1080" windowWidth="24255" windowHeight="13410" tabRatio="910" xr2:uid="{2A88EAB6-EA37-4646-BDEF-8C70D4A3C9B4}"/>
  </bookViews>
  <sheets>
    <sheet name="BK-1 BTRR - EU" sheetId="132" r:id="rId1"/>
    <sheet name="BK-2 BTRR - CAISO"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1.1" sheetId="196" r:id="rId52"/>
    <sheet name="AL-2" sheetId="71" r:id="rId53"/>
    <sheet name="Stmt AM" sheetId="72" r:id="rId54"/>
    <sheet name="AM-1" sheetId="73" r:id="rId55"/>
    <sheet name="Stmt AQ" sheetId="74" r:id="rId56"/>
    <sheet name="Stmt AR" sheetId="75" r:id="rId57"/>
    <sheet name="AR-1" sheetId="153" r:id="rId58"/>
    <sheet name="Stmt AT" sheetId="176" r:id="rId59"/>
    <sheet name="AT-1" sheetId="177" r:id="rId60"/>
    <sheet name="Stmt AU" sheetId="77" r:id="rId61"/>
    <sheet name="AU-1" sheetId="79" r:id="rId62"/>
    <sheet name="Stmt AV" sheetId="82" r:id="rId63"/>
    <sheet name="AV-1A" sheetId="183" r:id="rId64"/>
    <sheet name="AV-1B" sheetId="113" r:id="rId65"/>
    <sheet name="Stmt Misc." sheetId="137" r:id="rId66"/>
    <sheet name="Misc.-1" sheetId="156" r:id="rId67"/>
    <sheet name="Misc.-1.1" sheetId="158" r:id="rId68"/>
    <sheet name="Misc.-2" sheetId="190" r:id="rId69"/>
    <sheet name="Order 864-1" sheetId="171" r:id="rId70"/>
    <sheet name="Order 864-2" sheetId="172" r:id="rId71"/>
    <sheet name="Order 864-3" sheetId="173" r:id="rId72"/>
    <sheet name="Order 864-4" sheetId="174" r:id="rId73"/>
    <sheet name="True-Up" sheetId="140" r:id="rId74"/>
    <sheet name="TO5 True-up" sheetId="198" r:id="rId75"/>
    <sheet name="TO5 True-Up BK-1" sheetId="144" r:id="rId76"/>
    <sheet name="TO5 Stmt AF Proration" sheetId="157" r:id="rId77"/>
    <sheet name="True Up Stmt AD" sheetId="191" r:id="rId78"/>
    <sheet name="True-Up Stmt AE" sheetId="192" r:id="rId79"/>
    <sheet name="True-Up Stmt AH" sheetId="184" r:id="rId80"/>
    <sheet name="True-up Stmt AH-1" sheetId="197" r:id="rId81"/>
    <sheet name="True-Up AH-2" sheetId="185" r:id="rId82"/>
    <sheet name="True-Up Stmt AI" sheetId="193" r:id="rId83"/>
    <sheet name="True-Up Stmt AJ" sheetId="194" r:id="rId84"/>
    <sheet name="True-Up Stmt AK" sheetId="195" r:id="rId85"/>
    <sheet name="True-Up Stmt AL" sheetId="186" r:id="rId86"/>
    <sheet name="True-Up Stmt AV" sheetId="178" r:id="rId87"/>
    <sheet name="True-Up Stmt Misc" sheetId="187" r:id="rId88"/>
    <sheet name="True-Up Misc.-1" sheetId="188" r:id="rId89"/>
    <sheet name="True-Up Misc.-1.1" sheetId="189" r:id="rId90"/>
    <sheet name="Interest TU BP" sheetId="141" r:id="rId91"/>
    <sheet name="Interest TU CY" sheetId="142" r:id="rId92"/>
    <sheet name="HV-LV Plant Study" sheetId="86" r:id="rId93"/>
    <sheet name="Summary of HV-LV Splits" sheetId="118" r:id="rId94"/>
    <sheet name="ET Forecast Capital Additions" sheetId="116" r:id="rId95"/>
    <sheet name="General &amp; Common Plant Addition" sheetId="117" r:id="rId96"/>
    <sheet name="Incentive Transmission Plant" sheetId="119" r:id="rId97"/>
    <sheet name="Incentive CWIP-A" sheetId="120" r:id="rId98"/>
    <sheet name="Incentive CWIP-B" sheetId="121" r:id="rId99"/>
  </sheets>
  <definedNames>
    <definedName name="____May2007" localSheetId="80">{"2002Frcst","05Month",FALSE,"Frcst Format 2002"}</definedName>
    <definedName name="____May2007">{"2002Frcst","05Month",FALSE,"Frcst Format 2002"}</definedName>
    <definedName name="___May2007" localSheetId="80">{"2002Frcst","05Month",FALSE,"Frcst Format 2002"}</definedName>
    <definedName name="___May2007">{"2002Frcst","05Month",FALSE,"Frcst Format 2002"}</definedName>
    <definedName name="__FDS_HYPERLINK_TOGGLE_STATE__">"ON"</definedName>
    <definedName name="__May2007" localSheetId="80">{"2002Frcst","05Month",FALSE,"Frcst Format 2002"}</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 localSheetId="80">{"2002Frcst","05Month",FALSE,"Frcst Format 2002"}</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 localSheetId="80">{"2002Frcst","06Month",FALSE,"Frcst Format 2002"}</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 localSheetId="80">{"'Attachment'!$A$1:$L$49"}</definedName>
    <definedName name="HTML_Control1">{"'Attachment'!$A$1:$L$49"}</definedName>
    <definedName name="HTML_Control2" localSheetId="80">{"'Attachment'!$A$1:$L$49"}</definedName>
    <definedName name="HTML_Control2">{"'Attachment'!$A$1:$L$49"}</definedName>
    <definedName name="HTML_Control3" localSheetId="80">{"'Attachment'!$A$1:$L$49"}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 localSheetId="80">{"2002Frcst","06Month",FALSE,"Frcst Format 2002"}</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'AH-2'!$A$1:$H$53</definedName>
    <definedName name="_xlnm.Print_Area" localSheetId="50">'AL-1'!$A$1:$E$33</definedName>
    <definedName name="_xlnm.Print_Area" localSheetId="0">'BK-1 BTRR - EU'!$A$1:$H$350</definedName>
    <definedName name="_xlnm.Print_Area" localSheetId="1">'BK-2 BTRR - CAISO'!$A$1:$J$50</definedName>
    <definedName name="_xlnm.Print_Area" localSheetId="75">'TO5 True-Up BK-1'!$A$1:$H$191</definedName>
    <definedName name="_xlnm.Print_Area" localSheetId="81">'True-Up AH-2'!$A$1:$H$55</definedName>
    <definedName name="_xlnm.Print_Titles" localSheetId="33">'AH-2'!$1:$6</definedName>
    <definedName name="rert" localSheetId="80">{"'Attachment'!$A$1:$L$49"}</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6">"3OI398WBFRH41IFEVHKOMVZ17"</definedName>
    <definedName name="SAPBEXwbID" localSheetId="58">"3OI398WBFRH41IFEVHKOMVZ17"</definedName>
    <definedName name="SAPBEXwbID" localSheetId="60">"3GYSU24DE0L8OAD9MMA71DS87"</definedName>
    <definedName name="SAPBEXwbID" localSheetId="62">"3OI398WBFRH41IFEVHKOMVZ17"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 localSheetId="80">{"2002Frcst","06Month",FALSE,"Frcst Format 2002"}</definedName>
    <definedName name="wrn.June2002.">{"2002Frcst","06Month",FALSE,"Frcst Format 2002"}</definedName>
    <definedName name="wrn.May2002." localSheetId="80">{"2002Frcst","05Month",FALSE,"Frcst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82" l="1"/>
  <c r="E29" i="40" l="1"/>
  <c r="E47" i="41"/>
  <c r="E20" i="144" l="1"/>
  <c r="E18" i="184" l="1"/>
  <c r="E32" i="184"/>
  <c r="H46" i="185"/>
  <c r="H47" i="185"/>
  <c r="H48" i="185" s="1"/>
  <c r="A47" i="185"/>
  <c r="A48" i="185"/>
  <c r="E49" i="185"/>
  <c r="E34" i="184"/>
  <c r="E36" i="197"/>
  <c r="E58" i="197"/>
  <c r="H59" i="197"/>
  <c r="H57" i="197"/>
  <c r="H58" i="197" s="1"/>
  <c r="A57" i="197"/>
  <c r="A58" i="197"/>
  <c r="A59" i="197" s="1"/>
  <c r="A60" i="197" s="1"/>
  <c r="E47" i="185"/>
  <c r="D39" i="185"/>
  <c r="H59" i="41"/>
  <c r="H60" i="41"/>
  <c r="H61" i="41" s="1"/>
  <c r="H62" i="41" s="1"/>
  <c r="A59" i="41"/>
  <c r="A60" i="41"/>
  <c r="A61" i="41" s="1"/>
  <c r="A62" i="41" s="1"/>
  <c r="E61" i="41" l="1"/>
  <c r="E36" i="41" s="1"/>
  <c r="E43" i="42"/>
  <c r="H44" i="42"/>
  <c r="H43" i="42"/>
  <c r="A43" i="42"/>
  <c r="A44" i="42" s="1"/>
  <c r="G11" i="69"/>
  <c r="E9" i="190"/>
  <c r="G11" i="190"/>
  <c r="G13" i="190"/>
  <c r="C15" i="190"/>
  <c r="C9" i="190"/>
  <c r="E15" i="190"/>
  <c r="E234" i="132"/>
  <c r="A14" i="49"/>
  <c r="G14" i="49"/>
  <c r="F46" i="49"/>
  <c r="F44" i="49"/>
  <c r="F43" i="49"/>
  <c r="F42"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G15" i="190" l="1"/>
  <c r="Y18" i="79" l="1"/>
  <c r="Y19" i="79" s="1"/>
  <c r="Y20" i="79" s="1"/>
  <c r="Y21" i="79" s="1"/>
  <c r="Y22" i="79" s="1"/>
  <c r="Y23" i="79" s="1"/>
  <c r="Y24" i="79" s="1"/>
  <c r="Y25" i="79" s="1"/>
  <c r="Y26" i="79" s="1"/>
  <c r="Y27" i="79" s="1"/>
  <c r="Y28" i="79" s="1"/>
  <c r="Y29" i="79" s="1"/>
  <c r="Y30" i="79" s="1"/>
  <c r="Y31" i="79" s="1"/>
  <c r="Y32" i="79" s="1"/>
  <c r="Y33" i="79" s="1"/>
  <c r="Y34" i="79" s="1"/>
  <c r="Y35" i="79" s="1"/>
  <c r="Y36" i="79" s="1"/>
  <c r="Y37" i="79" s="1"/>
  <c r="Y38" i="79" s="1"/>
  <c r="Y39" i="79" s="1"/>
  <c r="O39" i="79"/>
  <c r="O38" i="79"/>
  <c r="O37" i="79"/>
  <c r="O36" i="79"/>
  <c r="O35" i="79"/>
  <c r="O34" i="79"/>
  <c r="O33" i="79"/>
  <c r="O32" i="79"/>
  <c r="O31" i="79"/>
  <c r="O30" i="79"/>
  <c r="O29" i="79"/>
  <c r="O28" i="79"/>
  <c r="O27" i="79"/>
  <c r="O26" i="79"/>
  <c r="O25" i="79"/>
  <c r="O24" i="79"/>
  <c r="O23" i="79"/>
  <c r="O22" i="79"/>
  <c r="O21" i="79"/>
  <c r="O20" i="79"/>
  <c r="O19" i="79"/>
  <c r="O18" i="79"/>
  <c r="M18" i="79"/>
  <c r="M19" i="79"/>
  <c r="M20" i="79"/>
  <c r="M21" i="79"/>
  <c r="M22" i="79"/>
  <c r="M23" i="79"/>
  <c r="M24" i="79"/>
  <c r="M25" i="79"/>
  <c r="M26" i="79"/>
  <c r="M27" i="79"/>
  <c r="M28" i="79"/>
  <c r="M29" i="79"/>
  <c r="M30" i="79"/>
  <c r="M31" i="79"/>
  <c r="M32" i="79"/>
  <c r="M33" i="79"/>
  <c r="M34" i="79"/>
  <c r="M35" i="79"/>
  <c r="M36" i="79"/>
  <c r="M37" i="79"/>
  <c r="M38" i="79"/>
  <c r="M39" i="79"/>
  <c r="B18" i="79"/>
  <c r="B19" i="79" s="1"/>
  <c r="B20" i="79" s="1"/>
  <c r="B21" i="79" s="1"/>
  <c r="B22" i="79" s="1"/>
  <c r="B23" i="79" s="1"/>
  <c r="B24" i="79" s="1"/>
  <c r="B25" i="79" s="1"/>
  <c r="B26" i="79" s="1"/>
  <c r="B27" i="79" s="1"/>
  <c r="B28" i="79" s="1"/>
  <c r="B29" i="79" s="1"/>
  <c r="B30" i="79" s="1"/>
  <c r="B31" i="79" s="1"/>
  <c r="B32" i="79" s="1"/>
  <c r="B33" i="79" s="1"/>
  <c r="B34" i="79" s="1"/>
  <c r="B35" i="79" s="1"/>
  <c r="B36" i="79" s="1"/>
  <c r="B37" i="79" s="1"/>
  <c r="B38" i="79" s="1"/>
  <c r="B39" i="79" s="1"/>
  <c r="H51" i="40"/>
  <c r="A20" i="40"/>
  <c r="A21" i="40"/>
  <c r="A22" i="40"/>
  <c r="A23" i="40"/>
  <c r="A24" i="40"/>
  <c r="A25" i="40"/>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21" i="156"/>
  <c r="A20" i="156"/>
  <c r="I23" i="156"/>
  <c r="I24" i="156"/>
  <c r="I25" i="156" s="1"/>
  <c r="I26" i="156" s="1"/>
  <c r="I27" i="156" s="1"/>
  <c r="I28" i="156" s="1"/>
  <c r="I29" i="156" s="1"/>
  <c r="I30" i="156" s="1"/>
  <c r="I31" i="156" s="1"/>
  <c r="I32" i="156" s="1"/>
  <c r="I33" i="156" s="1"/>
  <c r="H31" i="156"/>
  <c r="J13" i="69"/>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J45" i="69" s="1"/>
  <c r="J46" i="69" s="1"/>
  <c r="A14" i="69"/>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A45" i="69" s="1"/>
  <c r="A46" i="69" s="1"/>
  <c r="H30" i="198" l="1"/>
  <c r="H29" i="198"/>
  <c r="H26" i="198"/>
  <c r="F35" i="198"/>
  <c r="F31" i="198" s="1"/>
  <c r="H31" i="198" s="1"/>
  <c r="G34" i="198"/>
  <c r="F34" i="198"/>
  <c r="H34" i="198" s="1"/>
  <c r="G33" i="198"/>
  <c r="G32" i="198"/>
  <c r="F32" i="198"/>
  <c r="G31" i="198"/>
  <c r="G30" i="198"/>
  <c r="F30" i="198"/>
  <c r="G29" i="198"/>
  <c r="F29" i="198"/>
  <c r="G28" i="198"/>
  <c r="G27" i="198"/>
  <c r="F27" i="198"/>
  <c r="H27" i="198" s="1"/>
  <c r="G26" i="198"/>
  <c r="F26" i="198"/>
  <c r="G25" i="198"/>
  <c r="H25" i="198" s="1"/>
  <c r="F25" i="198"/>
  <c r="G24" i="198"/>
  <c r="F24" i="198"/>
  <c r="G23" i="198"/>
  <c r="C23" i="198"/>
  <c r="C32" i="198" s="1"/>
  <c r="A11" i="198"/>
  <c r="A12" i="198" s="1"/>
  <c r="A13" i="198" s="1"/>
  <c r="A14" i="198" s="1"/>
  <c r="A15" i="198" s="1"/>
  <c r="A16" i="198" s="1"/>
  <c r="A17" i="198" s="1"/>
  <c r="A18" i="198" s="1"/>
  <c r="A19" i="198" s="1"/>
  <c r="A20" i="198" s="1"/>
  <c r="A21" i="198" s="1"/>
  <c r="A22" i="198" s="1"/>
  <c r="A23" i="198" s="1"/>
  <c r="A24" i="198" s="1"/>
  <c r="A25" i="198" s="1"/>
  <c r="A26" i="198" s="1"/>
  <c r="A27" i="198" s="1"/>
  <c r="A28" i="198" s="1"/>
  <c r="A29" i="198" s="1"/>
  <c r="A30" i="198" s="1"/>
  <c r="A31" i="198" s="1"/>
  <c r="A32" i="198" s="1"/>
  <c r="A33" i="198" s="1"/>
  <c r="A34" i="198" s="1"/>
  <c r="A35" i="198" s="1"/>
  <c r="N10" i="198"/>
  <c r="N11" i="198" s="1"/>
  <c r="N12" i="198" s="1"/>
  <c r="N13" i="198" s="1"/>
  <c r="N14" i="198" s="1"/>
  <c r="N15" i="198" s="1"/>
  <c r="N16" i="198" s="1"/>
  <c r="N17" i="198" s="1"/>
  <c r="N18" i="198" s="1"/>
  <c r="N19" i="198" s="1"/>
  <c r="N20" i="198" s="1"/>
  <c r="N21" i="198" s="1"/>
  <c r="N22" i="198" s="1"/>
  <c r="N23" i="198" s="1"/>
  <c r="N24" i="198" s="1"/>
  <c r="N25" i="198" s="1"/>
  <c r="N26" i="198" s="1"/>
  <c r="N27" i="198" s="1"/>
  <c r="N28" i="198" s="1"/>
  <c r="N29" i="198" s="1"/>
  <c r="N30" i="198" s="1"/>
  <c r="N31" i="198" s="1"/>
  <c r="N32" i="198" s="1"/>
  <c r="N33" i="198" s="1"/>
  <c r="N34" i="198" s="1"/>
  <c r="N35" i="198" s="1"/>
  <c r="E28" i="189"/>
  <c r="E23" i="189"/>
  <c r="E18" i="189"/>
  <c r="E13" i="189"/>
  <c r="G13" i="186"/>
  <c r="E13" i="195"/>
  <c r="E47" i="184"/>
  <c r="E46" i="184"/>
  <c r="E56" i="197"/>
  <c r="E60" i="197" s="1"/>
  <c r="E41" i="197"/>
  <c r="D41" i="197"/>
  <c r="F39" i="197"/>
  <c r="F38" i="197"/>
  <c r="F37" i="197"/>
  <c r="F36" i="197"/>
  <c r="F35" i="197"/>
  <c r="F34" i="197"/>
  <c r="F33" i="197"/>
  <c r="F32" i="197"/>
  <c r="F31" i="197"/>
  <c r="F30" i="197"/>
  <c r="D27" i="197"/>
  <c r="F25" i="197"/>
  <c r="E24" i="197"/>
  <c r="F24" i="197" s="1"/>
  <c r="F23" i="197"/>
  <c r="F22" i="197"/>
  <c r="F21" i="197"/>
  <c r="F20" i="197"/>
  <c r="E19" i="197"/>
  <c r="F19" i="197" s="1"/>
  <c r="F18" i="197"/>
  <c r="F17" i="197"/>
  <c r="F16" i="197"/>
  <c r="F15" i="197"/>
  <c r="E15" i="197"/>
  <c r="F14" i="197"/>
  <c r="F13" i="197"/>
  <c r="F12" i="197"/>
  <c r="A12" i="197"/>
  <c r="A13" i="197" s="1"/>
  <c r="A14" i="197" s="1"/>
  <c r="A15" i="197" s="1"/>
  <c r="A16" i="197" s="1"/>
  <c r="A17" i="197" s="1"/>
  <c r="A18" i="197" s="1"/>
  <c r="A19" i="197" s="1"/>
  <c r="A20" i="197" s="1"/>
  <c r="A21" i="197" s="1"/>
  <c r="A22" i="197" s="1"/>
  <c r="A23" i="197" s="1"/>
  <c r="A24" i="197" s="1"/>
  <c r="A25" i="197" s="1"/>
  <c r="H11" i="197"/>
  <c r="H12" i="197" s="1"/>
  <c r="H13" i="197" s="1"/>
  <c r="H14" i="197" s="1"/>
  <c r="H15" i="197" s="1"/>
  <c r="H16" i="197" s="1"/>
  <c r="H17" i="197" s="1"/>
  <c r="H18" i="197" s="1"/>
  <c r="H19" i="197" s="1"/>
  <c r="H20" i="197" s="1"/>
  <c r="H21" i="197" s="1"/>
  <c r="H22" i="197" s="1"/>
  <c r="H23" i="197" s="1"/>
  <c r="H24" i="197" s="1"/>
  <c r="H25" i="197" s="1"/>
  <c r="H26" i="197" s="1"/>
  <c r="H27" i="197" s="1"/>
  <c r="H28" i="197" s="1"/>
  <c r="H29" i="197" s="1"/>
  <c r="H30" i="197" s="1"/>
  <c r="H31" i="197" s="1"/>
  <c r="H32" i="197" s="1"/>
  <c r="H33" i="197" s="1"/>
  <c r="H34" i="197" s="1"/>
  <c r="H35" i="197" s="1"/>
  <c r="H36" i="197" s="1"/>
  <c r="H37" i="197" s="1"/>
  <c r="H38" i="197" s="1"/>
  <c r="H39" i="197" s="1"/>
  <c r="H40" i="197" s="1"/>
  <c r="H41" i="197" s="1"/>
  <c r="H42" i="197" s="1"/>
  <c r="H43" i="197" s="1"/>
  <c r="H44" i="197" s="1"/>
  <c r="H45" i="197" s="1"/>
  <c r="H46" i="197" s="1"/>
  <c r="H47" i="197" s="1"/>
  <c r="H48" i="197" s="1"/>
  <c r="H49" i="197" s="1"/>
  <c r="H50" i="197" s="1"/>
  <c r="H51" i="197" s="1"/>
  <c r="H52" i="197" s="1"/>
  <c r="H53" i="197" s="1"/>
  <c r="H54" i="197" s="1"/>
  <c r="H55" i="197" s="1"/>
  <c r="H56" i="197" s="1"/>
  <c r="H60" i="197" s="1"/>
  <c r="H61" i="197" s="1"/>
  <c r="H62" i="197" s="1"/>
  <c r="H63" i="197" s="1"/>
  <c r="H64" i="197" s="1"/>
  <c r="H65" i="197" s="1"/>
  <c r="F11" i="197"/>
  <c r="E11" i="197"/>
  <c r="E38" i="184"/>
  <c r="E27" i="197" l="1"/>
  <c r="E43" i="197" s="1"/>
  <c r="D43" i="197"/>
  <c r="F41" i="197"/>
  <c r="F33" i="198"/>
  <c r="H33" i="198" s="1"/>
  <c r="F28" i="198"/>
  <c r="H28" i="198" s="1"/>
  <c r="F23" i="198"/>
  <c r="H23" i="198" s="1"/>
  <c r="C31" i="198"/>
  <c r="C26" i="198"/>
  <c r="C30" i="198"/>
  <c r="C34" i="198"/>
  <c r="C27" i="198"/>
  <c r="C29" i="198"/>
  <c r="H32" i="198"/>
  <c r="C25" i="198"/>
  <c r="C33" i="198"/>
  <c r="C24" i="198"/>
  <c r="C28" i="198"/>
  <c r="A26" i="197"/>
  <c r="A27" i="197" s="1"/>
  <c r="G27" i="197"/>
  <c r="F27" i="197"/>
  <c r="F43" i="197" l="1"/>
  <c r="A28" i="197"/>
  <c r="A29" i="197" s="1"/>
  <c r="A30" i="197" s="1"/>
  <c r="H24" i="198" l="1"/>
  <c r="E35" i="198"/>
  <c r="A31" i="197"/>
  <c r="A32" i="197" s="1"/>
  <c r="A33" i="197" s="1"/>
  <c r="A34" i="197" s="1"/>
  <c r="A35" i="197" s="1"/>
  <c r="A36" i="197" s="1"/>
  <c r="A37" i="197" s="1"/>
  <c r="A38" i="197" s="1"/>
  <c r="A39" i="197" s="1"/>
  <c r="A40" i="197" s="1"/>
  <c r="A41" i="197" s="1"/>
  <c r="H35" i="198" l="1"/>
  <c r="A42" i="197"/>
  <c r="A43" i="197" s="1"/>
  <c r="A44" i="197" s="1"/>
  <c r="A45" i="197" s="1"/>
  <c r="A46" i="197" s="1"/>
  <c r="A47" i="197" s="1"/>
  <c r="A48" i="197" s="1"/>
  <c r="A49" i="197" s="1"/>
  <c r="A50" i="197" s="1"/>
  <c r="A51" i="197" s="1"/>
  <c r="A52" i="197" s="1"/>
  <c r="A53" i="197" s="1"/>
  <c r="A54" i="197" s="1"/>
  <c r="A55" i="197" s="1"/>
  <c r="A56" i="197" s="1"/>
  <c r="A61" i="197" s="1"/>
  <c r="A62" i="197" s="1"/>
  <c r="A63" i="197" s="1"/>
  <c r="A64" i="197" s="1"/>
  <c r="A65" i="197" s="1"/>
  <c r="G43" i="197"/>
  <c r="G41" i="197"/>
  <c r="E13" i="71" l="1"/>
  <c r="D37" i="42"/>
  <c r="E45" i="42"/>
  <c r="G11" i="49" l="1"/>
  <c r="G12" i="49" s="1"/>
  <c r="G13" i="49" s="1"/>
  <c r="G15" i="49" s="1"/>
  <c r="G16" i="49" s="1"/>
  <c r="A12" i="49"/>
  <c r="A13" i="49" s="1"/>
  <c r="A15" i="49" s="1"/>
  <c r="A16" i="49" s="1"/>
  <c r="G17" i="49" l="1"/>
  <c r="G18" i="49" s="1"/>
  <c r="G19" i="49" s="1"/>
  <c r="A17" i="49"/>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7" i="49" s="1"/>
  <c r="A48" i="49" s="1"/>
  <c r="A49" i="49" s="1"/>
  <c r="C13" i="158" l="1"/>
  <c r="G27" i="156"/>
  <c r="G28" i="156" s="1"/>
  <c r="E14" i="156" s="1"/>
  <c r="G32" i="156"/>
  <c r="G31" i="156"/>
  <c r="G26" i="156"/>
  <c r="E12" i="156" l="1"/>
  <c r="G33" i="156"/>
  <c r="G19" i="69" l="1"/>
  <c r="E48" i="41" l="1"/>
  <c r="E38" i="132"/>
  <c r="E11" i="41" l="1"/>
  <c r="E15" i="158"/>
  <c r="C15" i="158"/>
  <c r="I34" i="9"/>
  <c r="I33" i="9"/>
  <c r="A34" i="9"/>
  <c r="A33" i="9"/>
  <c r="H26" i="45"/>
  <c r="H27" i="45" s="1"/>
  <c r="H28" i="45" s="1"/>
  <c r="H29" i="45" s="1"/>
  <c r="H30" i="45" s="1"/>
  <c r="H31" i="45" s="1"/>
  <c r="H32" i="45" s="1"/>
  <c r="H33" i="45" s="1"/>
  <c r="H34" i="45" s="1"/>
  <c r="A26" i="45"/>
  <c r="A27" i="45" s="1"/>
  <c r="A28" i="45" s="1"/>
  <c r="A29" i="45" s="1"/>
  <c r="A30" i="45" s="1"/>
  <c r="A31" i="45" s="1"/>
  <c r="A32" i="45" s="1"/>
  <c r="A33" i="45" s="1"/>
  <c r="A34" i="45" s="1"/>
  <c r="H10" i="196" l="1"/>
  <c r="H11" i="196" s="1"/>
  <c r="H12" i="196" s="1"/>
  <c r="H13" i="196" s="1"/>
  <c r="H14" i="196" s="1"/>
  <c r="H15" i="196" s="1"/>
  <c r="H16" i="196" s="1"/>
  <c r="H17" i="196" s="1"/>
  <c r="H18" i="196" s="1"/>
  <c r="H19" i="196" s="1"/>
  <c r="H20" i="196" s="1"/>
  <c r="H21" i="196" s="1"/>
  <c r="A10" i="196"/>
  <c r="A11" i="196" s="1"/>
  <c r="A12" i="196" s="1"/>
  <c r="A13" i="196" s="1"/>
  <c r="A14" i="196" s="1"/>
  <c r="A15" i="196" s="1"/>
  <c r="A16" i="196" s="1"/>
  <c r="A17" i="196" s="1"/>
  <c r="A18" i="196" s="1"/>
  <c r="A19" i="196" s="1"/>
  <c r="A20" i="196" s="1"/>
  <c r="A21" i="196" s="1"/>
  <c r="G17" i="196"/>
  <c r="F17" i="196"/>
  <c r="E17" i="196"/>
  <c r="D17" i="196"/>
  <c r="C17" i="196"/>
  <c r="D11" i="196"/>
  <c r="C11" i="196"/>
  <c r="G11" i="196"/>
  <c r="F11" i="196"/>
  <c r="E11" i="196"/>
  <c r="E19" i="196" l="1"/>
  <c r="F19" i="196"/>
  <c r="C19" i="196"/>
  <c r="D19" i="196"/>
  <c r="F21" i="196" s="1"/>
  <c r="G19" i="196"/>
  <c r="E21" i="196" l="1"/>
  <c r="G21" i="196"/>
  <c r="G13" i="69" s="1"/>
  <c r="E51" i="40" l="1"/>
  <c r="F70" i="41" l="1"/>
  <c r="E15" i="45"/>
  <c r="E34" i="45"/>
  <c r="E33" i="45"/>
  <c r="E13" i="45"/>
  <c r="E30" i="45"/>
  <c r="E28" i="45"/>
  <c r="E29" i="45" s="1"/>
  <c r="F34" i="9"/>
  <c r="E24" i="144"/>
  <c r="E18" i="144"/>
  <c r="E175" i="144"/>
  <c r="E174" i="144"/>
  <c r="E173" i="144"/>
  <c r="E168" i="144"/>
  <c r="E167" i="144"/>
  <c r="E166" i="144"/>
  <c r="I19" i="192"/>
  <c r="I29" i="192"/>
  <c r="G17" i="192"/>
  <c r="E17" i="192"/>
  <c r="I17" i="192" s="1"/>
  <c r="I15" i="192"/>
  <c r="I23" i="192" s="1"/>
  <c r="G15" i="192"/>
  <c r="E15" i="192"/>
  <c r="G13" i="192"/>
  <c r="I13" i="192" s="1"/>
  <c r="I21" i="192" s="1"/>
  <c r="E13" i="192"/>
  <c r="L12" i="192"/>
  <c r="L13" i="192" s="1"/>
  <c r="L14" i="192" s="1"/>
  <c r="L15" i="192" s="1"/>
  <c r="L16" i="192" s="1"/>
  <c r="L17" i="192" s="1"/>
  <c r="L18" i="192" s="1"/>
  <c r="L19" i="192" s="1"/>
  <c r="L20" i="192" s="1"/>
  <c r="L21" i="192" s="1"/>
  <c r="L22" i="192" s="1"/>
  <c r="L23" i="192" s="1"/>
  <c r="L24" i="192" s="1"/>
  <c r="L25" i="192" s="1"/>
  <c r="L26" i="192" s="1"/>
  <c r="L27" i="192" s="1"/>
  <c r="L28" i="192" s="1"/>
  <c r="L29" i="192" s="1"/>
  <c r="A12" i="192"/>
  <c r="A13" i="192" s="1"/>
  <c r="A14" i="192" s="1"/>
  <c r="A15" i="192" s="1"/>
  <c r="A16" i="192" s="1"/>
  <c r="A17" i="192" s="1"/>
  <c r="A18" i="192" s="1"/>
  <c r="A19" i="192" s="1"/>
  <c r="A20" i="192" s="1"/>
  <c r="A21" i="192" s="1"/>
  <c r="A22" i="192" s="1"/>
  <c r="A23" i="192" s="1"/>
  <c r="A24" i="192" s="1"/>
  <c r="A25" i="192" s="1"/>
  <c r="A26" i="192" s="1"/>
  <c r="A27" i="192" s="1"/>
  <c r="A28" i="192" s="1"/>
  <c r="A29" i="192" s="1"/>
  <c r="L11" i="192"/>
  <c r="I11" i="192"/>
  <c r="G9" i="192"/>
  <c r="E9" i="192"/>
  <c r="B5" i="192"/>
  <c r="I33" i="191"/>
  <c r="E20" i="195"/>
  <c r="E22" i="195" s="1"/>
  <c r="E19" i="194"/>
  <c r="E21" i="194" s="1"/>
  <c r="A13" i="195"/>
  <c r="A14" i="195" s="1"/>
  <c r="A15" i="195" s="1"/>
  <c r="A16" i="195" s="1"/>
  <c r="A17" i="195" s="1"/>
  <c r="A18" i="195" s="1"/>
  <c r="A19" i="195" s="1"/>
  <c r="A20" i="195" s="1"/>
  <c r="A21" i="195" s="1"/>
  <c r="A22" i="195" s="1"/>
  <c r="H12" i="195"/>
  <c r="H13" i="195" s="1"/>
  <c r="H14" i="195" s="1"/>
  <c r="H15" i="195" s="1"/>
  <c r="H16" i="195" s="1"/>
  <c r="H17" i="195" s="1"/>
  <c r="H18" i="195" s="1"/>
  <c r="H19" i="195" s="1"/>
  <c r="H20" i="195" s="1"/>
  <c r="H21" i="195" s="1"/>
  <c r="H22" i="195" s="1"/>
  <c r="A12" i="195"/>
  <c r="H11" i="195"/>
  <c r="B5" i="195"/>
  <c r="E33" i="194"/>
  <c r="E31" i="194"/>
  <c r="E29" i="194"/>
  <c r="E17" i="194"/>
  <c r="E15" i="194"/>
  <c r="E13" i="194"/>
  <c r="A12" i="194"/>
  <c r="A13" i="194" s="1"/>
  <c r="A14" i="194" s="1"/>
  <c r="A15" i="194" s="1"/>
  <c r="A16" i="194" s="1"/>
  <c r="A17" i="194" s="1"/>
  <c r="A18" i="194" s="1"/>
  <c r="A19" i="194" s="1"/>
  <c r="A20" i="194" s="1"/>
  <c r="A21" i="194" s="1"/>
  <c r="A22" i="194" s="1"/>
  <c r="A23" i="194" s="1"/>
  <c r="A24" i="194" s="1"/>
  <c r="A25" i="194" s="1"/>
  <c r="A26" i="194" s="1"/>
  <c r="A27" i="194" s="1"/>
  <c r="A28" i="194" s="1"/>
  <c r="A29" i="194" s="1"/>
  <c r="A30" i="194" s="1"/>
  <c r="A31" i="194" s="1"/>
  <c r="A32" i="194" s="1"/>
  <c r="A33" i="194" s="1"/>
  <c r="H11" i="194"/>
  <c r="H12" i="194" s="1"/>
  <c r="H13" i="194" s="1"/>
  <c r="H14" i="194" s="1"/>
  <c r="H15" i="194" s="1"/>
  <c r="H16" i="194" s="1"/>
  <c r="H17" i="194" s="1"/>
  <c r="H18" i="194" s="1"/>
  <c r="H19" i="194" s="1"/>
  <c r="H20" i="194" s="1"/>
  <c r="H21" i="194" s="1"/>
  <c r="H22" i="194" s="1"/>
  <c r="H23" i="194" s="1"/>
  <c r="H24" i="194" s="1"/>
  <c r="H25" i="194" s="1"/>
  <c r="H26" i="194" s="1"/>
  <c r="H27" i="194" s="1"/>
  <c r="H28" i="194" s="1"/>
  <c r="H29" i="194" s="1"/>
  <c r="H30" i="194" s="1"/>
  <c r="H31" i="194" s="1"/>
  <c r="H32" i="194" s="1"/>
  <c r="H33" i="194" s="1"/>
  <c r="E11" i="194"/>
  <c r="B5" i="194"/>
  <c r="E25" i="193"/>
  <c r="E23" i="193"/>
  <c r="A14" i="193"/>
  <c r="A15" i="193" s="1"/>
  <c r="A16" i="193" s="1"/>
  <c r="A17" i="193" s="1"/>
  <c r="A18" i="193" s="1"/>
  <c r="A19" i="193" s="1"/>
  <c r="A20" i="193" s="1"/>
  <c r="A21" i="193" s="1"/>
  <c r="A22" i="193" s="1"/>
  <c r="A23" i="193" s="1"/>
  <c r="A24" i="193" s="1"/>
  <c r="A25" i="193" s="1"/>
  <c r="A13" i="193"/>
  <c r="H12" i="193"/>
  <c r="H13" i="193" s="1"/>
  <c r="H14" i="193" s="1"/>
  <c r="H15" i="193" s="1"/>
  <c r="H16" i="193" s="1"/>
  <c r="H17" i="193" s="1"/>
  <c r="H18" i="193" s="1"/>
  <c r="H19" i="193" s="1"/>
  <c r="H20" i="193" s="1"/>
  <c r="H21" i="193" s="1"/>
  <c r="H22" i="193" s="1"/>
  <c r="H23" i="193" s="1"/>
  <c r="H24" i="193" s="1"/>
  <c r="H25" i="193" s="1"/>
  <c r="A12" i="193"/>
  <c r="H11" i="193"/>
  <c r="B5" i="193"/>
  <c r="G29" i="191"/>
  <c r="E29" i="191"/>
  <c r="I29" i="191" s="1"/>
  <c r="I41" i="191" s="1"/>
  <c r="G27" i="191"/>
  <c r="E27" i="191"/>
  <c r="I27" i="191" s="1"/>
  <c r="I39" i="191" s="1"/>
  <c r="G25" i="191"/>
  <c r="E25" i="191"/>
  <c r="I25" i="191" s="1"/>
  <c r="I37" i="191" s="1"/>
  <c r="I23" i="191"/>
  <c r="G19" i="191"/>
  <c r="E19" i="191"/>
  <c r="I19" i="191" s="1"/>
  <c r="I17" i="191"/>
  <c r="I15" i="191"/>
  <c r="L14" i="191"/>
  <c r="L15" i="191" s="1"/>
  <c r="L16" i="191" s="1"/>
  <c r="L17" i="191" s="1"/>
  <c r="L18" i="191" s="1"/>
  <c r="L19" i="191" s="1"/>
  <c r="L20" i="191" s="1"/>
  <c r="L21" i="191" s="1"/>
  <c r="L22" i="191" s="1"/>
  <c r="L23" i="191" s="1"/>
  <c r="L24" i="191" s="1"/>
  <c r="L25" i="191" s="1"/>
  <c r="L26" i="191" s="1"/>
  <c r="L27" i="191" s="1"/>
  <c r="L28" i="191" s="1"/>
  <c r="L29" i="191" s="1"/>
  <c r="L30" i="191" s="1"/>
  <c r="L31" i="191" s="1"/>
  <c r="L32" i="191" s="1"/>
  <c r="L33" i="191" s="1"/>
  <c r="L34" i="191" s="1"/>
  <c r="L35" i="191" s="1"/>
  <c r="L36" i="191" s="1"/>
  <c r="L37" i="191" s="1"/>
  <c r="L38" i="191" s="1"/>
  <c r="L39" i="191" s="1"/>
  <c r="L40" i="191" s="1"/>
  <c r="L41" i="191" s="1"/>
  <c r="L42" i="191" s="1"/>
  <c r="L43" i="191" s="1"/>
  <c r="L44" i="191" s="1"/>
  <c r="L45" i="191" s="1"/>
  <c r="L13" i="191"/>
  <c r="I13" i="191"/>
  <c r="A13" i="191"/>
  <c r="A14" i="191" s="1"/>
  <c r="A15" i="191" s="1"/>
  <c r="A16" i="191" s="1"/>
  <c r="A17" i="191" s="1"/>
  <c r="A18" i="191" s="1"/>
  <c r="A19" i="191" s="1"/>
  <c r="A20" i="191" s="1"/>
  <c r="A21" i="191" s="1"/>
  <c r="A22" i="191" s="1"/>
  <c r="A23" i="191" s="1"/>
  <c r="A24" i="191" s="1"/>
  <c r="A25" i="191" s="1"/>
  <c r="A26" i="191" s="1"/>
  <c r="A27" i="191" s="1"/>
  <c r="A28" i="191" s="1"/>
  <c r="A29" i="191" s="1"/>
  <c r="A30" i="191" s="1"/>
  <c r="A31" i="191" s="1"/>
  <c r="A32" i="191" s="1"/>
  <c r="A33" i="191" s="1"/>
  <c r="A34" i="191" s="1"/>
  <c r="A35" i="191" s="1"/>
  <c r="A36" i="191" s="1"/>
  <c r="A37" i="191" s="1"/>
  <c r="A38" i="191" s="1"/>
  <c r="A39" i="191" s="1"/>
  <c r="A40" i="191" s="1"/>
  <c r="A41" i="191" s="1"/>
  <c r="A42" i="191" s="1"/>
  <c r="A43" i="191" s="1"/>
  <c r="A44" i="191" s="1"/>
  <c r="A45" i="191" s="1"/>
  <c r="L12" i="191"/>
  <c r="A12" i="191"/>
  <c r="L11" i="191"/>
  <c r="I11" i="191"/>
  <c r="I25" i="192" l="1"/>
  <c r="I27" i="192" s="1"/>
  <c r="E23" i="194"/>
  <c r="E25" i="194"/>
  <c r="E27" i="194"/>
  <c r="E24" i="140" l="1"/>
  <c r="E25" i="140"/>
  <c r="E26" i="140"/>
  <c r="E27" i="140"/>
  <c r="E28" i="140"/>
  <c r="E29" i="140"/>
  <c r="E30" i="140"/>
  <c r="E31" i="140"/>
  <c r="E32" i="140"/>
  <c r="E33" i="140"/>
  <c r="E34" i="140"/>
  <c r="E23" i="140"/>
  <c r="E50" i="140"/>
  <c r="E51" i="140"/>
  <c r="E52" i="140"/>
  <c r="E53" i="140"/>
  <c r="E54" i="140"/>
  <c r="E55" i="140"/>
  <c r="E56" i="140"/>
  <c r="E57" i="140"/>
  <c r="E58" i="140"/>
  <c r="E59" i="140"/>
  <c r="E60" i="140"/>
  <c r="E49" i="140"/>
  <c r="E61" i="140" s="1"/>
  <c r="D61" i="140" l="1"/>
  <c r="C59" i="140"/>
  <c r="C52" i="140" l="1"/>
  <c r="C55" i="140"/>
  <c r="C60" i="140"/>
  <c r="C53" i="140"/>
  <c r="C54" i="140"/>
  <c r="C56" i="140"/>
  <c r="C57" i="140"/>
  <c r="C50" i="140"/>
  <c r="C58" i="140"/>
  <c r="C51" i="140"/>
  <c r="H20" i="137" l="1"/>
  <c r="H19" i="137"/>
  <c r="A19" i="137"/>
  <c r="A20" i="137" s="1"/>
  <c r="A12" i="190"/>
  <c r="A13" i="190" s="1"/>
  <c r="A14" i="190" s="1"/>
  <c r="A15" i="190" s="1"/>
  <c r="I11" i="190"/>
  <c r="I12" i="190" s="1"/>
  <c r="I13" i="190" s="1"/>
  <c r="I14" i="190" s="1"/>
  <c r="I15" i="190" s="1"/>
  <c r="B5" i="190"/>
  <c r="I13" i="156"/>
  <c r="I14" i="156" s="1"/>
  <c r="I15" i="156" s="1"/>
  <c r="I16" i="156" s="1"/>
  <c r="I17" i="156" s="1"/>
  <c r="I18" i="156" s="1"/>
  <c r="I19" i="156" s="1"/>
  <c r="I20" i="156" s="1"/>
  <c r="I21" i="156" s="1"/>
  <c r="I22" i="156" s="1"/>
  <c r="A13" i="156"/>
  <c r="A14" i="156" s="1"/>
  <c r="A15" i="156" s="1"/>
  <c r="A16" i="156" s="1"/>
  <c r="A17" i="156" s="1"/>
  <c r="A18" i="156" s="1"/>
  <c r="A19" i="156" s="1"/>
  <c r="A22" i="156" s="1"/>
  <c r="E20" i="137" l="1"/>
  <c r="E137" i="132" s="1"/>
  <c r="M19" i="158" l="1"/>
  <c r="M17" i="158"/>
  <c r="M15" i="158"/>
  <c r="M13" i="158"/>
  <c r="M11" i="158"/>
  <c r="A12" i="158"/>
  <c r="A13" i="158" s="1"/>
  <c r="A14" i="158" s="1"/>
  <c r="A15" i="158" s="1"/>
  <c r="A16" i="158" s="1"/>
  <c r="A17" i="158" s="1"/>
  <c r="A18" i="158" s="1"/>
  <c r="A21" i="158" s="1"/>
  <c r="O12" i="158"/>
  <c r="O13" i="158" s="1"/>
  <c r="O14" i="158" s="1"/>
  <c r="O15" i="158" s="1"/>
  <c r="O16" i="158" s="1"/>
  <c r="O17" i="158" s="1"/>
  <c r="O18" i="158" s="1"/>
  <c r="O19" i="158" s="1"/>
  <c r="O20" i="158" s="1"/>
  <c r="O21" i="158" s="1"/>
  <c r="C21" i="158"/>
  <c r="K21" i="158" l="1"/>
  <c r="I21" i="158"/>
  <c r="G21" i="158"/>
  <c r="E21" i="158"/>
  <c r="C18" i="156"/>
  <c r="C14" i="156"/>
  <c r="C12" i="156"/>
  <c r="C20" i="156"/>
  <c r="C16" i="156"/>
  <c r="M21" i="158"/>
  <c r="X18" i="79"/>
  <c r="C22" i="156" l="1"/>
  <c r="F15" i="82"/>
  <c r="F18" i="82" l="1"/>
  <c r="H50" i="40" l="1"/>
  <c r="E57" i="184"/>
  <c r="E56" i="184"/>
  <c r="E54" i="184"/>
  <c r="E53" i="184"/>
  <c r="E51" i="184"/>
  <c r="E9" i="189"/>
  <c r="C9" i="189"/>
  <c r="E9" i="188"/>
  <c r="C9" i="188"/>
  <c r="E133" i="144"/>
  <c r="C17" i="188"/>
  <c r="C15" i="188"/>
  <c r="C13" i="188"/>
  <c r="C11" i="188"/>
  <c r="C35" i="189"/>
  <c r="C29" i="189"/>
  <c r="C28" i="189"/>
  <c r="G27" i="189"/>
  <c r="C24" i="189"/>
  <c r="C23" i="189"/>
  <c r="G22" i="189"/>
  <c r="C19" i="189"/>
  <c r="C18" i="189"/>
  <c r="G17" i="189"/>
  <c r="C14" i="189"/>
  <c r="I12" i="189"/>
  <c r="I13" i="189" s="1"/>
  <c r="I14" i="189" s="1"/>
  <c r="I15" i="189" s="1"/>
  <c r="I16" i="189" s="1"/>
  <c r="I17" i="189" s="1"/>
  <c r="I18" i="189" s="1"/>
  <c r="I19" i="189" s="1"/>
  <c r="I20" i="189" s="1"/>
  <c r="I21" i="189" s="1"/>
  <c r="I22" i="189" s="1"/>
  <c r="I23" i="189" s="1"/>
  <c r="I24" i="189" s="1"/>
  <c r="I25" i="189" s="1"/>
  <c r="I26" i="189" s="1"/>
  <c r="I27" i="189" s="1"/>
  <c r="I28" i="189" s="1"/>
  <c r="I29" i="189" s="1"/>
  <c r="G12" i="189"/>
  <c r="A12" i="189"/>
  <c r="A13" i="189" s="1"/>
  <c r="A14" i="189" s="1"/>
  <c r="A15" i="189" s="1"/>
  <c r="A16" i="189" s="1"/>
  <c r="A17" i="189" s="1"/>
  <c r="A18" i="189" s="1"/>
  <c r="A19" i="189" s="1"/>
  <c r="A20" i="189" s="1"/>
  <c r="A21" i="189" s="1"/>
  <c r="A22" i="189" s="1"/>
  <c r="A23" i="189" s="1"/>
  <c r="A24" i="189" s="1"/>
  <c r="A25" i="189" s="1"/>
  <c r="A26" i="189" s="1"/>
  <c r="A27" i="189" s="1"/>
  <c r="A28" i="189" s="1"/>
  <c r="A29" i="189" s="1"/>
  <c r="I11" i="189"/>
  <c r="I13" i="188"/>
  <c r="A13" i="188"/>
  <c r="A14" i="188" s="1"/>
  <c r="I12" i="188"/>
  <c r="A12" i="188"/>
  <c r="I11" i="188"/>
  <c r="A11" i="187"/>
  <c r="A12" i="187" s="1"/>
  <c r="A13" i="187" s="1"/>
  <c r="A14" i="187" s="1"/>
  <c r="A15" i="187" s="1"/>
  <c r="A16" i="187" s="1"/>
  <c r="A17" i="187" s="1"/>
  <c r="A18" i="187" s="1"/>
  <c r="H10" i="187"/>
  <c r="H11" i="187" s="1"/>
  <c r="H12" i="187" s="1"/>
  <c r="H13" i="187" s="1"/>
  <c r="H14" i="187" s="1"/>
  <c r="H15" i="187" s="1"/>
  <c r="H16" i="187" s="1"/>
  <c r="H17" i="187" s="1"/>
  <c r="H18" i="187" s="1"/>
  <c r="G11" i="186"/>
  <c r="E34" i="186"/>
  <c r="E27" i="186"/>
  <c r="A13" i="186"/>
  <c r="A14" i="186" s="1"/>
  <c r="A15" i="186" s="1"/>
  <c r="A16" i="186" s="1"/>
  <c r="A17" i="186" s="1"/>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3" i="186" s="1"/>
  <c r="A44" i="186" s="1"/>
  <c r="A12" i="186"/>
  <c r="J11" i="186"/>
  <c r="J12" i="186" s="1"/>
  <c r="J13" i="186" s="1"/>
  <c r="J14" i="186" s="1"/>
  <c r="J15" i="186" s="1"/>
  <c r="J16" i="186" s="1"/>
  <c r="J17" i="186" s="1"/>
  <c r="J18" i="186" s="1"/>
  <c r="J19" i="186" s="1"/>
  <c r="J20" i="186" s="1"/>
  <c r="J21" i="186" s="1"/>
  <c r="J22" i="186" s="1"/>
  <c r="J23" i="186" s="1"/>
  <c r="J24" i="186" s="1"/>
  <c r="J25" i="186" s="1"/>
  <c r="J26" i="186" s="1"/>
  <c r="J27" i="186" s="1"/>
  <c r="J28" i="186" s="1"/>
  <c r="J29" i="186" s="1"/>
  <c r="J30" i="186" s="1"/>
  <c r="J31" i="186" s="1"/>
  <c r="J32" i="186" s="1"/>
  <c r="J33" i="186" s="1"/>
  <c r="J34" i="186" s="1"/>
  <c r="J35" i="186" s="1"/>
  <c r="J36" i="186" s="1"/>
  <c r="J37" i="186" s="1"/>
  <c r="J38" i="186" s="1"/>
  <c r="J39" i="186" s="1"/>
  <c r="J40" i="186" s="1"/>
  <c r="J41" i="186" s="1"/>
  <c r="J42" i="186" s="1"/>
  <c r="J43" i="186" s="1"/>
  <c r="J44" i="186" s="1"/>
  <c r="E33" i="184"/>
  <c r="E31" i="184"/>
  <c r="E30" i="184"/>
  <c r="E28" i="184"/>
  <c r="E27" i="184"/>
  <c r="E26" i="184"/>
  <c r="E25" i="184"/>
  <c r="E24" i="184"/>
  <c r="E45" i="185"/>
  <c r="E22" i="185" s="1"/>
  <c r="F22" i="185" s="1"/>
  <c r="E41" i="185"/>
  <c r="E19" i="185" s="1"/>
  <c r="F19" i="185" s="1"/>
  <c r="E33" i="185"/>
  <c r="E16" i="185" s="1"/>
  <c r="D26" i="185"/>
  <c r="E22" i="184" s="1"/>
  <c r="E24" i="185"/>
  <c r="F24" i="185" s="1"/>
  <c r="F23" i="185"/>
  <c r="E21" i="185"/>
  <c r="F21" i="185" s="1"/>
  <c r="E20" i="185"/>
  <c r="F20" i="185" s="1"/>
  <c r="E18" i="185"/>
  <c r="F18" i="185" s="1"/>
  <c r="E17" i="185"/>
  <c r="F17" i="185" s="1"/>
  <c r="F15" i="185"/>
  <c r="E36" i="184" s="1"/>
  <c r="E14" i="185"/>
  <c r="F14" i="185" s="1"/>
  <c r="F13" i="185"/>
  <c r="E12" i="185"/>
  <c r="F12" i="185" s="1"/>
  <c r="A12" i="185"/>
  <c r="A13" i="185" s="1"/>
  <c r="A14" i="185" s="1"/>
  <c r="A15" i="185" s="1"/>
  <c r="A16" i="185" s="1"/>
  <c r="H11" i="185"/>
  <c r="H12" i="185" s="1"/>
  <c r="H13" i="185" s="1"/>
  <c r="H14" i="185" s="1"/>
  <c r="H15" i="185" s="1"/>
  <c r="H16" i="185" s="1"/>
  <c r="F11" i="185"/>
  <c r="E16" i="184"/>
  <c r="E15" i="184"/>
  <c r="E14" i="184"/>
  <c r="H13" i="184"/>
  <c r="H14" i="184" s="1"/>
  <c r="H15" i="184" s="1"/>
  <c r="H16" i="184" s="1"/>
  <c r="H17" i="184" s="1"/>
  <c r="H18" i="184" s="1"/>
  <c r="H19" i="184" s="1"/>
  <c r="H20" i="184" s="1"/>
  <c r="H21" i="184" s="1"/>
  <c r="H22" i="184" s="1"/>
  <c r="H23" i="184" s="1"/>
  <c r="H24" i="184" s="1"/>
  <c r="H25" i="184" s="1"/>
  <c r="H26" i="184" s="1"/>
  <c r="H27" i="184" s="1"/>
  <c r="H28" i="184" s="1"/>
  <c r="H29" i="184" s="1"/>
  <c r="H30" i="184" s="1"/>
  <c r="H31" i="184" s="1"/>
  <c r="H32" i="184" s="1"/>
  <c r="H33" i="184" s="1"/>
  <c r="H34" i="184" s="1"/>
  <c r="H35" i="184" s="1"/>
  <c r="H36" i="184" s="1"/>
  <c r="H37" i="184" s="1"/>
  <c r="H38" i="184" s="1"/>
  <c r="H39" i="184" s="1"/>
  <c r="H40" i="184" s="1"/>
  <c r="H41" i="184" s="1"/>
  <c r="H42" i="184" s="1"/>
  <c r="H43" i="184" s="1"/>
  <c r="H44" i="184" s="1"/>
  <c r="H45" i="184" s="1"/>
  <c r="H46" i="184" s="1"/>
  <c r="H47" i="184" s="1"/>
  <c r="H48" i="184" s="1"/>
  <c r="H49" i="184" s="1"/>
  <c r="H50" i="184" s="1"/>
  <c r="H51" i="184" s="1"/>
  <c r="H52" i="184" s="1"/>
  <c r="H53" i="184" s="1"/>
  <c r="H54" i="184" s="1"/>
  <c r="H55" i="184" s="1"/>
  <c r="H56" i="184" s="1"/>
  <c r="H57" i="184" s="1"/>
  <c r="H58" i="184" s="1"/>
  <c r="H59" i="184" s="1"/>
  <c r="H60" i="184" s="1"/>
  <c r="H12" i="184"/>
  <c r="A12" i="184"/>
  <c r="A13" i="184" s="1"/>
  <c r="A14" i="184" s="1"/>
  <c r="A15" i="184" s="1"/>
  <c r="A16" i="184" s="1"/>
  <c r="A17" i="184" s="1"/>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4" i="184" s="1"/>
  <c r="A45" i="184" s="1"/>
  <c r="A46" i="184" s="1"/>
  <c r="A47" i="184" s="1"/>
  <c r="A48" i="184" s="1"/>
  <c r="A49" i="184" s="1"/>
  <c r="A50" i="184" s="1"/>
  <c r="A51" i="184" s="1"/>
  <c r="A52" i="184" s="1"/>
  <c r="A53" i="184" s="1"/>
  <c r="A54" i="184" s="1"/>
  <c r="A55" i="184" s="1"/>
  <c r="A56" i="184" s="1"/>
  <c r="A57" i="184" s="1"/>
  <c r="A58" i="184" s="1"/>
  <c r="A59" i="184" s="1"/>
  <c r="A60" i="184" s="1"/>
  <c r="H11" i="184"/>
  <c r="E24" i="186" l="1"/>
  <c r="E32" i="186" s="1"/>
  <c r="E36" i="186" s="1"/>
  <c r="E15" i="144"/>
  <c r="C19" i="188"/>
  <c r="A15" i="188"/>
  <c r="I14" i="188"/>
  <c r="E35" i="184"/>
  <c r="E37" i="184" s="1"/>
  <c r="F16" i="185"/>
  <c r="F26" i="185" s="1"/>
  <c r="E26" i="185"/>
  <c r="A17" i="185"/>
  <c r="H17" i="185"/>
  <c r="A16" i="188" l="1"/>
  <c r="I15" i="188"/>
  <c r="H18" i="185"/>
  <c r="H19" i="185" s="1"/>
  <c r="H20" i="185" s="1"/>
  <c r="H21" i="185" s="1"/>
  <c r="H22" i="185" s="1"/>
  <c r="H23" i="185" s="1"/>
  <c r="H24" i="185" s="1"/>
  <c r="H25" i="185" s="1"/>
  <c r="H26" i="185" s="1"/>
  <c r="H27" i="185" s="1"/>
  <c r="H28" i="185" s="1"/>
  <c r="H29" i="185" s="1"/>
  <c r="H30" i="185" s="1"/>
  <c r="H31" i="185" s="1"/>
  <c r="H32" i="185" s="1"/>
  <c r="H33" i="185" s="1"/>
  <c r="H34" i="185" s="1"/>
  <c r="H35" i="185" s="1"/>
  <c r="H36" i="185" s="1"/>
  <c r="H37" i="185" s="1"/>
  <c r="H38" i="185" s="1"/>
  <c r="A18" i="185"/>
  <c r="A19" i="185" s="1"/>
  <c r="A20" i="185" s="1"/>
  <c r="A21" i="185" s="1"/>
  <c r="A22" i="185" s="1"/>
  <c r="A23" i="185" s="1"/>
  <c r="A24" i="185" s="1"/>
  <c r="H39" i="185" l="1"/>
  <c r="H40" i="185" s="1"/>
  <c r="H41" i="185" s="1"/>
  <c r="H42" i="185" s="1"/>
  <c r="H43" i="185" s="1"/>
  <c r="H44" i="185" s="1"/>
  <c r="H45" i="185" s="1"/>
  <c r="H49" i="185" s="1"/>
  <c r="H50" i="185" s="1"/>
  <c r="H51" i="185" s="1"/>
  <c r="H52" i="185" s="1"/>
  <c r="H53" i="185" s="1"/>
  <c r="H54" i="185" s="1"/>
  <c r="H55" i="185" s="1"/>
  <c r="A17" i="188"/>
  <c r="I16" i="188"/>
  <c r="A25" i="185"/>
  <c r="A26" i="185" s="1"/>
  <c r="A27" i="185" s="1"/>
  <c r="A28" i="185" s="1"/>
  <c r="A29" i="185" s="1"/>
  <c r="A30" i="185" s="1"/>
  <c r="A31" i="185" s="1"/>
  <c r="A32" i="185" s="1"/>
  <c r="A33" i="185" s="1"/>
  <c r="A34" i="185" s="1"/>
  <c r="A35" i="185" s="1"/>
  <c r="A36" i="185" s="1"/>
  <c r="A37" i="185" s="1"/>
  <c r="A38" i="185" s="1"/>
  <c r="G26" i="185"/>
  <c r="A39" i="185" l="1"/>
  <c r="A40" i="185" s="1"/>
  <c r="A41" i="185" s="1"/>
  <c r="A42" i="185" s="1"/>
  <c r="A43" i="185" s="1"/>
  <c r="A44" i="185" s="1"/>
  <c r="A45" i="185" s="1"/>
  <c r="A46" i="185" s="1"/>
  <c r="A49" i="185" s="1"/>
  <c r="A50" i="185" s="1"/>
  <c r="A51" i="185" s="1"/>
  <c r="A52" i="185" s="1"/>
  <c r="A53" i="185" s="1"/>
  <c r="A54" i="185" s="1"/>
  <c r="A55" i="185" s="1"/>
  <c r="A18" i="188"/>
  <c r="I17" i="188"/>
  <c r="I18" i="188" l="1"/>
  <c r="A19" i="188"/>
  <c r="I19" i="188" s="1"/>
  <c r="E293" i="132" l="1"/>
  <c r="E16" i="42" l="1"/>
  <c r="J36" i="178"/>
  <c r="A36" i="178"/>
  <c r="B5" i="156"/>
  <c r="B5" i="158" s="1"/>
  <c r="H28" i="177" l="1"/>
  <c r="H21" i="177"/>
  <c r="H14" i="177"/>
  <c r="B5" i="182" l="1"/>
  <c r="B5" i="135"/>
  <c r="J37" i="178" l="1"/>
  <c r="H42" i="121" l="1"/>
  <c r="H42" i="120"/>
  <c r="H41" i="119"/>
  <c r="N47" i="117"/>
  <c r="M47" i="117"/>
  <c r="J47" i="117"/>
  <c r="I47" i="117"/>
  <c r="H41" i="117"/>
  <c r="N47" i="116"/>
  <c r="M47" i="116"/>
  <c r="J47" i="116"/>
  <c r="I47" i="116"/>
  <c r="H41" i="116"/>
  <c r="F44" i="86"/>
  <c r="E44" i="86"/>
  <c r="B5" i="177" l="1"/>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F257" i="82" l="1"/>
  <c r="F244" i="82"/>
  <c r="F254" i="82"/>
  <c r="F165" i="82"/>
  <c r="D86" i="82"/>
  <c r="D49" i="82"/>
  <c r="K26" i="11" l="1"/>
  <c r="K25" i="11"/>
  <c r="K24" i="11"/>
  <c r="L24" i="34" l="1"/>
  <c r="L25" i="34" s="1"/>
  <c r="G25" i="34"/>
  <c r="E25" i="34"/>
  <c r="A24" i="34"/>
  <c r="A25" i="34" s="1"/>
  <c r="I25" i="34" l="1"/>
  <c r="E255" i="132" s="1"/>
  <c r="E210" i="132" l="1"/>
  <c r="G124" i="178" l="1"/>
  <c r="F113" i="82"/>
  <c r="D17" i="183"/>
  <c r="A17" i="183"/>
  <c r="C27" i="183"/>
  <c r="C26" i="183"/>
  <c r="C24" i="183"/>
  <c r="A14" i="183"/>
  <c r="A15" i="183" s="1"/>
  <c r="A16" i="183" s="1"/>
  <c r="D13" i="183"/>
  <c r="D14" i="183" s="1"/>
  <c r="D15" i="183" s="1"/>
  <c r="D16" i="183" s="1"/>
  <c r="D18" i="183" l="1"/>
  <c r="D19" i="183" s="1"/>
  <c r="D20" i="183" s="1"/>
  <c r="D21" i="183" s="1"/>
  <c r="D22" i="183" s="1"/>
  <c r="D23" i="183" s="1"/>
  <c r="D24" i="183" s="1"/>
  <c r="D25" i="183" s="1"/>
  <c r="D26" i="183" s="1"/>
  <c r="D27" i="183" s="1"/>
  <c r="D28" i="183" s="1"/>
  <c r="D29" i="183" s="1"/>
  <c r="D30" i="183" s="1"/>
  <c r="C29" i="183"/>
  <c r="A18" i="183"/>
  <c r="A19" i="183" s="1"/>
  <c r="A20" i="183" s="1"/>
  <c r="A21" i="183" s="1"/>
  <c r="A22" i="183" s="1"/>
  <c r="A23" i="183" s="1"/>
  <c r="A24" i="183" s="1"/>
  <c r="A25" i="183" s="1"/>
  <c r="A26" i="183" s="1"/>
  <c r="A27" i="183" s="1"/>
  <c r="A28" i="183" s="1"/>
  <c r="A29" i="183" s="1"/>
  <c r="A30" i="183" s="1"/>
  <c r="G11" i="182" l="1"/>
  <c r="I11" i="182"/>
  <c r="E9" i="182"/>
  <c r="C9" i="182"/>
  <c r="H209" i="132" l="1"/>
  <c r="H210" i="132" s="1"/>
  <c r="H211" i="132" s="1"/>
  <c r="A209" i="132"/>
  <c r="A210" i="132" s="1"/>
  <c r="G135" i="178" l="1"/>
  <c r="G136" i="178"/>
  <c r="G123" i="178"/>
  <c r="B5" i="178"/>
  <c r="B73" i="178" s="1"/>
  <c r="G250" i="178"/>
  <c r="G247" i="178"/>
  <c r="G237" i="178"/>
  <c r="G216" i="178"/>
  <c r="G213" i="178"/>
  <c r="G203" i="178"/>
  <c r="A195" i="178"/>
  <c r="A196" i="178" s="1"/>
  <c r="A197" i="178" s="1"/>
  <c r="A198" i="178" s="1"/>
  <c r="A199" i="178" s="1"/>
  <c r="A200" i="178" s="1"/>
  <c r="A201" i="178" s="1"/>
  <c r="A202" i="178" s="1"/>
  <c r="A203" i="178" s="1"/>
  <c r="A204" i="178" s="1"/>
  <c r="A205" i="178" s="1"/>
  <c r="A206" i="178" s="1"/>
  <c r="A207" i="178" s="1"/>
  <c r="A208" i="178" s="1"/>
  <c r="A209" i="178" s="1"/>
  <c r="A210" i="178" s="1"/>
  <c r="A211"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J194" i="178"/>
  <c r="J195" i="178" s="1"/>
  <c r="J196" i="178" s="1"/>
  <c r="J197" i="178" s="1"/>
  <c r="J198" i="178" s="1"/>
  <c r="J199" i="178" s="1"/>
  <c r="J200" i="178" s="1"/>
  <c r="J201" i="178" s="1"/>
  <c r="J202" i="178" s="1"/>
  <c r="J203" i="178" s="1"/>
  <c r="J204" i="178" s="1"/>
  <c r="J205" i="178" s="1"/>
  <c r="J206" i="178" s="1"/>
  <c r="J207" i="178" s="1"/>
  <c r="J208" i="178" s="1"/>
  <c r="J209" i="178" s="1"/>
  <c r="J210" i="178" s="1"/>
  <c r="J211" i="178" s="1"/>
  <c r="J212" i="178" s="1"/>
  <c r="J213" i="178" s="1"/>
  <c r="J214" i="178" s="1"/>
  <c r="J215" i="178" s="1"/>
  <c r="J216" i="178" s="1"/>
  <c r="J217" i="178" s="1"/>
  <c r="J218" i="178" s="1"/>
  <c r="J219" i="178" s="1"/>
  <c r="J220" i="178" s="1"/>
  <c r="J221" i="178" s="1"/>
  <c r="J222" i="178" s="1"/>
  <c r="J223" i="178" s="1"/>
  <c r="J224" i="178" s="1"/>
  <c r="J225" i="178" s="1"/>
  <c r="J226" i="178" s="1"/>
  <c r="J227" i="178" s="1"/>
  <c r="J228" i="178" s="1"/>
  <c r="J229" i="178" s="1"/>
  <c r="J230" i="178" s="1"/>
  <c r="J231" i="178" s="1"/>
  <c r="J232" i="178" s="1"/>
  <c r="J233" i="178" s="1"/>
  <c r="J234" i="178" s="1"/>
  <c r="J235" i="178" s="1"/>
  <c r="J236" i="178" s="1"/>
  <c r="J237" i="178" s="1"/>
  <c r="J238" i="178" s="1"/>
  <c r="J239" i="178" s="1"/>
  <c r="J240" i="178" s="1"/>
  <c r="J241" i="178" s="1"/>
  <c r="J242" i="178" s="1"/>
  <c r="J243" i="178" s="1"/>
  <c r="J244" i="178" s="1"/>
  <c r="J245" i="178" s="1"/>
  <c r="J246" i="178" s="1"/>
  <c r="J247" i="178" s="1"/>
  <c r="J248" i="178" s="1"/>
  <c r="J249" i="178" s="1"/>
  <c r="J250" i="178" s="1"/>
  <c r="J251" i="178" s="1"/>
  <c r="J252" i="178" s="1"/>
  <c r="J253" i="178" s="1"/>
  <c r="J254" i="178" s="1"/>
  <c r="J255" i="178" s="1"/>
  <c r="J256" i="178" s="1"/>
  <c r="J257" i="178" s="1"/>
  <c r="J258" i="178" s="1"/>
  <c r="J259" i="178" s="1"/>
  <c r="G170" i="178"/>
  <c r="A120" i="178"/>
  <c r="A121" i="178" s="1"/>
  <c r="A122" i="178" s="1"/>
  <c r="A123" i="178" s="1"/>
  <c r="A124" i="178" s="1"/>
  <c r="A125" i="178" s="1"/>
  <c r="A126" i="178" s="1"/>
  <c r="A127" i="178" s="1"/>
  <c r="A128" i="178" s="1"/>
  <c r="A129" i="178" s="1"/>
  <c r="A130" i="178" s="1"/>
  <c r="A131" i="178" s="1"/>
  <c r="A132" i="178" s="1"/>
  <c r="A133" i="178" s="1"/>
  <c r="A134" i="178" s="1"/>
  <c r="A135" i="178" s="1"/>
  <c r="A136" i="178" s="1"/>
  <c r="A137" i="178" s="1"/>
  <c r="A138" i="178" s="1"/>
  <c r="A139" i="178" s="1"/>
  <c r="A140" i="178" s="1"/>
  <c r="A141" i="178" s="1"/>
  <c r="A142" i="178" s="1"/>
  <c r="A143" i="178" s="1"/>
  <c r="A144" i="178" s="1"/>
  <c r="A145" i="178" s="1"/>
  <c r="A146" i="178" s="1"/>
  <c r="A147" i="178" s="1"/>
  <c r="A148" i="178" s="1"/>
  <c r="A149" i="178" s="1"/>
  <c r="A150" i="178" s="1"/>
  <c r="A151" i="178" s="1"/>
  <c r="A152" i="178" s="1"/>
  <c r="A153" i="178" s="1"/>
  <c r="A154" i="178" s="1"/>
  <c r="A155" i="178" s="1"/>
  <c r="A156" i="178" s="1"/>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19" i="178"/>
  <c r="A118" i="178"/>
  <c r="J117" i="178"/>
  <c r="J118" i="178" s="1"/>
  <c r="J119" i="178" s="1"/>
  <c r="J120" i="178" s="1"/>
  <c r="J121" i="178" s="1"/>
  <c r="J122" i="178" s="1"/>
  <c r="J123" i="178" s="1"/>
  <c r="J124" i="178" s="1"/>
  <c r="J125" i="178" s="1"/>
  <c r="J126" i="178" s="1"/>
  <c r="J127" i="178" s="1"/>
  <c r="J128" i="178" s="1"/>
  <c r="J129" i="178" s="1"/>
  <c r="J130" i="178" s="1"/>
  <c r="J131" i="178" s="1"/>
  <c r="J132" i="178" s="1"/>
  <c r="J133" i="178" s="1"/>
  <c r="J134" i="178" s="1"/>
  <c r="J135" i="178" s="1"/>
  <c r="J136" i="178" s="1"/>
  <c r="J137" i="178" s="1"/>
  <c r="J138" i="178" s="1"/>
  <c r="J139" i="178" s="1"/>
  <c r="J140" i="178" s="1"/>
  <c r="J141" i="178" s="1"/>
  <c r="J142" i="178" s="1"/>
  <c r="J143" i="178" s="1"/>
  <c r="J144" i="178" s="1"/>
  <c r="J145" i="178" s="1"/>
  <c r="J146" i="178" s="1"/>
  <c r="J147" i="178" s="1"/>
  <c r="J148" i="178" s="1"/>
  <c r="J149" i="178" s="1"/>
  <c r="J150" i="178" s="1"/>
  <c r="J151" i="178" s="1"/>
  <c r="J152" i="178" s="1"/>
  <c r="J153" i="178" s="1"/>
  <c r="J154" i="178" s="1"/>
  <c r="J155" i="178" s="1"/>
  <c r="J156" i="178" s="1"/>
  <c r="J157" i="178" s="1"/>
  <c r="J158" i="178" s="1"/>
  <c r="J159" i="178" s="1"/>
  <c r="J160" i="178" s="1"/>
  <c r="J161" i="178" s="1"/>
  <c r="J162" i="178" s="1"/>
  <c r="J163" i="178" s="1"/>
  <c r="J164" i="178" s="1"/>
  <c r="J165" i="178" s="1"/>
  <c r="J166" i="178" s="1"/>
  <c r="J167" i="178" s="1"/>
  <c r="J168" i="178" s="1"/>
  <c r="J169" i="178" s="1"/>
  <c r="J170" i="178" s="1"/>
  <c r="J171" i="178" s="1"/>
  <c r="J172" i="178" s="1"/>
  <c r="J173" i="178" s="1"/>
  <c r="J174" i="178" s="1"/>
  <c r="J175" i="178" s="1"/>
  <c r="J176" i="178" s="1"/>
  <c r="J177" i="178" s="1"/>
  <c r="J178" i="178" s="1"/>
  <c r="J179" i="178" s="1"/>
  <c r="J180" i="178" s="1"/>
  <c r="J181" i="178" s="1"/>
  <c r="J182" i="178" s="1"/>
  <c r="E99" i="178"/>
  <c r="E86" i="178"/>
  <c r="A80" i="178"/>
  <c r="A81" i="178" s="1"/>
  <c r="A82" i="178" s="1"/>
  <c r="A83" i="178" s="1"/>
  <c r="A84" i="178" s="1"/>
  <c r="A85" i="178" s="1"/>
  <c r="A86" i="178" s="1"/>
  <c r="A87" i="178" s="1"/>
  <c r="A88" i="178" s="1"/>
  <c r="A89" i="178" s="1"/>
  <c r="A90" i="178" s="1"/>
  <c r="A91" i="178" s="1"/>
  <c r="A92" i="178" s="1"/>
  <c r="A93" i="178" s="1"/>
  <c r="A94" i="178" s="1"/>
  <c r="A95" i="178" s="1"/>
  <c r="A96" i="178" s="1"/>
  <c r="A97" i="178" s="1"/>
  <c r="A98" i="178" s="1"/>
  <c r="A99" i="178" s="1"/>
  <c r="A100" i="178" s="1"/>
  <c r="A101" i="178" s="1"/>
  <c r="A102" i="178" s="1"/>
  <c r="J79" i="178"/>
  <c r="J80" i="178" s="1"/>
  <c r="J81" i="178" s="1"/>
  <c r="J82" i="178" s="1"/>
  <c r="J83" i="178" s="1"/>
  <c r="J84" i="178" s="1"/>
  <c r="J85" i="178" s="1"/>
  <c r="J86" i="178" s="1"/>
  <c r="J87" i="178" s="1"/>
  <c r="J88" i="178" s="1"/>
  <c r="J89" i="178" s="1"/>
  <c r="J90" i="178" s="1"/>
  <c r="J91" i="178" s="1"/>
  <c r="J92" i="178" s="1"/>
  <c r="J93" i="178" s="1"/>
  <c r="J94" i="178" s="1"/>
  <c r="J95" i="178" s="1"/>
  <c r="J96" i="178" s="1"/>
  <c r="J97" i="178" s="1"/>
  <c r="J98" i="178" s="1"/>
  <c r="J99" i="178" s="1"/>
  <c r="J100" i="178" s="1"/>
  <c r="J101" i="178" s="1"/>
  <c r="J102" i="178" s="1"/>
  <c r="E62" i="178"/>
  <c r="E49" i="178"/>
  <c r="G32" i="178"/>
  <c r="E48" i="178" s="1"/>
  <c r="C61" i="178"/>
  <c r="G25" i="178"/>
  <c r="G17" i="178"/>
  <c r="C60" i="178" s="1"/>
  <c r="A12" i="178"/>
  <c r="A13" i="178" s="1"/>
  <c r="A14" i="178" s="1"/>
  <c r="A15" i="178" s="1"/>
  <c r="A16" i="178" s="1"/>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7" i="178" s="1"/>
  <c r="A38" i="178" s="1"/>
  <c r="A39" i="178" s="1"/>
  <c r="A40" i="178" s="1"/>
  <c r="A41" i="178" s="1"/>
  <c r="A42" i="178" s="1"/>
  <c r="A43" i="178" s="1"/>
  <c r="A44" i="178" s="1"/>
  <c r="A45" i="178" s="1"/>
  <c r="A46" i="178" s="1"/>
  <c r="A47" i="178" s="1"/>
  <c r="A48" i="178" s="1"/>
  <c r="A49" i="178" s="1"/>
  <c r="A50" i="178" s="1"/>
  <c r="A51" i="178" s="1"/>
  <c r="A52" i="178" s="1"/>
  <c r="A53" i="178" s="1"/>
  <c r="A54" i="178" s="1"/>
  <c r="A55" i="178" s="1"/>
  <c r="A56" i="178" s="1"/>
  <c r="A57" i="178" s="1"/>
  <c r="A58" i="178" s="1"/>
  <c r="A59" i="178" s="1"/>
  <c r="A60" i="178" s="1"/>
  <c r="A61" i="178" s="1"/>
  <c r="A62" i="178" s="1"/>
  <c r="A63" i="178" s="1"/>
  <c r="A64" i="178" s="1"/>
  <c r="A65" i="178" s="1"/>
  <c r="J11" i="178"/>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8" i="178" s="1"/>
  <c r="J39" i="178" s="1"/>
  <c r="J40" i="178" s="1"/>
  <c r="J41" i="178" s="1"/>
  <c r="J42" i="178" s="1"/>
  <c r="J43" i="178" s="1"/>
  <c r="J44" i="178" s="1"/>
  <c r="J45" i="178" s="1"/>
  <c r="J46" i="178" s="1"/>
  <c r="J47" i="178" s="1"/>
  <c r="J48" i="178" s="1"/>
  <c r="J49" i="178" s="1"/>
  <c r="J50" i="178" s="1"/>
  <c r="J51" i="178" s="1"/>
  <c r="J52" i="178" s="1"/>
  <c r="J53" i="178" s="1"/>
  <c r="J54" i="178" s="1"/>
  <c r="J55" i="178" s="1"/>
  <c r="J56" i="178" s="1"/>
  <c r="J57" i="178" s="1"/>
  <c r="J58" i="178" s="1"/>
  <c r="J59" i="178" s="1"/>
  <c r="J60" i="178" s="1"/>
  <c r="J61" i="178" s="1"/>
  <c r="J62" i="178" s="1"/>
  <c r="J63" i="178" s="1"/>
  <c r="J64" i="178" s="1"/>
  <c r="J65" i="178" s="1"/>
  <c r="G27" i="178" l="1"/>
  <c r="E84" i="178" s="1"/>
  <c r="C85" i="178"/>
  <c r="C98" i="178"/>
  <c r="G36" i="178"/>
  <c r="G39" i="178" s="1"/>
  <c r="C48" i="178"/>
  <c r="C84" i="178"/>
  <c r="E85" i="178"/>
  <c r="B188" i="178"/>
  <c r="C47" i="178"/>
  <c r="C97" i="178"/>
  <c r="B111" i="178"/>
  <c r="E47" i="178" l="1"/>
  <c r="C99" i="178"/>
  <c r="C86" i="178"/>
  <c r="C62" i="178"/>
  <c r="C49" i="178"/>
  <c r="C87" i="178"/>
  <c r="D84" i="178" s="1"/>
  <c r="C100" i="178" l="1"/>
  <c r="D99" i="178" s="1"/>
  <c r="G99" i="178" s="1"/>
  <c r="G102" i="178" s="1"/>
  <c r="G233" i="178" s="1"/>
  <c r="D85" i="178"/>
  <c r="G85" i="178" s="1"/>
  <c r="C50" i="178"/>
  <c r="D62" i="178" s="1"/>
  <c r="G62" i="178" s="1"/>
  <c r="D86" i="178"/>
  <c r="G86" i="178" s="1"/>
  <c r="G84" i="178"/>
  <c r="C63" i="178"/>
  <c r="H254" i="132"/>
  <c r="A254" i="132"/>
  <c r="H212" i="132"/>
  <c r="A211" i="132"/>
  <c r="A212" i="132" s="1"/>
  <c r="D49" i="178" l="1"/>
  <c r="G49" i="178" s="1"/>
  <c r="D61" i="178"/>
  <c r="G61" i="178" s="1"/>
  <c r="G65" i="178" s="1"/>
  <c r="G156" i="178" s="1"/>
  <c r="D60" i="178"/>
  <c r="D63" i="178" s="1"/>
  <c r="D48" i="178"/>
  <c r="G48" i="178" s="1"/>
  <c r="G52" i="178" s="1"/>
  <c r="G122" i="178" s="1"/>
  <c r="D47" i="178"/>
  <c r="G47" i="178" s="1"/>
  <c r="G50" i="178" s="1"/>
  <c r="G146" i="178" s="1"/>
  <c r="D98" i="178"/>
  <c r="G98" i="178" s="1"/>
  <c r="D97" i="178"/>
  <c r="G97" i="178" s="1"/>
  <c r="H255" i="132"/>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H286" i="132" s="1"/>
  <c r="H287" i="132" s="1"/>
  <c r="A255" i="132"/>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86" i="132" s="1"/>
  <c r="A287" i="132" s="1"/>
  <c r="A213" i="132"/>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A238" i="132" s="1"/>
  <c r="A239" i="132" s="1"/>
  <c r="H213" i="132"/>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H238" i="132" s="1"/>
  <c r="H239" i="132" s="1"/>
  <c r="D87" i="178"/>
  <c r="D50" i="178"/>
  <c r="G89" i="178"/>
  <c r="G199" i="178" s="1"/>
  <c r="G245" i="178"/>
  <c r="G87" i="178"/>
  <c r="G223" i="178" s="1"/>
  <c r="G60" i="178"/>
  <c r="G63" i="178" s="1"/>
  <c r="G180" i="178" s="1"/>
  <c r="H16" i="63"/>
  <c r="H17" i="63"/>
  <c r="H18" i="63" s="1"/>
  <c r="H19" i="63" s="1"/>
  <c r="H20" i="63" s="1"/>
  <c r="H21" i="63" s="1"/>
  <c r="H22" i="63" s="1"/>
  <c r="H23" i="63" s="1"/>
  <c r="H24" i="63" s="1"/>
  <c r="H25" i="63" s="1"/>
  <c r="H26" i="63" s="1"/>
  <c r="H27" i="63" s="1"/>
  <c r="H28" i="63" s="1"/>
  <c r="H29" i="63" s="1"/>
  <c r="A16" i="63"/>
  <c r="A17" i="63" s="1"/>
  <c r="A18" i="63" s="1"/>
  <c r="A19" i="63" s="1"/>
  <c r="A20" i="63" s="1"/>
  <c r="A21" i="63" s="1"/>
  <c r="A22" i="63" s="1"/>
  <c r="A23" i="63" s="1"/>
  <c r="A24" i="63" s="1"/>
  <c r="A25" i="63" s="1"/>
  <c r="A26" i="63" s="1"/>
  <c r="A27" i="63" s="1"/>
  <c r="A28" i="63" s="1"/>
  <c r="A29" i="63" s="1"/>
  <c r="J28" i="48"/>
  <c r="J27" i="48"/>
  <c r="J26" i="48"/>
  <c r="L26" i="48"/>
  <c r="L27" i="48" s="1"/>
  <c r="L28" i="48" s="1"/>
  <c r="L29" i="48" s="1"/>
  <c r="L30" i="48" s="1"/>
  <c r="L31" i="48" s="1"/>
  <c r="L32" i="48" s="1"/>
  <c r="L33" i="48" s="1"/>
  <c r="L34" i="48" s="1"/>
  <c r="L35" i="48" s="1"/>
  <c r="L36" i="48" s="1"/>
  <c r="L37" i="48" s="1"/>
  <c r="L38" i="48" s="1"/>
  <c r="L39" i="48" s="1"/>
  <c r="L40" i="48" s="1"/>
  <c r="A26" i="48"/>
  <c r="A27" i="48" s="1"/>
  <c r="A28" i="48" s="1"/>
  <c r="A29" i="48" s="1"/>
  <c r="A30" i="48" s="1"/>
  <c r="A31" i="48" s="1"/>
  <c r="A32" i="48" s="1"/>
  <c r="A33" i="48" s="1"/>
  <c r="A34" i="48" s="1"/>
  <c r="A35" i="48" s="1"/>
  <c r="A36" i="48" s="1"/>
  <c r="A37" i="48" s="1"/>
  <c r="A38" i="48" s="1"/>
  <c r="A39" i="48" s="1"/>
  <c r="A40" i="48" s="1"/>
  <c r="K26" i="10"/>
  <c r="K25" i="10"/>
  <c r="K24" i="10"/>
  <c r="K27" i="136"/>
  <c r="K26" i="136"/>
  <c r="K25" i="136"/>
  <c r="K27" i="24"/>
  <c r="K26" i="24"/>
  <c r="K25" i="24"/>
  <c r="H14" i="47"/>
  <c r="H15" i="47" s="1"/>
  <c r="H16" i="47" s="1"/>
  <c r="H17" i="47" s="1"/>
  <c r="H18" i="47" s="1"/>
  <c r="H19" i="47" s="1"/>
  <c r="H20" i="47" s="1"/>
  <c r="H21" i="47" s="1"/>
  <c r="H22" i="47" s="1"/>
  <c r="H23" i="47" s="1"/>
  <c r="H24" i="47" s="1"/>
  <c r="H25" i="47" s="1"/>
  <c r="H26" i="47" s="1"/>
  <c r="H27" i="47" s="1"/>
  <c r="A14" i="47"/>
  <c r="A15" i="47" s="1"/>
  <c r="A16" i="47" s="1"/>
  <c r="A17" i="47" s="1"/>
  <c r="A18" i="47" s="1"/>
  <c r="A19" i="47" s="1"/>
  <c r="A20" i="47" s="1"/>
  <c r="A21" i="47" s="1"/>
  <c r="A22" i="47" s="1"/>
  <c r="A23" i="47" s="1"/>
  <c r="A24" i="47" s="1"/>
  <c r="A25" i="47" s="1"/>
  <c r="A26" i="47" s="1"/>
  <c r="A27" i="47" s="1"/>
  <c r="M25" i="24"/>
  <c r="M26" i="24"/>
  <c r="M27" i="24" s="1"/>
  <c r="M28" i="24" s="1"/>
  <c r="M29" i="24" s="1"/>
  <c r="M30" i="24" s="1"/>
  <c r="M31" i="24" s="1"/>
  <c r="M32" i="24" s="1"/>
  <c r="M33" i="24" s="1"/>
  <c r="M34" i="24" s="1"/>
  <c r="M35" i="24" s="1"/>
  <c r="M36" i="24" s="1"/>
  <c r="M37" i="24" s="1"/>
  <c r="M38" i="24" s="1"/>
  <c r="M39" i="24" s="1"/>
  <c r="A25" i="24"/>
  <c r="A26" i="24" s="1"/>
  <c r="A27" i="24" s="1"/>
  <c r="A28" i="24" s="1"/>
  <c r="A29" i="24" s="1"/>
  <c r="A30" i="24" s="1"/>
  <c r="A31" i="24" s="1"/>
  <c r="A32" i="24" s="1"/>
  <c r="A33" i="24" s="1"/>
  <c r="A34" i="24" s="1"/>
  <c r="A35" i="24" s="1"/>
  <c r="A36" i="24" s="1"/>
  <c r="A37" i="24" s="1"/>
  <c r="A38" i="24" s="1"/>
  <c r="A39" i="24" s="1"/>
  <c r="M25" i="136"/>
  <c r="M26" i="136" s="1"/>
  <c r="M27" i="136" s="1"/>
  <c r="M28" i="136" s="1"/>
  <c r="M29" i="136" s="1"/>
  <c r="M30" i="136" s="1"/>
  <c r="M31" i="136" s="1"/>
  <c r="M32" i="136" s="1"/>
  <c r="M33" i="136" s="1"/>
  <c r="M34" i="136" s="1"/>
  <c r="M35" i="136" s="1"/>
  <c r="M36" i="136" s="1"/>
  <c r="M37" i="136" s="1"/>
  <c r="M38" i="136" s="1"/>
  <c r="M39" i="136" s="1"/>
  <c r="A25" i="136"/>
  <c r="A26" i="136" s="1"/>
  <c r="A27" i="136" s="1"/>
  <c r="A28" i="136" s="1"/>
  <c r="A29" i="136" s="1"/>
  <c r="A30" i="136" s="1"/>
  <c r="A31" i="136" s="1"/>
  <c r="A32" i="136" s="1"/>
  <c r="A33" i="136" s="1"/>
  <c r="A34" i="136" s="1"/>
  <c r="A35" i="136" s="1"/>
  <c r="A36" i="136" s="1"/>
  <c r="A37" i="136" s="1"/>
  <c r="A38" i="136" s="1"/>
  <c r="A39" i="136" s="1"/>
  <c r="M24" i="11"/>
  <c r="M25" i="11" s="1"/>
  <c r="M26" i="11" s="1"/>
  <c r="M27" i="11" s="1"/>
  <c r="M28" i="11" s="1"/>
  <c r="M29" i="11" s="1"/>
  <c r="M30" i="11" s="1"/>
  <c r="M31" i="11" s="1"/>
  <c r="M32" i="11" s="1"/>
  <c r="M33" i="11" s="1"/>
  <c r="M34" i="11" s="1"/>
  <c r="M35" i="11" s="1"/>
  <c r="M36" i="11" s="1"/>
  <c r="M37" i="11" s="1"/>
  <c r="M38" i="11" s="1"/>
  <c r="A24" i="11"/>
  <c r="A25" i="11" s="1"/>
  <c r="A26" i="11" s="1"/>
  <c r="A27" i="11" s="1"/>
  <c r="A28" i="11" s="1"/>
  <c r="A29" i="11" s="1"/>
  <c r="A30" i="11" s="1"/>
  <c r="A31" i="11" s="1"/>
  <c r="A32" i="11" s="1"/>
  <c r="A33" i="11" s="1"/>
  <c r="A34" i="11" s="1"/>
  <c r="A35" i="11" s="1"/>
  <c r="A36" i="11" s="1"/>
  <c r="A37" i="11" s="1"/>
  <c r="A38" i="11" s="1"/>
  <c r="M24" i="10"/>
  <c r="M25" i="10"/>
  <c r="M26" i="10" s="1"/>
  <c r="M27" i="10" s="1"/>
  <c r="M28" i="10" s="1"/>
  <c r="M29" i="10" s="1"/>
  <c r="M30" i="10" s="1"/>
  <c r="M31" i="10" s="1"/>
  <c r="M32" i="10" s="1"/>
  <c r="M33" i="10" s="1"/>
  <c r="M34" i="10" s="1"/>
  <c r="M35" i="10" s="1"/>
  <c r="M36" i="10" s="1"/>
  <c r="M37" i="10" s="1"/>
  <c r="M38" i="10" s="1"/>
  <c r="A35" i="10"/>
  <c r="A36" i="10" s="1"/>
  <c r="A37" i="10" s="1"/>
  <c r="A38" i="10" s="1"/>
  <c r="A24" i="10"/>
  <c r="A25" i="10"/>
  <c r="A26" i="10" s="1"/>
  <c r="A27" i="10" s="1"/>
  <c r="A28" i="10" s="1"/>
  <c r="A29" i="10" s="1"/>
  <c r="A30" i="10" s="1"/>
  <c r="A31" i="10" s="1"/>
  <c r="A32" i="10" s="1"/>
  <c r="A33" i="10" s="1"/>
  <c r="A34" i="10" s="1"/>
  <c r="E22" i="42"/>
  <c r="G100" i="178" l="1"/>
  <c r="G257" i="178" s="1"/>
  <c r="D100" i="178"/>
  <c r="G168" i="178"/>
  <c r="G134" i="178"/>
  <c r="G211" i="178"/>
  <c r="H288" i="132"/>
  <c r="A288" i="132"/>
  <c r="A289" i="132" l="1"/>
  <c r="A290" i="132" s="1"/>
  <c r="A291" i="132" s="1"/>
  <c r="A292" i="132" s="1"/>
  <c r="A293" i="132" s="1"/>
  <c r="A294" i="132" s="1"/>
  <c r="A295" i="132" s="1"/>
  <c r="A296" i="132" s="1"/>
  <c r="A297" i="132" s="1"/>
  <c r="A298" i="132" s="1"/>
  <c r="A299" i="132" s="1"/>
  <c r="H289" i="132"/>
  <c r="H290" i="132" s="1"/>
  <c r="H291" i="132" s="1"/>
  <c r="H292" i="132" s="1"/>
  <c r="H293" i="132" s="1"/>
  <c r="H294" i="132" s="1"/>
  <c r="H295" i="132" s="1"/>
  <c r="H296" i="132" s="1"/>
  <c r="H297" i="132" s="1"/>
  <c r="H298" i="132" s="1"/>
  <c r="H299" i="132" s="1"/>
  <c r="F24" i="171"/>
  <c r="E14" i="42" l="1"/>
  <c r="E59" i="41"/>
  <c r="E17" i="184" s="1"/>
  <c r="F35" i="140" l="1"/>
  <c r="E20" i="42" l="1"/>
  <c r="X17" i="79" l="1"/>
  <c r="X19" i="79"/>
  <c r="K24" i="24" l="1"/>
  <c r="K28" i="24"/>
  <c r="K29" i="24"/>
  <c r="K30" i="24"/>
  <c r="K31" i="24"/>
  <c r="K32" i="24"/>
  <c r="K33" i="24"/>
  <c r="K34" i="24"/>
  <c r="K35" i="24"/>
  <c r="Y11" i="79" l="1"/>
  <c r="Y12" i="79" s="1"/>
  <c r="Y13" i="79" s="1"/>
  <c r="Y14" i="79" s="1"/>
  <c r="Y15" i="79" s="1"/>
  <c r="Y16" i="79" s="1"/>
  <c r="Y17" i="79" s="1"/>
  <c r="U15" i="79" l="1"/>
  <c r="V15" i="79"/>
  <c r="W15" i="79"/>
  <c r="S15" i="79"/>
  <c r="L15" i="79"/>
  <c r="G15" i="79"/>
  <c r="H15" i="79"/>
  <c r="I15" i="79"/>
  <c r="J15" i="79"/>
  <c r="K15" i="79"/>
  <c r="F15" i="79"/>
  <c r="B11" i="79"/>
  <c r="T15" i="79" l="1"/>
  <c r="X13" i="79"/>
  <c r="X10" i="79" l="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39" i="42" l="1"/>
  <c r="E19" i="42" s="1"/>
  <c r="E47" i="42" l="1"/>
  <c r="P30" i="173"/>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9" i="48"/>
  <c r="H30" i="48"/>
  <c r="H31" i="48"/>
  <c r="H32" i="48"/>
  <c r="H33" i="48"/>
  <c r="H34" i="48"/>
  <c r="H35" i="48"/>
  <c r="H36" i="48"/>
  <c r="J27" i="173" l="1"/>
  <c r="X26" i="79"/>
  <c r="H18" i="48" l="1"/>
  <c r="H19" i="48"/>
  <c r="H20" i="48"/>
  <c r="H21" i="48"/>
  <c r="H17" i="48"/>
  <c r="H16" i="48"/>
  <c r="E20" i="40"/>
  <c r="E24" i="42" l="1"/>
  <c r="E21" i="42" l="1"/>
  <c r="E18" i="42"/>
  <c r="E14" i="153" l="1"/>
  <c r="D34" i="86" l="1"/>
  <c r="D17" i="86"/>
  <c r="F23" i="140" l="1"/>
  <c r="G23" i="140"/>
  <c r="H23" i="140" l="1"/>
  <c r="E119" i="144"/>
  <c r="E68" i="144"/>
  <c r="E187" i="144"/>
  <c r="E186" i="144"/>
  <c r="E148" i="144"/>
  <c r="E144" i="144"/>
  <c r="B49" i="144"/>
  <c r="E38" i="144"/>
  <c r="E37" i="144"/>
  <c r="E85" i="144" l="1"/>
  <c r="E19" i="41"/>
  <c r="E15" i="41"/>
  <c r="E21" i="113" l="1"/>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33" i="113" s="1"/>
  <c r="C29" i="113"/>
  <c r="X33"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B26" i="109" l="1"/>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F217"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F214"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C21" i="153" s="1"/>
  <c r="F37" i="173"/>
  <c r="E21" i="153" s="1"/>
  <c r="G42" i="173"/>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G30" i="174" l="1"/>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F124"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F19" i="42"/>
  <c r="F16" i="42"/>
  <c r="E24" i="40" s="1"/>
  <c r="D26" i="42"/>
  <c r="F24" i="42"/>
  <c r="F23" i="42"/>
  <c r="F21" i="42"/>
  <c r="F20" i="42"/>
  <c r="F18" i="42"/>
  <c r="F17" i="42"/>
  <c r="F15" i="42"/>
  <c r="F13" i="42"/>
  <c r="F12" i="42"/>
  <c r="A12" i="42"/>
  <c r="A13" i="42" s="1"/>
  <c r="A14" i="42" s="1"/>
  <c r="A15" i="42" s="1"/>
  <c r="A16" i="42" s="1"/>
  <c r="H11" i="42"/>
  <c r="H12" i="42" s="1"/>
  <c r="H13" i="42" s="1"/>
  <c r="H14" i="42" s="1"/>
  <c r="H15" i="42" s="1"/>
  <c r="H16" i="42" s="1"/>
  <c r="H17" i="42" s="1"/>
  <c r="H18" i="42" s="1"/>
  <c r="H19" i="42" s="1"/>
  <c r="F11" i="42"/>
  <c r="A17" i="42" l="1"/>
  <c r="A18" i="42" s="1"/>
  <c r="K31" i="173"/>
  <c r="M27" i="173"/>
  <c r="M31" i="173" s="1"/>
  <c r="N27" i="173"/>
  <c r="N31" i="173" s="1"/>
  <c r="M40" i="173"/>
  <c r="N40" i="173"/>
  <c r="I21" i="152"/>
  <c r="I25" i="152" s="1"/>
  <c r="G35" i="152"/>
  <c r="I28" i="151"/>
  <c r="I33" i="151" s="1"/>
  <c r="M42" i="171"/>
  <c r="N42" i="171"/>
  <c r="D42" i="173"/>
  <c r="E37" i="173"/>
  <c r="E42" i="173" s="1"/>
  <c r="E44" i="173" s="1"/>
  <c r="K34" i="173"/>
  <c r="K24" i="173"/>
  <c r="F22" i="42"/>
  <c r="E26" i="42"/>
  <c r="E19" i="40" s="1"/>
  <c r="F14" i="42"/>
  <c r="F26" i="42" l="1"/>
  <c r="N44" i="171"/>
  <c r="I62" i="171"/>
  <c r="L62" i="171" s="1"/>
  <c r="M44" i="171"/>
  <c r="H62" i="171"/>
  <c r="K62" i="171" s="1"/>
  <c r="M34" i="173"/>
  <c r="M37" i="173" s="1"/>
  <c r="M42" i="173" s="1"/>
  <c r="N34" i="173"/>
  <c r="N37" i="173" s="1"/>
  <c r="N42" i="173" s="1"/>
  <c r="N45" i="171"/>
  <c r="G14" i="151"/>
  <c r="D44" i="173"/>
  <c r="E14" i="151"/>
  <c r="K37" i="173"/>
  <c r="K42" i="173" s="1"/>
  <c r="A19" i="42"/>
  <c r="A20" i="42" s="1"/>
  <c r="A21" i="42" s="1"/>
  <c r="A22" i="42" s="1"/>
  <c r="A23" i="42" s="1"/>
  <c r="A24" i="42" s="1"/>
  <c r="H20" i="42"/>
  <c r="H21" i="42" s="1"/>
  <c r="H22" i="42" s="1"/>
  <c r="H23" i="42" s="1"/>
  <c r="H24" i="42" s="1"/>
  <c r="H25" i="42" s="1"/>
  <c r="H26" i="42" s="1"/>
  <c r="H27" i="42" s="1"/>
  <c r="H28" i="42" s="1"/>
  <c r="H29" i="42" s="1"/>
  <c r="H30" i="42" l="1"/>
  <c r="H31" i="42" s="1"/>
  <c r="H32" i="42" s="1"/>
  <c r="N44" i="173"/>
  <c r="I62" i="173"/>
  <c r="L62" i="173" s="1"/>
  <c r="M44" i="173"/>
  <c r="H62" i="173"/>
  <c r="K62" i="173" s="1"/>
  <c r="I14" i="151"/>
  <c r="G18" i="151"/>
  <c r="K44" i="173"/>
  <c r="G26" i="42"/>
  <c r="A25" i="42"/>
  <c r="A26" i="42" s="1"/>
  <c r="A27" i="42" s="1"/>
  <c r="A28" i="42" s="1"/>
  <c r="A29" i="42" s="1"/>
  <c r="H33" i="42" l="1"/>
  <c r="H34" i="42" s="1"/>
  <c r="H35" i="42" s="1"/>
  <c r="H36" i="42" s="1"/>
  <c r="H37" i="42" s="1"/>
  <c r="H38" i="42" s="1"/>
  <c r="H39" i="42" s="1"/>
  <c r="H40" i="42" s="1"/>
  <c r="H41" i="42" s="1"/>
  <c r="H42" i="42" s="1"/>
  <c r="H45" i="42" s="1"/>
  <c r="H46" i="42" s="1"/>
  <c r="H47" i="42" s="1"/>
  <c r="H48" i="42" s="1"/>
  <c r="H49" i="42" s="1"/>
  <c r="H50" i="42" s="1"/>
  <c r="H51" i="42" s="1"/>
  <c r="H52" i="42" s="1"/>
  <c r="H53" i="42" s="1"/>
  <c r="A30" i="42"/>
  <c r="A31" i="42" s="1"/>
  <c r="A32" i="42" s="1"/>
  <c r="E21" i="151"/>
  <c r="E25" i="151" s="1"/>
  <c r="G21" i="151"/>
  <c r="G25" i="151" s="1"/>
  <c r="G35" i="151" s="1"/>
  <c r="N45" i="173" s="1"/>
  <c r="I13" i="151"/>
  <c r="A33" i="42" l="1"/>
  <c r="A34" i="42" s="1"/>
  <c r="A35" i="42" s="1"/>
  <c r="A36" i="42" s="1"/>
  <c r="A37" i="42" s="1"/>
  <c r="A38" i="42" s="1"/>
  <c r="A39" i="42" s="1"/>
  <c r="A40" i="42" s="1"/>
  <c r="A41" i="42" s="1"/>
  <c r="A42" i="42" s="1"/>
  <c r="A45" i="42" s="1"/>
  <c r="A46" i="42" s="1"/>
  <c r="A47" i="42" s="1"/>
  <c r="A48" i="42" s="1"/>
  <c r="A49" i="42" s="1"/>
  <c r="A50" i="42" s="1"/>
  <c r="A51" i="42" s="1"/>
  <c r="A52" i="42" s="1"/>
  <c r="A53" i="42" s="1"/>
  <c r="I21" i="15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P47" i="79"/>
  <c r="P46" i="79"/>
  <c r="O46" i="79"/>
  <c r="P45" i="79"/>
  <c r="P44" i="79"/>
  <c r="O44" i="79"/>
  <c r="P43" i="79"/>
  <c r="P42" i="79"/>
  <c r="O42" i="79"/>
  <c r="P38" i="79"/>
  <c r="W35" i="79"/>
  <c r="V35" i="79"/>
  <c r="U35" i="79"/>
  <c r="T35" i="79"/>
  <c r="S35" i="79"/>
  <c r="R35" i="79"/>
  <c r="L35" i="79"/>
  <c r="K35" i="79"/>
  <c r="J35" i="79"/>
  <c r="I35" i="79"/>
  <c r="H35" i="79"/>
  <c r="G35" i="79"/>
  <c r="F35" i="79"/>
  <c r="X32" i="79"/>
  <c r="X35" i="79" s="1"/>
  <c r="E21" i="77" s="1"/>
  <c r="Q32" i="79"/>
  <c r="W30" i="79"/>
  <c r="V30" i="79"/>
  <c r="U30" i="79"/>
  <c r="T30" i="79"/>
  <c r="S30" i="79"/>
  <c r="L30" i="79"/>
  <c r="K30" i="79"/>
  <c r="J30" i="79"/>
  <c r="I30" i="79"/>
  <c r="H30" i="79"/>
  <c r="G30" i="79"/>
  <c r="F30" i="79"/>
  <c r="X28" i="79"/>
  <c r="R28" i="79"/>
  <c r="Q28" i="79"/>
  <c r="P28" i="79"/>
  <c r="X27" i="79"/>
  <c r="R27" i="79"/>
  <c r="Q27" i="79"/>
  <c r="P27" i="79"/>
  <c r="X25" i="79"/>
  <c r="R25" i="79"/>
  <c r="Q25" i="79"/>
  <c r="P25" i="79"/>
  <c r="X24" i="79"/>
  <c r="R24" i="79"/>
  <c r="Q24" i="79"/>
  <c r="P24" i="79"/>
  <c r="X23" i="79"/>
  <c r="R23" i="79"/>
  <c r="Q23" i="79"/>
  <c r="P23" i="79"/>
  <c r="X22" i="79"/>
  <c r="R22" i="79"/>
  <c r="Q22" i="79"/>
  <c r="P22" i="79"/>
  <c r="X21" i="79"/>
  <c r="R21" i="79"/>
  <c r="Q21" i="79"/>
  <c r="P21" i="79"/>
  <c r="X20" i="79"/>
  <c r="R20" i="79"/>
  <c r="Q20" i="79"/>
  <c r="P20" i="79"/>
  <c r="R19" i="79"/>
  <c r="Q19" i="79"/>
  <c r="P19" i="79"/>
  <c r="R17" i="79"/>
  <c r="Q17" i="79"/>
  <c r="P17" i="79"/>
  <c r="X12" i="79"/>
  <c r="B12" i="79"/>
  <c r="X11" i="79"/>
  <c r="O11" i="79"/>
  <c r="M11" i="79"/>
  <c r="Y8" i="79"/>
  <c r="R8" i="79"/>
  <c r="Q8" i="79"/>
  <c r="P8" i="79"/>
  <c r="O8" i="79"/>
  <c r="Y7" i="79"/>
  <c r="Q7" i="79"/>
  <c r="P7" i="79"/>
  <c r="O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N23" i="140" l="1"/>
  <c r="N24" i="140" s="1"/>
  <c r="N25" i="140" s="1"/>
  <c r="N26" i="140" s="1"/>
  <c r="N27" i="140" s="1"/>
  <c r="N28" i="140" s="1"/>
  <c r="N29" i="140" s="1"/>
  <c r="N30" i="140" s="1"/>
  <c r="N31" i="140" s="1"/>
  <c r="N32" i="140" s="1"/>
  <c r="N33" i="140" s="1"/>
  <c r="N34" i="140" s="1"/>
  <c r="N35" i="140" s="1"/>
  <c r="C34" i="140"/>
  <c r="C16" i="142"/>
  <c r="X15" i="79"/>
  <c r="B13" i="79"/>
  <c r="O13" i="79" s="1"/>
  <c r="M12" i="79"/>
  <c r="U38" i="79"/>
  <c r="X30" i="79"/>
  <c r="E19" i="77" s="1"/>
  <c r="L38" i="79"/>
  <c r="H38" i="79"/>
  <c r="S38" i="79"/>
  <c r="F38" i="79"/>
  <c r="J38" i="79"/>
  <c r="W38" i="79"/>
  <c r="G38" i="79"/>
  <c r="K38" i="79"/>
  <c r="H34" i="140"/>
  <c r="H25" i="140"/>
  <c r="H29" i="140"/>
  <c r="H24" i="140"/>
  <c r="H33" i="140"/>
  <c r="H26" i="140"/>
  <c r="H32" i="140"/>
  <c r="H27" i="140"/>
  <c r="O12" i="79"/>
  <c r="V38" i="79"/>
  <c r="C29" i="140"/>
  <c r="H30" i="140"/>
  <c r="I38" i="79"/>
  <c r="T38" i="79"/>
  <c r="C25" i="140"/>
  <c r="H28" i="140"/>
  <c r="H31" i="140"/>
  <c r="C16" i="141"/>
  <c r="G16" i="141"/>
  <c r="H16" i="141" s="1"/>
  <c r="C33" i="140"/>
  <c r="C24" i="140"/>
  <c r="C28" i="140"/>
  <c r="C32" i="140"/>
  <c r="C27" i="140"/>
  <c r="C31" i="140"/>
  <c r="C26" i="140"/>
  <c r="C30" i="140"/>
  <c r="M13" i="79" l="1"/>
  <c r="B14" i="79"/>
  <c r="X38" i="79"/>
  <c r="H35" i="140"/>
  <c r="C17" i="141"/>
  <c r="C21" i="141"/>
  <c r="C25" i="141"/>
  <c r="C18" i="141"/>
  <c r="C22" i="141"/>
  <c r="C26" i="141"/>
  <c r="C19" i="141"/>
  <c r="C23" i="141"/>
  <c r="C27" i="141"/>
  <c r="C20" i="141"/>
  <c r="C24" i="141"/>
  <c r="F17" i="141"/>
  <c r="B15" i="79" l="1"/>
  <c r="M15" i="79" s="1"/>
  <c r="M14" i="79"/>
  <c r="O14" i="79"/>
  <c r="G17" i="141"/>
  <c r="B16" i="79" l="1"/>
  <c r="M16" i="79" s="1"/>
  <c r="O15" i="79"/>
  <c r="H17" i="141"/>
  <c r="B17" i="79" l="1"/>
  <c r="O16" i="79"/>
  <c r="F18" i="141"/>
  <c r="M17" i="79" l="1"/>
  <c r="O17" i="79"/>
  <c r="G18" i="141"/>
  <c r="H18" i="141" l="1"/>
  <c r="F19" i="141" l="1"/>
  <c r="G19" i="141" s="1"/>
  <c r="H19" i="141" l="1"/>
  <c r="F20" i="141" l="1"/>
  <c r="G20" i="141"/>
  <c r="H20" i="141" l="1"/>
  <c r="F21" i="141" l="1"/>
  <c r="G21" i="141" l="1"/>
  <c r="H21" i="141" s="1"/>
  <c r="F22" i="141" l="1"/>
  <c r="G22" i="141" l="1"/>
  <c r="H22" i="141" s="1"/>
  <c r="F23" i="141" l="1"/>
  <c r="G23" i="141" s="1"/>
  <c r="H23" i="141" l="1"/>
  <c r="F24" i="141" l="1"/>
  <c r="G24" i="141"/>
  <c r="H24" i="141" l="1"/>
  <c r="F25" i="141" l="1"/>
  <c r="G25" i="141" l="1"/>
  <c r="H25" i="141" s="1"/>
  <c r="F26" i="141" l="1"/>
  <c r="G26" i="141" l="1"/>
  <c r="H26" i="141" s="1"/>
  <c r="F27" i="141" l="1"/>
  <c r="G27" i="141" s="1"/>
  <c r="G28" i="141" s="1"/>
  <c r="H27" i="141" l="1"/>
  <c r="B5" i="133" l="1"/>
  <c r="B5" i="22"/>
  <c r="I14" i="9"/>
  <c r="I15" i="9" s="1"/>
  <c r="I16" i="9" s="1"/>
  <c r="I17" i="9" s="1"/>
  <c r="I18" i="9" s="1"/>
  <c r="I19" i="9" s="1"/>
  <c r="I20" i="9" s="1"/>
  <c r="I21" i="9" s="1"/>
  <c r="I22" i="9" s="1"/>
  <c r="I23" i="9" s="1"/>
  <c r="I24" i="9" s="1"/>
  <c r="I25" i="9" s="1"/>
  <c r="I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s="1"/>
  <c r="D16" i="142"/>
  <c r="D37" i="82"/>
  <c r="F26" i="82"/>
  <c r="C33" i="153"/>
  <c r="E33" i="153"/>
  <c r="G28" i="153"/>
  <c r="C25" i="153"/>
  <c r="E25" i="153"/>
  <c r="G21" i="153"/>
  <c r="G17" i="153"/>
  <c r="G16" i="153"/>
  <c r="G14" i="153"/>
  <c r="E18" i="153"/>
  <c r="C18" i="153"/>
  <c r="E13" i="74"/>
  <c r="E35" i="144" s="1"/>
  <c r="E28" i="73"/>
  <c r="E31" i="73" s="1"/>
  <c r="C28" i="73"/>
  <c r="C31" i="73" s="1"/>
  <c r="C27" i="71"/>
  <c r="C30" i="71" s="1"/>
  <c r="C29" i="70"/>
  <c r="C32" i="70" s="1"/>
  <c r="E36" i="69"/>
  <c r="F28" i="63"/>
  <c r="D28" i="63"/>
  <c r="D15" i="59"/>
  <c r="J36" i="48"/>
  <c r="J35" i="48"/>
  <c r="J34" i="48"/>
  <c r="J33" i="48"/>
  <c r="J32" i="48"/>
  <c r="J31" i="48"/>
  <c r="J30" i="48"/>
  <c r="J29" i="48"/>
  <c r="J25" i="48"/>
  <c r="J21" i="48"/>
  <c r="J20" i="48"/>
  <c r="J19" i="48"/>
  <c r="J18" i="48"/>
  <c r="J17" i="48"/>
  <c r="J16" i="48"/>
  <c r="I38" i="48"/>
  <c r="H38" i="48"/>
  <c r="G38" i="48"/>
  <c r="F38" i="48"/>
  <c r="E38" i="48"/>
  <c r="D38" i="48"/>
  <c r="E23" i="45"/>
  <c r="E25" i="45" s="1"/>
  <c r="E18" i="40"/>
  <c r="E22" i="40" s="1"/>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s="1"/>
  <c r="I11" i="22" s="1"/>
  <c r="E172" i="144" s="1"/>
  <c r="C28" i="23"/>
  <c r="C31" i="23" s="1"/>
  <c r="C19" i="13"/>
  <c r="C19" i="3"/>
  <c r="E29" i="12"/>
  <c r="E32" i="12" s="1"/>
  <c r="C29" i="12"/>
  <c r="C32" i="12" s="1"/>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s="1"/>
  <c r="F28" i="9"/>
  <c r="F31" i="9" s="1"/>
  <c r="I21" i="191" s="1"/>
  <c r="E20" i="8"/>
  <c r="C20" i="8"/>
  <c r="E28" i="4"/>
  <c r="E31" i="4" s="1"/>
  <c r="C28" i="4"/>
  <c r="C31" i="4" s="1"/>
  <c r="G17" i="186" l="1"/>
  <c r="G17" i="69"/>
  <c r="G12" i="156"/>
  <c r="E16" i="156"/>
  <c r="G16" i="156" s="1"/>
  <c r="E20" i="156"/>
  <c r="G20" i="156" s="1"/>
  <c r="E18" i="156"/>
  <c r="G18" i="156" s="1"/>
  <c r="G14" i="156"/>
  <c r="E39" i="184"/>
  <c r="E26" i="40"/>
  <c r="I35" i="191"/>
  <c r="I43" i="191" s="1"/>
  <c r="I31" i="191"/>
  <c r="I45" i="191" s="1"/>
  <c r="F28" i="82"/>
  <c r="D43" i="41"/>
  <c r="D39" i="136"/>
  <c r="F38" i="10"/>
  <c r="J38" i="48"/>
  <c r="E35" i="117"/>
  <c r="C35" i="153"/>
  <c r="E35" i="153"/>
  <c r="E35" i="151"/>
  <c r="M45" i="173" s="1"/>
  <c r="C35" i="152"/>
  <c r="C35" i="151"/>
  <c r="E35" i="152"/>
  <c r="M45" i="171" s="1"/>
  <c r="G14" i="157"/>
  <c r="F15" i="157"/>
  <c r="K21" i="11"/>
  <c r="K22" i="24"/>
  <c r="K37" i="24"/>
  <c r="J23" i="48"/>
  <c r="K36" i="10"/>
  <c r="K36" i="11"/>
  <c r="F41" i="41"/>
  <c r="K22" i="136"/>
  <c r="K37" i="136"/>
  <c r="G18" i="153"/>
  <c r="E12" i="40" l="1"/>
  <c r="E12" i="184"/>
  <c r="E19" i="184" s="1"/>
  <c r="G22" i="156"/>
  <c r="E16" i="137" s="1"/>
  <c r="G28" i="189"/>
  <c r="G29" i="189" s="1"/>
  <c r="G17" i="188" s="1"/>
  <c r="E29" i="189"/>
  <c r="E17" i="188" s="1"/>
  <c r="G23" i="189"/>
  <c r="G24" i="189" s="1"/>
  <c r="G15" i="188" s="1"/>
  <c r="E24" i="189"/>
  <c r="E15" i="188" s="1"/>
  <c r="G13" i="189"/>
  <c r="G14" i="189" s="1"/>
  <c r="G11" i="188" s="1"/>
  <c r="E14" i="189"/>
  <c r="E11" i="188" s="1"/>
  <c r="G18" i="189"/>
  <c r="G19" i="189" s="1"/>
  <c r="G13" i="188" s="1"/>
  <c r="E19" i="189"/>
  <c r="E13" i="188" s="1"/>
  <c r="J40" i="48"/>
  <c r="E14" i="75"/>
  <c r="K38" i="11"/>
  <c r="K39" i="24"/>
  <c r="G15" i="157"/>
  <c r="F16" i="157"/>
  <c r="K39" i="13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6" i="132"/>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H339" i="132" s="1"/>
  <c r="H340" i="132" s="1"/>
  <c r="A317" i="132"/>
  <c r="A318" i="132" s="1"/>
  <c r="A319" i="132" s="1"/>
  <c r="A320" i="132" s="1"/>
  <c r="A321" i="132" s="1"/>
  <c r="A322" i="132" s="1"/>
  <c r="A323" i="132" s="1"/>
  <c r="A324" i="132" s="1"/>
  <c r="H167" i="132"/>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90" i="132" s="1"/>
  <c r="H191" i="132" s="1"/>
  <c r="H112" i="132"/>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150" i="132" s="1"/>
  <c r="H151" i="132" s="1"/>
  <c r="H56" i="132"/>
  <c r="H57" i="132" s="1"/>
  <c r="H58" i="132" s="1"/>
  <c r="H59" i="132" s="1"/>
  <c r="H60" i="132" s="1"/>
  <c r="H61" i="132" s="1"/>
  <c r="H62" i="132" s="1"/>
  <c r="H63" i="132" s="1"/>
  <c r="H64" i="132" s="1"/>
  <c r="H65" i="132" s="1"/>
  <c r="H66" i="132" s="1"/>
  <c r="H67" i="132" s="1"/>
  <c r="H68" i="132" s="1"/>
  <c r="H69" i="132" s="1"/>
  <c r="H70" i="132" s="1"/>
  <c r="H71"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A168" i="132"/>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90" i="132" s="1"/>
  <c r="A191" i="132" s="1"/>
  <c r="A113" i="132"/>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50" i="132" s="1"/>
  <c r="A151"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B50" i="13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D11" i="86"/>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F204" i="82"/>
  <c r="I196" i="82"/>
  <c r="I197" i="82" s="1"/>
  <c r="I198" i="82" s="1"/>
  <c r="I199" i="82" s="1"/>
  <c r="I200" i="82" s="1"/>
  <c r="I201" i="82" s="1"/>
  <c r="I202" i="82" s="1"/>
  <c r="I203" i="82" s="1"/>
  <c r="I204" i="82" s="1"/>
  <c r="I205" i="82" s="1"/>
  <c r="I206" i="82" s="1"/>
  <c r="I207" i="82" s="1"/>
  <c r="I208" i="82" s="1"/>
  <c r="I209" i="82" s="1"/>
  <c r="I210" i="82" s="1"/>
  <c r="I211" i="82" s="1"/>
  <c r="I212" i="82" s="1"/>
  <c r="A196" i="82"/>
  <c r="A197" i="82" s="1"/>
  <c r="A198" i="82" s="1"/>
  <c r="A199" i="82" s="1"/>
  <c r="A200" i="82" s="1"/>
  <c r="A201" i="82" s="1"/>
  <c r="A202" i="82" s="1"/>
  <c r="A203" i="82" s="1"/>
  <c r="A204" i="82" s="1"/>
  <c r="A205" i="82" s="1"/>
  <c r="A206" i="82" s="1"/>
  <c r="A207" i="82" s="1"/>
  <c r="A208" i="82" s="1"/>
  <c r="A209" i="82" s="1"/>
  <c r="A210" i="82" s="1"/>
  <c r="A211" i="82" s="1"/>
  <c r="A212" i="82" s="1"/>
  <c r="I107" i="82"/>
  <c r="I108" i="82" s="1"/>
  <c r="I109" i="82" s="1"/>
  <c r="I110" i="82" s="1"/>
  <c r="I111" i="82" s="1"/>
  <c r="I112" i="82" s="1"/>
  <c r="I113" i="82" s="1"/>
  <c r="I114" i="82" s="1"/>
  <c r="I115" i="82" s="1"/>
  <c r="I116" i="82" s="1"/>
  <c r="I117" i="82" s="1"/>
  <c r="I118" i="82" s="1"/>
  <c r="I119" i="82" s="1"/>
  <c r="I120" i="82" s="1"/>
  <c r="I121" i="82" s="1"/>
  <c r="I122" i="82" s="1"/>
  <c r="I123" i="82" s="1"/>
  <c r="A107" i="82"/>
  <c r="A108" i="82" s="1"/>
  <c r="A109" i="82" s="1"/>
  <c r="A110" i="82" s="1"/>
  <c r="A111" i="82" s="1"/>
  <c r="A112" i="82" s="1"/>
  <c r="A113" i="82" s="1"/>
  <c r="A114" i="82" s="1"/>
  <c r="A115" i="82" s="1"/>
  <c r="A116" i="82" s="1"/>
  <c r="A117" i="82" s="1"/>
  <c r="A118" i="82" s="1"/>
  <c r="A119" i="82" s="1"/>
  <c r="A120" i="82" s="1"/>
  <c r="A121" i="82" s="1"/>
  <c r="A122" i="82" s="1"/>
  <c r="A123" i="82" s="1"/>
  <c r="D74" i="82"/>
  <c r="A12" i="82"/>
  <c r="A13" i="82" s="1"/>
  <c r="A14" i="82" s="1"/>
  <c r="I11" i="82"/>
  <c r="I12" i="82" s="1"/>
  <c r="I13" i="82" s="1"/>
  <c r="I14" i="82" s="1"/>
  <c r="B5" i="82"/>
  <c r="B62" i="82" s="1"/>
  <c r="P5" i="79"/>
  <c r="P4" i="79"/>
  <c r="P3" i="79"/>
  <c r="P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51" i="132" s="1"/>
  <c r="E86"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21" i="69"/>
  <c r="A14" i="71"/>
  <c r="A15" i="71" s="1"/>
  <c r="A16" i="71" s="1"/>
  <c r="A17" i="71" s="1"/>
  <c r="A18" i="71" s="1"/>
  <c r="A19" i="71" s="1"/>
  <c r="A20" i="71" s="1"/>
  <c r="A21" i="71" s="1"/>
  <c r="A22" i="71" s="1"/>
  <c r="A23" i="71" s="1"/>
  <c r="A24" i="71" s="1"/>
  <c r="A25" i="71" s="1"/>
  <c r="A26" i="71" s="1"/>
  <c r="A27" i="71" s="1"/>
  <c r="A28" i="71" s="1"/>
  <c r="A29" i="71" s="1"/>
  <c r="A30" i="71" s="1"/>
  <c r="A31" i="71" s="1"/>
  <c r="E14" i="71"/>
  <c r="E15" i="71" s="1"/>
  <c r="E16" i="71" s="1"/>
  <c r="E17" i="71" s="1"/>
  <c r="E18" i="71" s="1"/>
  <c r="E19" i="71" s="1"/>
  <c r="E20" i="71" s="1"/>
  <c r="E21" i="71" s="1"/>
  <c r="E22" i="71" s="1"/>
  <c r="E23" i="71" s="1"/>
  <c r="E24" i="71" s="1"/>
  <c r="E25" i="71" s="1"/>
  <c r="E26" i="71" s="1"/>
  <c r="E27" i="71" s="1"/>
  <c r="E28" i="71" s="1"/>
  <c r="E29" i="71" s="1"/>
  <c r="E30" i="71" s="1"/>
  <c r="E31" i="71" s="1"/>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J11" i="69"/>
  <c r="J12" i="69" s="1"/>
  <c r="B5" i="69"/>
  <c r="A12" i="66"/>
  <c r="H11" i="66"/>
  <c r="H12" i="66" s="1"/>
  <c r="B5" i="66"/>
  <c r="A18" i="64"/>
  <c r="E17" i="64"/>
  <c r="E18" i="64" s="1"/>
  <c r="A18" i="65"/>
  <c r="E17" i="65"/>
  <c r="E18" i="65" s="1"/>
  <c r="E29" i="46"/>
  <c r="E55" i="144" s="1"/>
  <c r="A15" i="63"/>
  <c r="H14" i="63"/>
  <c r="H15"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G20" i="49"/>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46" i="49" s="1"/>
  <c r="G47" i="49" s="1"/>
  <c r="G48" i="49" s="1"/>
  <c r="G49" i="49" s="1"/>
  <c r="I23" i="48"/>
  <c r="I40" i="48" s="1"/>
  <c r="H23" i="48"/>
  <c r="H40" i="48" s="1"/>
  <c r="G23" i="48"/>
  <c r="G40" i="48" s="1"/>
  <c r="F23" i="48"/>
  <c r="F40" i="48" s="1"/>
  <c r="E23" i="48"/>
  <c r="E40" i="48" s="1"/>
  <c r="D23" i="48"/>
  <c r="D40" i="48" s="1"/>
  <c r="D26" i="47" s="1"/>
  <c r="A17" i="48"/>
  <c r="A18" i="48" s="1"/>
  <c r="A19" i="48" s="1"/>
  <c r="A20" i="48" s="1"/>
  <c r="A21" i="48" s="1"/>
  <c r="A22" i="48" s="1"/>
  <c r="A23" i="48" s="1"/>
  <c r="A24" i="48" s="1"/>
  <c r="A25" i="48" s="1"/>
  <c r="L16" i="48"/>
  <c r="L17" i="48" s="1"/>
  <c r="L18" i="48" s="1"/>
  <c r="L19" i="48" s="1"/>
  <c r="L20" i="48" s="1"/>
  <c r="L21" i="48" s="1"/>
  <c r="L22" i="48" s="1"/>
  <c r="L23" i="48" s="1"/>
  <c r="L24" i="48" s="1"/>
  <c r="L25" i="48" s="1"/>
  <c r="A13" i="47"/>
  <c r="H12" i="47"/>
  <c r="H13"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24"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6" i="69"/>
  <c r="E34" i="69" s="1"/>
  <c r="E38" i="69" s="1"/>
  <c r="A12" i="40"/>
  <c r="A13" i="40" s="1"/>
  <c r="A14" i="40" s="1"/>
  <c r="A15" i="40" s="1"/>
  <c r="A16" i="40" s="1"/>
  <c r="H11" i="40"/>
  <c r="H12" i="40" s="1"/>
  <c r="H13"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90"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7" i="24"/>
  <c r="J22" i="24"/>
  <c r="J39" i="24" s="1"/>
  <c r="I22" i="24"/>
  <c r="H22" i="24"/>
  <c r="H39" i="24" s="1"/>
  <c r="G22" i="24"/>
  <c r="G39" i="24" s="1"/>
  <c r="F22" i="24"/>
  <c r="F39" i="24" s="1"/>
  <c r="E22" i="24"/>
  <c r="E39" i="24" s="1"/>
  <c r="D22" i="24"/>
  <c r="D39" i="24" s="1"/>
  <c r="A17" i="24"/>
  <c r="A18" i="24" s="1"/>
  <c r="A19" i="24" s="1"/>
  <c r="A20" i="24" s="1"/>
  <c r="A21" i="24" s="1"/>
  <c r="A22" i="24" s="1"/>
  <c r="A23" i="24" s="1"/>
  <c r="A24" i="24" s="1"/>
  <c r="M16" i="24"/>
  <c r="M17" i="24" s="1"/>
  <c r="M18" i="24" s="1"/>
  <c r="M19" i="24" s="1"/>
  <c r="M20" i="24" s="1"/>
  <c r="M21" i="24" s="1"/>
  <c r="M22" i="24" s="1"/>
  <c r="M23" i="24" s="1"/>
  <c r="M24" i="24" s="1"/>
  <c r="J22" i="136"/>
  <c r="J39" i="136" s="1"/>
  <c r="I22" i="136"/>
  <c r="I39" i="136" s="1"/>
  <c r="H22" i="136"/>
  <c r="H39" i="136" s="1"/>
  <c r="G22" i="136"/>
  <c r="G39" i="136" s="1"/>
  <c r="F22" i="136"/>
  <c r="F39" i="136" s="1"/>
  <c r="E22" i="136"/>
  <c r="E39" i="136" s="1"/>
  <c r="A17" i="136"/>
  <c r="A18" i="136" s="1"/>
  <c r="A19" i="136" s="1"/>
  <c r="A20" i="136" s="1"/>
  <c r="A21" i="136" s="1"/>
  <c r="A22" i="136" s="1"/>
  <c r="A23" i="136" s="1"/>
  <c r="A24" i="136" s="1"/>
  <c r="M16" i="136"/>
  <c r="M17" i="136" s="1"/>
  <c r="M18" i="136" s="1"/>
  <c r="M19" i="136" s="1"/>
  <c r="M20" i="136" s="1"/>
  <c r="M21" i="136" s="1"/>
  <c r="M22" i="136" s="1"/>
  <c r="M23" i="136" s="1"/>
  <c r="M24"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9"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6" i="11"/>
  <c r="E36" i="11"/>
  <c r="J21" i="11"/>
  <c r="J38" i="11" s="1"/>
  <c r="I21" i="11"/>
  <c r="I38" i="11" s="1"/>
  <c r="H21" i="11"/>
  <c r="H38" i="11" s="1"/>
  <c r="G21" i="11"/>
  <c r="G38" i="11" s="1"/>
  <c r="F21" i="11"/>
  <c r="E21" i="11"/>
  <c r="D21" i="11"/>
  <c r="D38" i="11" s="1"/>
  <c r="A16" i="11"/>
  <c r="A17" i="11" s="1"/>
  <c r="A18" i="11" s="1"/>
  <c r="A19" i="11" s="1"/>
  <c r="A20" i="11" s="1"/>
  <c r="A21" i="11" s="1"/>
  <c r="A22" i="11" s="1"/>
  <c r="A23" i="11" s="1"/>
  <c r="M15" i="11"/>
  <c r="M16" i="11" s="1"/>
  <c r="M17" i="11" s="1"/>
  <c r="M18" i="11" s="1"/>
  <c r="M19" i="11" s="1"/>
  <c r="M20" i="11" s="1"/>
  <c r="M21" i="11" s="1"/>
  <c r="M22" i="11" s="1"/>
  <c r="M23" i="11" s="1"/>
  <c r="H36" i="10"/>
  <c r="G36" i="10"/>
  <c r="J21" i="10"/>
  <c r="J38" i="10" s="1"/>
  <c r="I21" i="10"/>
  <c r="I38" i="10" s="1"/>
  <c r="H21" i="10"/>
  <c r="G21" i="10"/>
  <c r="E21" i="10"/>
  <c r="E38" i="10" s="1"/>
  <c r="K16" i="10"/>
  <c r="A16" i="10"/>
  <c r="A17" i="10" s="1"/>
  <c r="A18" i="10" s="1"/>
  <c r="A19" i="10" s="1"/>
  <c r="A20" i="10" s="1"/>
  <c r="A21" i="10" s="1"/>
  <c r="A22" i="10" s="1"/>
  <c r="A23" i="10" s="1"/>
  <c r="M15" i="10"/>
  <c r="M16" i="10" s="1"/>
  <c r="M17" i="10" s="1"/>
  <c r="M18" i="10" s="1"/>
  <c r="M19" i="10" s="1"/>
  <c r="M20" i="10" s="1"/>
  <c r="M21" i="10" s="1"/>
  <c r="M22" i="10" s="1"/>
  <c r="M23" i="10" s="1"/>
  <c r="K15" i="10"/>
  <c r="I21" i="2"/>
  <c r="A15" i="9"/>
  <c r="A16" i="9" s="1"/>
  <c r="A17" i="9" s="1"/>
  <c r="A18" i="9" s="1"/>
  <c r="A19" i="9" s="1"/>
  <c r="A20" i="9" s="1"/>
  <c r="A21" i="9" s="1"/>
  <c r="A22" i="9" s="1"/>
  <c r="A23" i="9" s="1"/>
  <c r="A24" i="9" s="1"/>
  <c r="A25" i="9" s="1"/>
  <c r="A26" i="9" s="1"/>
  <c r="A27" i="9" s="1"/>
  <c r="A28" i="9" s="1"/>
  <c r="A29" i="9" s="1"/>
  <c r="A30" i="9" s="1"/>
  <c r="A31" i="9" s="1"/>
  <c r="A32" i="9" s="1"/>
  <c r="I27" i="9"/>
  <c r="I28" i="9" s="1"/>
  <c r="I29" i="9" s="1"/>
  <c r="I30" i="9" s="1"/>
  <c r="I31" i="9" s="1"/>
  <c r="I32" i="9" s="1"/>
  <c r="A16" i="8"/>
  <c r="A17" i="8" s="1"/>
  <c r="A18" i="8" s="1"/>
  <c r="A19" i="8" s="1"/>
  <c r="A20" i="8" s="1"/>
  <c r="A21" i="8" s="1"/>
  <c r="G18" i="8"/>
  <c r="G19" i="8" s="1"/>
  <c r="G20" i="8" s="1"/>
  <c r="G21" i="8" s="1"/>
  <c r="E28" i="7"/>
  <c r="E31" i="7" s="1"/>
  <c r="I17" i="2" s="1"/>
  <c r="E42"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40"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J11" i="133"/>
  <c r="J12" i="133" s="1"/>
  <c r="J13" i="133" s="1"/>
  <c r="J14" i="133" s="1"/>
  <c r="J15" i="133" s="1"/>
  <c r="J16" i="133" s="1"/>
  <c r="J17" i="133" s="1"/>
  <c r="J18" i="133" s="1"/>
  <c r="J19" i="133" s="1"/>
  <c r="J20" i="133" s="1"/>
  <c r="B245" i="132"/>
  <c r="B161" i="132"/>
  <c r="E147" i="132"/>
  <c r="E135" i="132"/>
  <c r="E121" i="132"/>
  <c r="B106" i="132"/>
  <c r="E69" i="132"/>
  <c r="E56" i="132"/>
  <c r="E39" i="132"/>
  <c r="E35" i="132"/>
  <c r="E15" i="132"/>
  <c r="A57" i="132"/>
  <c r="A58" i="132" s="1"/>
  <c r="A59" i="132" s="1"/>
  <c r="A60" i="132" s="1"/>
  <c r="A61" i="132" s="1"/>
  <c r="A62" i="132" s="1"/>
  <c r="A63" i="132" s="1"/>
  <c r="A64" i="132" s="1"/>
  <c r="A65" i="132" s="1"/>
  <c r="A66" i="132" s="1"/>
  <c r="A67" i="132" s="1"/>
  <c r="A68" i="132" s="1"/>
  <c r="E15" i="77"/>
  <c r="D19" i="142"/>
  <c r="D27" i="142"/>
  <c r="A12" i="74"/>
  <c r="A13" i="74" s="1"/>
  <c r="H11" i="74"/>
  <c r="H12" i="74" s="1"/>
  <c r="H13" i="74" s="1"/>
  <c r="F26" i="47"/>
  <c r="E11" i="46" s="1"/>
  <c r="D23" i="142"/>
  <c r="C18" i="142"/>
  <c r="D73" i="82"/>
  <c r="D38" i="10"/>
  <c r="H38" i="10"/>
  <c r="G13" i="34"/>
  <c r="E20" i="66"/>
  <c r="E22" i="66" s="1"/>
  <c r="I33" i="2"/>
  <c r="I19" i="2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H63" i="41" l="1"/>
  <c r="H64" i="41" s="1"/>
  <c r="H65" i="41" s="1"/>
  <c r="H66" i="41" s="1"/>
  <c r="H67" i="41" s="1"/>
  <c r="H68" i="41" s="1"/>
  <c r="H69" i="41" s="1"/>
  <c r="H70" i="41" s="1"/>
  <c r="H71" i="41" s="1"/>
  <c r="H72" i="41" s="1"/>
  <c r="H73" i="41" s="1"/>
  <c r="F85" i="82"/>
  <c r="C75" i="82"/>
  <c r="I15" i="82"/>
  <c r="I16" i="82" s="1"/>
  <c r="I17" i="82" s="1"/>
  <c r="I18" i="82" s="1"/>
  <c r="I19" i="82" s="1"/>
  <c r="I20" i="82" s="1"/>
  <c r="I21" i="82" s="1"/>
  <c r="I22" i="82" s="1"/>
  <c r="I23" i="82" s="1"/>
  <c r="I24" i="82" s="1"/>
  <c r="I25" i="82" s="1"/>
  <c r="I26" i="82" s="1"/>
  <c r="I27" i="82" s="1"/>
  <c r="I28" i="82" s="1"/>
  <c r="I29" i="82" s="1"/>
  <c r="A15" i="82"/>
  <c r="A16" i="82" s="1"/>
  <c r="A17" i="82" s="1"/>
  <c r="A18" i="82" s="1"/>
  <c r="A19" i="82" s="1"/>
  <c r="A20" i="82" s="1"/>
  <c r="A21" i="82" s="1"/>
  <c r="A22" i="82" s="1"/>
  <c r="A23" i="82" s="1"/>
  <c r="A24" i="82" s="1"/>
  <c r="A25" i="82" s="1"/>
  <c r="A26" i="82" s="1"/>
  <c r="A27" i="82" s="1"/>
  <c r="A28" i="82" s="1"/>
  <c r="A29" i="82" s="1"/>
  <c r="F86" i="82"/>
  <c r="F89" i="82" s="1"/>
  <c r="F240" i="82" s="1"/>
  <c r="F49" i="82"/>
  <c r="F52" i="82" s="1"/>
  <c r="F151" i="82" s="1"/>
  <c r="F163" i="82" s="1"/>
  <c r="E11" i="144"/>
  <c r="E22" i="186"/>
  <c r="G19" i="188"/>
  <c r="E16" i="187" s="1"/>
  <c r="E134" i="144" s="1"/>
  <c r="E19" i="188"/>
  <c r="F48" i="82"/>
  <c r="J21" i="133"/>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22" i="133"/>
  <c r="A23" i="133" s="1"/>
  <c r="H34" i="132"/>
  <c r="H35" i="132" s="1"/>
  <c r="A34" i="132"/>
  <c r="A35" i="132" s="1"/>
  <c r="A36" i="132" s="1"/>
  <c r="A69" i="132"/>
  <c r="A70" i="132" s="1"/>
  <c r="A71" i="132" s="1"/>
  <c r="A72" i="132" s="1"/>
  <c r="A73" i="132" s="1"/>
  <c r="A74" i="132" s="1"/>
  <c r="A75" i="132" s="1"/>
  <c r="A76" i="132" s="1"/>
  <c r="A77" i="132" s="1"/>
  <c r="A78" i="132" s="1"/>
  <c r="A79" i="132" s="1"/>
  <c r="A80" i="132" s="1"/>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9" i="132"/>
  <c r="E13" i="133"/>
  <c r="B189" i="82"/>
  <c r="G17" i="86"/>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I21" i="34"/>
  <c r="E126" i="132" s="1"/>
  <c r="E27" i="41"/>
  <c r="E43" i="41" s="1"/>
  <c r="E13" i="40" s="1"/>
  <c r="F24" i="41"/>
  <c r="F27" i="41" s="1"/>
  <c r="F43" i="41" s="1"/>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17" i="86"/>
  <c r="A18" i="86" s="1"/>
  <c r="A19" i="86" s="1"/>
  <c r="A20" i="86" s="1"/>
  <c r="A21" i="86" s="1"/>
  <c r="A22" i="86" s="1"/>
  <c r="A23" i="86" s="1"/>
  <c r="A24" i="86" s="1"/>
  <c r="A25" i="86" s="1"/>
  <c r="A26" i="86" s="1"/>
  <c r="A27" i="86" s="1"/>
  <c r="A28" i="86" s="1"/>
  <c r="A29" i="86" s="1"/>
  <c r="A30" i="86" s="1"/>
  <c r="A31" i="86" s="1"/>
  <c r="A32" i="86" s="1"/>
  <c r="A33" i="86" s="1"/>
  <c r="K21" i="10"/>
  <c r="K38" i="10" s="1"/>
  <c r="E168" i="132"/>
  <c r="E165" i="144"/>
  <c r="E120" i="132"/>
  <c r="E118" i="144"/>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8" i="10"/>
  <c r="K14" i="151"/>
  <c r="K15" i="151" s="1"/>
  <c r="A14" i="151"/>
  <c r="A15" i="151" s="1"/>
  <c r="A14" i="152"/>
  <c r="A15" i="152" s="1"/>
  <c r="A16" i="152" s="1"/>
  <c r="I39" i="24"/>
  <c r="E35" i="119"/>
  <c r="A213" i="82"/>
  <c r="A214" i="82" s="1"/>
  <c r="A215" i="82" s="1"/>
  <c r="A216" i="82" s="1"/>
  <c r="A217" i="82" s="1"/>
  <c r="A218" i="82" s="1"/>
  <c r="A219" i="82" s="1"/>
  <c r="A220" i="82" s="1"/>
  <c r="A221" i="82" s="1"/>
  <c r="A222" i="82" s="1"/>
  <c r="A223" i="82" s="1"/>
  <c r="A224" i="82" s="1"/>
  <c r="A225" i="82" s="1"/>
  <c r="A226" i="82" s="1"/>
  <c r="A227" i="82" s="1"/>
  <c r="A228" i="82" s="1"/>
  <c r="A229" i="82" s="1"/>
  <c r="A230" i="82" s="1"/>
  <c r="A231" i="82" s="1"/>
  <c r="I213" i="82"/>
  <c r="I214" i="82" s="1"/>
  <c r="I215" i="82" s="1"/>
  <c r="I216" i="82" s="1"/>
  <c r="I217" i="82" s="1"/>
  <c r="I218" i="82" s="1"/>
  <c r="I219" i="82" s="1"/>
  <c r="I220" i="82" s="1"/>
  <c r="I221" i="82" s="1"/>
  <c r="I222" i="82" s="1"/>
  <c r="I223" i="82" s="1"/>
  <c r="I224" i="82" s="1"/>
  <c r="I225" i="82" s="1"/>
  <c r="I226" i="82" s="1"/>
  <c r="I227" i="82" s="1"/>
  <c r="I228" i="82" s="1"/>
  <c r="I229" i="82" s="1"/>
  <c r="I230" i="82" s="1"/>
  <c r="I231" i="82" s="1"/>
  <c r="I232" i="82" s="1"/>
  <c r="C27" i="142"/>
  <c r="I27" i="2"/>
  <c r="E45" i="40" s="1"/>
  <c r="D22" i="14"/>
  <c r="C17" i="142"/>
  <c r="A26" i="41"/>
  <c r="A27" i="41" s="1"/>
  <c r="A28" i="41" s="1"/>
  <c r="A29" i="41" s="1"/>
  <c r="A30" i="41" s="1"/>
  <c r="A31" i="41" s="1"/>
  <c r="A32" i="41" s="1"/>
  <c r="A33" i="41" s="1"/>
  <c r="A34" i="41" s="1"/>
  <c r="A35" i="41" s="1"/>
  <c r="A36" i="41" s="1"/>
  <c r="A37" i="41" s="1"/>
  <c r="A38" i="41" s="1"/>
  <c r="A39" i="41" s="1"/>
  <c r="A40" i="41" s="1"/>
  <c r="A41" i="41" s="1"/>
  <c r="G43" i="41" s="1"/>
  <c r="I35" i="2"/>
  <c r="C20" i="142"/>
  <c r="I124" i="82"/>
  <c r="I125" i="82" s="1"/>
  <c r="I126" i="82" s="1"/>
  <c r="I127" i="82" s="1"/>
  <c r="I128" i="82" s="1"/>
  <c r="I129" i="82" s="1"/>
  <c r="I130" i="82" s="1"/>
  <c r="I131" i="82" s="1"/>
  <c r="I132" i="82" s="1"/>
  <c r="I133" i="82" s="1"/>
  <c r="A124" i="82"/>
  <c r="A125" i="82" s="1"/>
  <c r="A126" i="82" s="1"/>
  <c r="A127" i="82" s="1"/>
  <c r="A128" i="82" s="1"/>
  <c r="A129" i="82" s="1"/>
  <c r="A130" i="82" s="1"/>
  <c r="A131" i="82" s="1"/>
  <c r="A132" i="82" s="1"/>
  <c r="A133" i="82" s="1"/>
  <c r="E20" i="118"/>
  <c r="E223" i="132"/>
  <c r="E268" i="132"/>
  <c r="I25" i="2"/>
  <c r="I37" i="2" s="1"/>
  <c r="F38" i="11"/>
  <c r="G24" i="121"/>
  <c r="J24" i="121" s="1"/>
  <c r="N24" i="121" s="1"/>
  <c r="A325" i="132"/>
  <c r="A326" i="132" s="1"/>
  <c r="A327" i="132" s="1"/>
  <c r="A328" i="132" s="1"/>
  <c r="A329" i="132" s="1"/>
  <c r="A330" i="132" s="1"/>
  <c r="A331" i="132" s="1"/>
  <c r="A332" i="132" s="1"/>
  <c r="A333" i="132" s="1"/>
  <c r="A334" i="132" s="1"/>
  <c r="A335" i="132" s="1"/>
  <c r="A336" i="132" s="1"/>
  <c r="A337" i="132" s="1"/>
  <c r="A338" i="132" s="1"/>
  <c r="A339" i="132" s="1"/>
  <c r="A340" i="132" s="1"/>
  <c r="I13" i="22"/>
  <c r="I21" i="22" s="1"/>
  <c r="I23" i="34"/>
  <c r="E36" i="120"/>
  <c r="F24" i="120"/>
  <c r="E36" i="121"/>
  <c r="B100" i="82"/>
  <c r="E81" i="144"/>
  <c r="C24" i="118"/>
  <c r="E18" i="118"/>
  <c r="C22" i="142"/>
  <c r="C19" i="142"/>
  <c r="H11" i="75"/>
  <c r="H12" i="75" s="1"/>
  <c r="H13" i="75" s="1"/>
  <c r="H14" i="75" s="1"/>
  <c r="H15" i="75" s="1"/>
  <c r="H16" i="75" s="1"/>
  <c r="H17" i="75" s="1"/>
  <c r="H18" i="75" s="1"/>
  <c r="H19" i="75" s="1"/>
  <c r="I19" i="2"/>
  <c r="E43" i="40" s="1"/>
  <c r="E38" i="11"/>
  <c r="I15" i="22"/>
  <c r="I23" i="22" s="1"/>
  <c r="I19" i="34"/>
  <c r="I18" i="151"/>
  <c r="I35" i="151" s="1"/>
  <c r="D24" i="118"/>
  <c r="E224" i="132"/>
  <c r="E63" i="41"/>
  <c r="E22" i="118"/>
  <c r="G16" i="157"/>
  <c r="F17" i="157"/>
  <c r="E29" i="2"/>
  <c r="I29" i="2" s="1"/>
  <c r="E46" i="40" s="1"/>
  <c r="C23" i="142"/>
  <c r="E269" i="132"/>
  <c r="D22" i="27"/>
  <c r="F11" i="117"/>
  <c r="G11" i="117"/>
  <c r="D36" i="86"/>
  <c r="E40" i="86" s="1"/>
  <c r="E222" i="132"/>
  <c r="E267" i="132"/>
  <c r="C25" i="142"/>
  <c r="C26" i="142"/>
  <c r="C21" i="142"/>
  <c r="G33" i="153"/>
  <c r="E16" i="75" s="1"/>
  <c r="G25" i="153"/>
  <c r="E82" i="132"/>
  <c r="E24" i="132"/>
  <c r="I18" i="152"/>
  <c r="B104" i="144"/>
  <c r="E15" i="34"/>
  <c r="I15" i="34" s="1"/>
  <c r="E13" i="34"/>
  <c r="I13" i="34" s="1"/>
  <c r="E191" i="132"/>
  <c r="E188" i="144"/>
  <c r="E139" i="144" s="1"/>
  <c r="E17" i="22"/>
  <c r="I17" i="22" s="1"/>
  <c r="I25" i="2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36" i="82"/>
  <c r="E23" i="77"/>
  <c r="E25" i="40"/>
  <c r="E175" i="132"/>
  <c r="F125" i="82"/>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9" i="46"/>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C87" i="82" l="1"/>
  <c r="A37" i="132"/>
  <c r="A38" i="132" s="1"/>
  <c r="A39" i="132" s="1"/>
  <c r="A40" i="132" s="1"/>
  <c r="A41" i="132" s="1"/>
  <c r="H36" i="132"/>
  <c r="H37" i="132" s="1"/>
  <c r="H38" i="132" s="1"/>
  <c r="H39" i="132" s="1"/>
  <c r="H40" i="132" s="1"/>
  <c r="H41" i="132" s="1"/>
  <c r="F36" i="82"/>
  <c r="C50" i="82"/>
  <c r="F71" i="41"/>
  <c r="F72" i="41" s="1"/>
  <c r="E14" i="40" s="1"/>
  <c r="E15" i="40" s="1"/>
  <c r="E24" i="69" s="1"/>
  <c r="E33" i="40"/>
  <c r="E39" i="40" s="1"/>
  <c r="E44" i="184"/>
  <c r="I30" i="82"/>
  <c r="I31" i="82" s="1"/>
  <c r="I32" i="82" s="1"/>
  <c r="I33" i="82" s="1"/>
  <c r="I34" i="82" s="1"/>
  <c r="I35" i="82" s="1"/>
  <c r="I36" i="82" s="1"/>
  <c r="I37" i="82" s="1"/>
  <c r="I38" i="82" s="1"/>
  <c r="I39" i="82" s="1"/>
  <c r="I40" i="82" s="1"/>
  <c r="I41" i="82" s="1"/>
  <c r="I42" i="82" s="1"/>
  <c r="I43" i="82" s="1"/>
  <c r="I44" i="82" s="1"/>
  <c r="I45" i="82" s="1"/>
  <c r="I46" i="82" s="1"/>
  <c r="A30" i="82"/>
  <c r="A31" i="82" s="1"/>
  <c r="A32" i="82" s="1"/>
  <c r="A33" i="82" s="1"/>
  <c r="A34" i="82" s="1"/>
  <c r="A35" i="82" s="1"/>
  <c r="A36" i="82" s="1"/>
  <c r="A37" i="82" s="1"/>
  <c r="A38" i="82" s="1"/>
  <c r="A39" i="82" s="1"/>
  <c r="A40" i="82" s="1"/>
  <c r="A41" i="82" s="1"/>
  <c r="A42" i="82" s="1"/>
  <c r="A43" i="82" s="1"/>
  <c r="A44" i="82" s="1"/>
  <c r="A45" i="82" s="1"/>
  <c r="A46" i="82" s="1"/>
  <c r="A47" i="82" s="1"/>
  <c r="A48" i="82" s="1"/>
  <c r="A81" i="132"/>
  <c r="A82" i="132" s="1"/>
  <c r="F73" i="82"/>
  <c r="F37" i="82"/>
  <c r="F40" i="82" s="1"/>
  <c r="F50" i="82"/>
  <c r="F179" i="82" s="1"/>
  <c r="F74" i="82"/>
  <c r="F77" i="82" s="1"/>
  <c r="F252" i="82"/>
  <c r="I233" i="82"/>
  <c r="I234" i="82" s="1"/>
  <c r="I235" i="82" s="1"/>
  <c r="I236" i="82" s="1"/>
  <c r="I237" i="82" s="1"/>
  <c r="I238" i="82" s="1"/>
  <c r="I239" i="82" s="1"/>
  <c r="I240" i="82" s="1"/>
  <c r="I241" i="82" s="1"/>
  <c r="I242" i="82" s="1"/>
  <c r="I243" i="82" s="1"/>
  <c r="I244" i="82" s="1"/>
  <c r="I245" i="82" s="1"/>
  <c r="I246" i="82" s="1"/>
  <c r="I247" i="82" s="1"/>
  <c r="I248" i="82" s="1"/>
  <c r="I249" i="82" s="1"/>
  <c r="I250" i="82" s="1"/>
  <c r="I251" i="82" s="1"/>
  <c r="I252" i="82" s="1"/>
  <c r="I253" i="82" s="1"/>
  <c r="I254" i="82" s="1"/>
  <c r="I255" i="82" s="1"/>
  <c r="I256" i="82" s="1"/>
  <c r="I257" i="82" s="1"/>
  <c r="I258" i="82" s="1"/>
  <c r="I259" i="82" s="1"/>
  <c r="I260" i="82" s="1"/>
  <c r="I261" i="82" s="1"/>
  <c r="I262" i="82" s="1"/>
  <c r="I263" i="82" s="1"/>
  <c r="I264" i="82" s="1"/>
  <c r="I265" i="82" s="1"/>
  <c r="I266" i="82" s="1"/>
  <c r="I267" i="82" s="1"/>
  <c r="I268" i="82" s="1"/>
  <c r="A232" i="82"/>
  <c r="A233" i="82" s="1"/>
  <c r="A234" i="82" s="1"/>
  <c r="A235" i="82" s="1"/>
  <c r="A236" i="82" s="1"/>
  <c r="A237" i="82" s="1"/>
  <c r="A238" i="82" s="1"/>
  <c r="A239" i="82" s="1"/>
  <c r="A240" i="82" s="1"/>
  <c r="A241" i="82" s="1"/>
  <c r="A242" i="82" s="1"/>
  <c r="A243" i="82" s="1"/>
  <c r="A244" i="82" s="1"/>
  <c r="A245" i="82" s="1"/>
  <c r="A246" i="82" s="1"/>
  <c r="A247" i="82" s="1"/>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F87" i="82"/>
  <c r="F268" i="82" s="1"/>
  <c r="H27" i="40"/>
  <c r="H28" i="40" s="1"/>
  <c r="E124" i="144"/>
  <c r="E120" i="144"/>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2" i="132"/>
  <c r="E142" i="132"/>
  <c r="A134" i="82"/>
  <c r="A135" i="82" s="1"/>
  <c r="A136" i="82" s="1"/>
  <c r="A137" i="82" s="1"/>
  <c r="A138" i="82" s="1"/>
  <c r="I134" i="82"/>
  <c r="I135" i="82" s="1"/>
  <c r="I136" i="82" s="1"/>
  <c r="I137" i="82" s="1"/>
  <c r="I138" i="82" s="1"/>
  <c r="H72" i="132"/>
  <c r="H73" i="132" s="1"/>
  <c r="H74" i="132" s="1"/>
  <c r="H75" i="132" s="1"/>
  <c r="H76" i="132" s="1"/>
  <c r="H77" i="132" s="1"/>
  <c r="H78" i="132" s="1"/>
  <c r="H79" i="132" s="1"/>
  <c r="H80" i="132" s="1"/>
  <c r="H81" i="132" s="1"/>
  <c r="A17" i="40"/>
  <c r="A18" i="40" s="1"/>
  <c r="A19" i="40" s="1"/>
  <c r="G18" i="120"/>
  <c r="J18" i="120" s="1"/>
  <c r="N18" i="120" s="1"/>
  <c r="F13" i="120"/>
  <c r="F29" i="120"/>
  <c r="G21" i="120"/>
  <c r="J21" i="120" s="1"/>
  <c r="N21" i="120" s="1"/>
  <c r="F12" i="120"/>
  <c r="F28" i="120"/>
  <c r="G32" i="120"/>
  <c r="J32" i="120" s="1"/>
  <c r="N32" i="120" s="1"/>
  <c r="F15" i="120"/>
  <c r="I15" i="120" s="1"/>
  <c r="F31" i="120"/>
  <c r="I31" i="120" s="1"/>
  <c r="G23" i="120"/>
  <c r="J23" i="120" s="1"/>
  <c r="N23" i="120" s="1"/>
  <c r="F14" i="120"/>
  <c r="F30" i="120"/>
  <c r="G20" i="120"/>
  <c r="J20" i="120" s="1"/>
  <c r="N20" i="120" s="1"/>
  <c r="F17" i="120"/>
  <c r="F33" i="120"/>
  <c r="I33" i="120" s="1"/>
  <c r="G25" i="120"/>
  <c r="J25" i="120" s="1"/>
  <c r="N25" i="120" s="1"/>
  <c r="F16" i="120"/>
  <c r="I16" i="120" s="1"/>
  <c r="F32" i="120"/>
  <c r="G14" i="120"/>
  <c r="J14" i="120" s="1"/>
  <c r="N14" i="120" s="1"/>
  <c r="F19" i="120"/>
  <c r="F35" i="120"/>
  <c r="G27" i="120"/>
  <c r="J27" i="120" s="1"/>
  <c r="N27" i="120" s="1"/>
  <c r="F18" i="120"/>
  <c r="I18" i="120" s="1"/>
  <c r="F34" i="120"/>
  <c r="H34" i="120" s="1"/>
  <c r="G12" i="120"/>
  <c r="J12" i="120" s="1"/>
  <c r="G22" i="120"/>
  <c r="J22" i="120" s="1"/>
  <c r="N22" i="120" s="1"/>
  <c r="F21" i="120"/>
  <c r="G13" i="120"/>
  <c r="J13" i="120" s="1"/>
  <c r="N13" i="120" s="1"/>
  <c r="G29" i="120"/>
  <c r="J29" i="120" s="1"/>
  <c r="N29" i="120" s="1"/>
  <c r="F20" i="120"/>
  <c r="G24" i="120"/>
  <c r="J24" i="120" s="1"/>
  <c r="N24" i="120" s="1"/>
  <c r="G30" i="120"/>
  <c r="J30" i="120" s="1"/>
  <c r="N30" i="120" s="1"/>
  <c r="F23" i="120"/>
  <c r="H23" i="120" s="1"/>
  <c r="G15" i="120"/>
  <c r="J15" i="120" s="1"/>
  <c r="N15" i="120" s="1"/>
  <c r="G31" i="120"/>
  <c r="J31" i="120" s="1"/>
  <c r="N31" i="120" s="1"/>
  <c r="F22" i="120"/>
  <c r="G16" i="120"/>
  <c r="J16" i="120" s="1"/>
  <c r="N16" i="120" s="1"/>
  <c r="G26" i="120"/>
  <c r="J26" i="120" s="1"/>
  <c r="N26" i="120" s="1"/>
  <c r="F25" i="120"/>
  <c r="I25" i="120" s="1"/>
  <c r="G17" i="120"/>
  <c r="J17" i="120" s="1"/>
  <c r="N17" i="120" s="1"/>
  <c r="G33" i="120"/>
  <c r="J33" i="120" s="1"/>
  <c r="N33" i="120" s="1"/>
  <c r="E148" i="132"/>
  <c r="E145" i="144"/>
  <c r="E143" i="132"/>
  <c r="E140" i="144"/>
  <c r="G22" i="121"/>
  <c r="J22" i="121" s="1"/>
  <c r="N22" i="121" s="1"/>
  <c r="E27" i="40"/>
  <c r="E36" i="132"/>
  <c r="E36" i="144"/>
  <c r="A34" i="86"/>
  <c r="A35" i="86" s="1"/>
  <c r="A36" i="86" s="1"/>
  <c r="A37" i="86" s="1"/>
  <c r="A38" i="86" s="1"/>
  <c r="A39" i="86" s="1"/>
  <c r="A40" i="86" s="1"/>
  <c r="A41" i="86" s="1"/>
  <c r="A42" i="86" s="1"/>
  <c r="A43" i="86" s="1"/>
  <c r="A44" i="86" s="1"/>
  <c r="A45" i="86" s="1"/>
  <c r="A46" i="86" s="1"/>
  <c r="A47" i="86" s="1"/>
  <c r="E178" i="132"/>
  <c r="I39" i="2"/>
  <c r="E177" i="132"/>
  <c r="E176" i="132"/>
  <c r="E47" i="40"/>
  <c r="E169" i="132"/>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I27" i="22"/>
  <c r="D26" i="118"/>
  <c r="E24" i="118"/>
  <c r="E15" i="75"/>
  <c r="E17" i="75" s="1"/>
  <c r="G35" i="153"/>
  <c r="F40" i="86"/>
  <c r="F42" i="86" s="1"/>
  <c r="D42" i="86"/>
  <c r="I35" i="152"/>
  <c r="G11" i="34"/>
  <c r="G17" i="34" s="1"/>
  <c r="E11" i="34"/>
  <c r="G41" i="41"/>
  <c r="I31" i="2"/>
  <c r="I41" i="2"/>
  <c r="G17" i="157"/>
  <c r="F18" i="157"/>
  <c r="E42" i="86"/>
  <c r="H28" i="133"/>
  <c r="H41" i="133" s="1"/>
  <c r="E21" i="46"/>
  <c r="E25" i="46"/>
  <c r="E23" i="46"/>
  <c r="E179" i="144"/>
  <c r="E182" i="132"/>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I20" i="121"/>
  <c r="H20" i="121"/>
  <c r="I34" i="121"/>
  <c r="H34" i="121"/>
  <c r="I32" i="121"/>
  <c r="H32" i="121"/>
  <c r="I30" i="121"/>
  <c r="H30" i="121"/>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23" i="120"/>
  <c r="I14" i="120"/>
  <c r="H14" i="120"/>
  <c r="I22" i="120"/>
  <c r="H22" i="120"/>
  <c r="I30" i="120"/>
  <c r="I26" i="121"/>
  <c r="H26" i="121"/>
  <c r="I24" i="121"/>
  <c r="H24" i="121"/>
  <c r="I35" i="121"/>
  <c r="H35" i="121"/>
  <c r="I22" i="121"/>
  <c r="H22" i="121"/>
  <c r="I33" i="121"/>
  <c r="H33" i="121"/>
  <c r="I13" i="119"/>
  <c r="H13" i="119"/>
  <c r="I22" i="119"/>
  <c r="H22" i="119"/>
  <c r="I13" i="120"/>
  <c r="H13" i="120"/>
  <c r="I28" i="120"/>
  <c r="H28" i="120"/>
  <c r="I23" i="121"/>
  <c r="H23" i="121"/>
  <c r="I14" i="119"/>
  <c r="H14" i="119"/>
  <c r="I21" i="119"/>
  <c r="H21" i="119"/>
  <c r="I33" i="119"/>
  <c r="H33" i="119"/>
  <c r="I17" i="119"/>
  <c r="H17" i="119"/>
  <c r="I31" i="119"/>
  <c r="H31" i="119"/>
  <c r="I26" i="119"/>
  <c r="H26" i="119"/>
  <c r="I34" i="119"/>
  <c r="H34" i="119"/>
  <c r="I17" i="120"/>
  <c r="H16" i="120"/>
  <c r="I24" i="120"/>
  <c r="I32" i="120"/>
  <c r="I31" i="121"/>
  <c r="H31" i="121"/>
  <c r="I18" i="121"/>
  <c r="H18" i="121"/>
  <c r="I29" i="121"/>
  <c r="H29" i="121"/>
  <c r="I16" i="121"/>
  <c r="H16" i="121"/>
  <c r="I27" i="121"/>
  <c r="H27" i="121"/>
  <c r="I14" i="121"/>
  <c r="H14" i="121"/>
  <c r="I25" i="121"/>
  <c r="H25" i="121"/>
  <c r="I12" i="119"/>
  <c r="H12" i="119"/>
  <c r="I18" i="119"/>
  <c r="H18" i="119"/>
  <c r="I11" i="119"/>
  <c r="F35" i="119"/>
  <c r="H11" i="119"/>
  <c r="I19" i="119"/>
  <c r="H19" i="119"/>
  <c r="I20" i="119"/>
  <c r="H20" i="119"/>
  <c r="I28" i="119"/>
  <c r="H28" i="119"/>
  <c r="I19" i="120"/>
  <c r="H19" i="120"/>
  <c r="I27" i="120"/>
  <c r="H27" i="120"/>
  <c r="I35" i="120"/>
  <c r="H35" i="120"/>
  <c r="I26" i="120"/>
  <c r="H26" i="120"/>
  <c r="I15" i="121"/>
  <c r="H15" i="121"/>
  <c r="I12" i="121"/>
  <c r="H12" i="121"/>
  <c r="F36" i="121"/>
  <c r="I28" i="121"/>
  <c r="H28" i="121"/>
  <c r="I21" i="121"/>
  <c r="H21" i="121"/>
  <c r="I19" i="121"/>
  <c r="H19" i="121"/>
  <c r="I17" i="121"/>
  <c r="H17" i="121"/>
  <c r="J12" i="121"/>
  <c r="G36" i="121"/>
  <c r="A63" i="41" l="1"/>
  <c r="A64" i="41" s="1"/>
  <c r="A65" i="41" s="1"/>
  <c r="A66" i="41" s="1"/>
  <c r="A67" i="41" s="1"/>
  <c r="A68" i="41" s="1"/>
  <c r="A69" i="41" s="1"/>
  <c r="A70" i="41" s="1"/>
  <c r="A71" i="41" s="1"/>
  <c r="A72" i="41" s="1"/>
  <c r="A73" i="41" s="1"/>
  <c r="I47" i="82"/>
  <c r="I48" i="82" s="1"/>
  <c r="I49" i="82" s="1"/>
  <c r="I50" i="82" s="1"/>
  <c r="I51" i="82" s="1"/>
  <c r="I52" i="82" s="1"/>
  <c r="A49" i="82"/>
  <c r="A50" i="82" s="1"/>
  <c r="A51" i="82" s="1"/>
  <c r="A52" i="82" s="1"/>
  <c r="E11" i="132"/>
  <c r="E50" i="184"/>
  <c r="E58" i="184" s="1"/>
  <c r="E48" i="184"/>
  <c r="F200" i="82"/>
  <c r="F212" i="82" s="1"/>
  <c r="H29" i="40"/>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18" i="120"/>
  <c r="H31" i="120"/>
  <c r="H12" i="120"/>
  <c r="I34" i="120"/>
  <c r="I269" i="82"/>
  <c r="I270" i="82" s="1"/>
  <c r="I271" i="82" s="1"/>
  <c r="I272" i="82" s="1"/>
  <c r="I69" i="82"/>
  <c r="I70" i="82" s="1"/>
  <c r="I71" i="82" s="1"/>
  <c r="I72" i="82" s="1"/>
  <c r="I73" i="82" s="1"/>
  <c r="I74" i="82" s="1"/>
  <c r="I75" i="82" s="1"/>
  <c r="I76" i="82" s="1"/>
  <c r="I77" i="82" s="1"/>
  <c r="I78" i="82" s="1"/>
  <c r="I79" i="82" s="1"/>
  <c r="I80" i="82" s="1"/>
  <c r="I81" i="82" s="1"/>
  <c r="I82" i="82" s="1"/>
  <c r="I83" i="82" s="1"/>
  <c r="I84" i="82" s="1"/>
  <c r="I85" i="82" s="1"/>
  <c r="I86" i="82" s="1"/>
  <c r="I87" i="82" s="1"/>
  <c r="I88" i="82" s="1"/>
  <c r="I89" i="82" s="1"/>
  <c r="A69" i="82"/>
  <c r="A70" i="82" s="1"/>
  <c r="A71" i="82" s="1"/>
  <c r="A72" i="82" s="1"/>
  <c r="A73" i="82" s="1"/>
  <c r="A74" i="82" s="1"/>
  <c r="A75" i="82" s="1"/>
  <c r="A76" i="82" s="1"/>
  <c r="A77" i="82" s="1"/>
  <c r="A78" i="82" s="1"/>
  <c r="A79" i="82" s="1"/>
  <c r="A80" i="82" s="1"/>
  <c r="A81" i="82" s="1"/>
  <c r="A82" i="82" s="1"/>
  <c r="A83" i="82" s="1"/>
  <c r="A84" i="82" s="1"/>
  <c r="A85" i="82" s="1"/>
  <c r="A86" i="82" s="1"/>
  <c r="A87" i="82" s="1"/>
  <c r="A88" i="82" s="1"/>
  <c r="A89" i="82" s="1"/>
  <c r="I139" i="82"/>
  <c r="I140" i="82" s="1"/>
  <c r="I141" i="82" s="1"/>
  <c r="I142" i="82" s="1"/>
  <c r="I143" i="82" s="1"/>
  <c r="I144" i="82" s="1"/>
  <c r="I145" i="82" s="1"/>
  <c r="I146" i="82" s="1"/>
  <c r="I147" i="82" s="1"/>
  <c r="I148" i="82" s="1"/>
  <c r="I149" i="82" s="1"/>
  <c r="I150" i="82" s="1"/>
  <c r="I151" i="82" s="1"/>
  <c r="I152" i="82" s="1"/>
  <c r="I153" i="82" s="1"/>
  <c r="I154" i="82" s="1"/>
  <c r="I155" i="82" s="1"/>
  <c r="I156" i="82" s="1"/>
  <c r="I157" i="82" s="1"/>
  <c r="I158" i="82" s="1"/>
  <c r="I159" i="82" s="1"/>
  <c r="I160" i="82" s="1"/>
  <c r="I161" i="82" s="1"/>
  <c r="I162" i="82" s="1"/>
  <c r="I163" i="82" s="1"/>
  <c r="I164" i="82" s="1"/>
  <c r="I165" i="82" s="1"/>
  <c r="I166" i="82" s="1"/>
  <c r="I167" i="82" s="1"/>
  <c r="I168" i="82" s="1"/>
  <c r="I169" i="82" s="1"/>
  <c r="I170" i="82" s="1"/>
  <c r="I171" i="82" s="1"/>
  <c r="I172" i="82" s="1"/>
  <c r="I173" i="82" s="1"/>
  <c r="I174" i="82" s="1"/>
  <c r="I175" i="82" s="1"/>
  <c r="I176" i="82" s="1"/>
  <c r="I177" i="82" s="1"/>
  <c r="I178" i="82" s="1"/>
  <c r="I179" i="82" s="1"/>
  <c r="A139" i="82"/>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E141" i="144"/>
  <c r="E111" i="144"/>
  <c r="E146" i="144"/>
  <c r="E113" i="132"/>
  <c r="E144" i="132"/>
  <c r="E59" i="132" s="1"/>
  <c r="E149" i="132"/>
  <c r="E75" i="132" s="1"/>
  <c r="E77" i="132" s="1"/>
  <c r="E183" i="132"/>
  <c r="H33" i="120"/>
  <c r="H32" i="120"/>
  <c r="H24" i="120"/>
  <c r="G36" i="120"/>
  <c r="H25" i="120"/>
  <c r="F36" i="120"/>
  <c r="H30" i="120"/>
  <c r="H17" i="120"/>
  <c r="H15" i="120"/>
  <c r="E176" i="144"/>
  <c r="E179" i="132"/>
  <c r="D26" i="157"/>
  <c r="I43" i="2"/>
  <c r="E35" i="40"/>
  <c r="E170" i="132"/>
  <c r="H25" i="144"/>
  <c r="A25" i="144"/>
  <c r="D44" i="86"/>
  <c r="F111" i="82"/>
  <c r="G28" i="133"/>
  <c r="G41" i="133" s="1"/>
  <c r="E171" i="132"/>
  <c r="I11" i="34"/>
  <c r="I17" i="34" s="1"/>
  <c r="E125" i="132" s="1"/>
  <c r="E17" i="34"/>
  <c r="D13" i="157" s="1"/>
  <c r="I13" i="157" s="1"/>
  <c r="E36" i="40"/>
  <c r="E19" i="75"/>
  <c r="F112" i="82" s="1"/>
  <c r="G18" i="157"/>
  <c r="F19" i="157"/>
  <c r="C38" i="82"/>
  <c r="F38" i="82"/>
  <c r="F139" i="82" s="1"/>
  <c r="F75" i="82"/>
  <c r="F228" i="82" s="1"/>
  <c r="E27" i="46"/>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K29" i="120"/>
  <c r="M29" i="120"/>
  <c r="O29" i="120" s="1"/>
  <c r="K28" i="121"/>
  <c r="M28" i="121"/>
  <c r="O28" i="121" s="1"/>
  <c r="M12" i="119"/>
  <c r="O12" i="119" s="1"/>
  <c r="K12" i="119"/>
  <c r="H11" i="118"/>
  <c r="N45" i="116"/>
  <c r="K12" i="121"/>
  <c r="I36" i="121"/>
  <c r="I46" i="121" s="1"/>
  <c r="M12" i="121"/>
  <c r="H35" i="119"/>
  <c r="M18" i="119"/>
  <c r="O18" i="119" s="1"/>
  <c r="K18" i="119"/>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I36" i="120"/>
  <c r="I46" i="120" s="1"/>
  <c r="M12" i="120"/>
  <c r="M23" i="119"/>
  <c r="O23" i="119" s="1"/>
  <c r="K23" i="119"/>
  <c r="E220" i="132" l="1"/>
  <c r="E265" i="132"/>
  <c r="E60" i="184"/>
  <c r="E40" i="184" s="1"/>
  <c r="E41" i="184" s="1"/>
  <c r="E23" i="186" s="1"/>
  <c r="E25" i="186" s="1"/>
  <c r="E29" i="186" s="1"/>
  <c r="E130" i="144" s="1"/>
  <c r="I45" i="2"/>
  <c r="E63" i="132"/>
  <c r="F123" i="82"/>
  <c r="H36" i="120"/>
  <c r="F243" i="82"/>
  <c r="F270" i="82" s="1"/>
  <c r="A180" i="82"/>
  <c r="A181" i="82" s="1"/>
  <c r="A182" i="82" s="1"/>
  <c r="A183" i="82" s="1"/>
  <c r="I180" i="82"/>
  <c r="I181" i="82" s="1"/>
  <c r="I182" i="82" s="1"/>
  <c r="I183" i="82" s="1"/>
  <c r="A83" i="132"/>
  <c r="F203" i="82"/>
  <c r="F230" i="82" s="1"/>
  <c r="G236" i="178"/>
  <c r="G202" i="178"/>
  <c r="E74" i="144"/>
  <c r="E76" i="144" s="1"/>
  <c r="E70" i="144"/>
  <c r="E62" i="144"/>
  <c r="E58" i="144"/>
  <c r="A26" i="144"/>
  <c r="A27" i="144" s="1"/>
  <c r="A28" i="144" s="1"/>
  <c r="A29" i="144" s="1"/>
  <c r="A30" i="144" s="1"/>
  <c r="A31" i="144" s="1"/>
  <c r="A32" i="144" s="1"/>
  <c r="A33" i="144" s="1"/>
  <c r="A34" i="144" s="1"/>
  <c r="A35" i="144" s="1"/>
  <c r="A36" i="144" s="1"/>
  <c r="A37" i="144" s="1"/>
  <c r="A38" i="144" s="1"/>
  <c r="A39" i="144" s="1"/>
  <c r="A40" i="144" s="1"/>
  <c r="H26" i="144"/>
  <c r="H27" i="144" s="1"/>
  <c r="H28" i="144" s="1"/>
  <c r="H29" i="144" s="1"/>
  <c r="H30" i="144" s="1"/>
  <c r="H31" i="144" s="1"/>
  <c r="H32" i="144" s="1"/>
  <c r="H33" i="144" s="1"/>
  <c r="H34" i="144" s="1"/>
  <c r="H35" i="144" s="1"/>
  <c r="H36" i="144" s="1"/>
  <c r="H37" i="144" s="1"/>
  <c r="H38" i="144" s="1"/>
  <c r="H39" i="144" s="1"/>
  <c r="H40" i="144" s="1"/>
  <c r="E181" i="144"/>
  <c r="E71" i="132"/>
  <c r="E184" i="132"/>
  <c r="E114" i="132"/>
  <c r="E127" i="132"/>
  <c r="E18" i="132"/>
  <c r="C18" i="157"/>
  <c r="H18" i="157" s="1"/>
  <c r="C24" i="157"/>
  <c r="C14" i="157"/>
  <c r="H14" i="157" s="1"/>
  <c r="I14" i="157" s="1"/>
  <c r="C17" i="157"/>
  <c r="H17" i="157" s="1"/>
  <c r="C20" i="157"/>
  <c r="C23" i="157"/>
  <c r="C22" i="157"/>
  <c r="C16" i="157"/>
  <c r="H16" i="157" s="1"/>
  <c r="C19" i="157"/>
  <c r="C15" i="157"/>
  <c r="H15" i="157" s="1"/>
  <c r="C21" i="157"/>
  <c r="C25" i="157"/>
  <c r="E182" i="144"/>
  <c r="E185" i="132"/>
  <c r="E37" i="40"/>
  <c r="E136" i="132"/>
  <c r="A55" i="144"/>
  <c r="A56" i="144" s="1"/>
  <c r="H55" i="144"/>
  <c r="H56" i="144" s="1"/>
  <c r="H57" i="144" s="1"/>
  <c r="H58" i="144" s="1"/>
  <c r="H59" i="144" s="1"/>
  <c r="H60" i="144" s="1"/>
  <c r="H61" i="144" s="1"/>
  <c r="H62" i="144" s="1"/>
  <c r="H63" i="144" s="1"/>
  <c r="H64" i="144" s="1"/>
  <c r="H65" i="144" s="1"/>
  <c r="H66" i="144" s="1"/>
  <c r="H67" i="144" s="1"/>
  <c r="H68" i="144" s="1"/>
  <c r="E172" i="132"/>
  <c r="E28" i="133"/>
  <c r="G19" i="157"/>
  <c r="F20" i="157"/>
  <c r="N45" i="117"/>
  <c r="E169" i="144"/>
  <c r="K47" i="116"/>
  <c r="M35" i="117"/>
  <c r="M45" i="117" s="1"/>
  <c r="O11" i="117"/>
  <c r="O35" i="117" s="1"/>
  <c r="O45" i="117" s="1"/>
  <c r="K36" i="120"/>
  <c r="K46" i="120" s="1"/>
  <c r="J48" i="120" s="1"/>
  <c r="K35" i="117"/>
  <c r="K45" i="117" s="1"/>
  <c r="H15" i="118"/>
  <c r="I11" i="118"/>
  <c r="M36" i="120"/>
  <c r="O12" i="120"/>
  <c r="O36" i="120" s="1"/>
  <c r="O46" i="120" s="1"/>
  <c r="K36" i="121"/>
  <c r="K46" i="121" s="1"/>
  <c r="I48" i="121" s="1"/>
  <c r="N45" i="119"/>
  <c r="H18" i="118"/>
  <c r="M45" i="116"/>
  <c r="M35" i="119"/>
  <c r="O11" i="119"/>
  <c r="O35" i="119" s="1"/>
  <c r="O45" i="119" s="1"/>
  <c r="N46" i="121"/>
  <c r="H22" i="118"/>
  <c r="O12" i="121"/>
  <c r="O36" i="121" s="1"/>
  <c r="O46" i="121" s="1"/>
  <c r="M36" i="121"/>
  <c r="N46" i="120"/>
  <c r="H20" i="118"/>
  <c r="E112" i="144"/>
  <c r="K35" i="119"/>
  <c r="K45" i="119" s="1"/>
  <c r="J47" i="119" s="1"/>
  <c r="E13" i="144" l="1"/>
  <c r="E49" i="40"/>
  <c r="I48" i="120"/>
  <c r="F255" i="82"/>
  <c r="F246" i="82"/>
  <c r="F256" i="82" s="1"/>
  <c r="E209" i="132"/>
  <c r="F206" i="82"/>
  <c r="F215" i="82"/>
  <c r="H82" i="132"/>
  <c r="E254" i="132"/>
  <c r="G214" i="178"/>
  <c r="G205" i="178"/>
  <c r="G215" i="178" s="1"/>
  <c r="G248" i="178"/>
  <c r="G239" i="178"/>
  <c r="G249" i="178" s="1"/>
  <c r="A57" i="144"/>
  <c r="A58" i="144" s="1"/>
  <c r="A59" i="144" s="1"/>
  <c r="A60" i="144" s="1"/>
  <c r="A61" i="144" s="1"/>
  <c r="A62" i="144" s="1"/>
  <c r="A63" i="144" s="1"/>
  <c r="A64" i="144" s="1"/>
  <c r="A65" i="144" s="1"/>
  <c r="A66" i="144" s="1"/>
  <c r="A67" i="144" s="1"/>
  <c r="A68" i="144" s="1"/>
  <c r="A69" i="144" s="1"/>
  <c r="E114" i="144"/>
  <c r="E113" i="144"/>
  <c r="E116" i="132"/>
  <c r="E115" i="132"/>
  <c r="H69" i="144"/>
  <c r="H70" i="144" s="1"/>
  <c r="E183" i="144"/>
  <c r="I15" i="157"/>
  <c r="I16" i="157" s="1"/>
  <c r="I17" i="157" s="1"/>
  <c r="I18" i="157" s="1"/>
  <c r="D14" i="157"/>
  <c r="D15" i="157" s="1"/>
  <c r="D16" i="157" s="1"/>
  <c r="D17" i="157" s="1"/>
  <c r="D18" i="157" s="1"/>
  <c r="D19" i="157" s="1"/>
  <c r="D20" i="157" s="1"/>
  <c r="D21" i="157" s="1"/>
  <c r="D22" i="157" s="1"/>
  <c r="D23" i="157" s="1"/>
  <c r="D24" i="157" s="1"/>
  <c r="D25" i="157" s="1"/>
  <c r="H19" i="157"/>
  <c r="E186" i="132"/>
  <c r="E228" i="132" s="1"/>
  <c r="G20" i="157"/>
  <c r="H20" i="157" s="1"/>
  <c r="F21" i="157"/>
  <c r="N48" i="120"/>
  <c r="O47" i="117"/>
  <c r="O47" i="116"/>
  <c r="J48" i="121"/>
  <c r="K48" i="121" s="1"/>
  <c r="N48" i="121"/>
  <c r="K47" i="117"/>
  <c r="G13" i="118"/>
  <c r="I13" i="118" s="1"/>
  <c r="I15" i="118" s="1"/>
  <c r="H24" i="118"/>
  <c r="H26" i="118" s="1"/>
  <c r="K48" i="120"/>
  <c r="M46" i="121"/>
  <c r="M48" i="121" s="1"/>
  <c r="G22" i="118"/>
  <c r="I22" i="118" s="1"/>
  <c r="G18" i="118"/>
  <c r="M45" i="119"/>
  <c r="M47" i="119" s="1"/>
  <c r="N47" i="119"/>
  <c r="I47" i="119"/>
  <c r="K47" i="119" s="1"/>
  <c r="M46" i="120"/>
  <c r="M48" i="120" s="1"/>
  <c r="G20" i="118"/>
  <c r="I20" i="118" s="1"/>
  <c r="E13" i="66" l="1"/>
  <c r="E15" i="66" s="1"/>
  <c r="E22" i="132" s="1"/>
  <c r="E15" i="195"/>
  <c r="E22" i="144" s="1"/>
  <c r="E131" i="132"/>
  <c r="G15" i="69"/>
  <c r="E130" i="132" s="1"/>
  <c r="G19" i="186"/>
  <c r="E129" i="144" s="1"/>
  <c r="G15" i="186"/>
  <c r="E128" i="144" s="1"/>
  <c r="E28" i="40"/>
  <c r="E30" i="40" s="1"/>
  <c r="E25" i="69" s="1"/>
  <c r="F259" i="82"/>
  <c r="F265" i="82" s="1"/>
  <c r="F264" i="82"/>
  <c r="F216" i="82"/>
  <c r="F224" i="82"/>
  <c r="F219" i="82"/>
  <c r="F222" i="82" s="1"/>
  <c r="H83" i="132"/>
  <c r="H84" i="132" s="1"/>
  <c r="H85" i="132" s="1"/>
  <c r="H86" i="132" s="1"/>
  <c r="H87" i="132" s="1"/>
  <c r="H88" i="132" s="1"/>
  <c r="H89" i="132" s="1"/>
  <c r="H90" i="132" s="1"/>
  <c r="H91" i="132" s="1"/>
  <c r="H92" i="132" s="1"/>
  <c r="H93" i="132" s="1"/>
  <c r="H94" i="132" s="1"/>
  <c r="A84" i="132"/>
  <c r="A85" i="132" s="1"/>
  <c r="A86" i="132" s="1"/>
  <c r="A87" i="132" s="1"/>
  <c r="A88" i="132" s="1"/>
  <c r="A89" i="132" s="1"/>
  <c r="A90" i="132" s="1"/>
  <c r="A91" i="132" s="1"/>
  <c r="A92" i="132" s="1"/>
  <c r="A93" i="132" s="1"/>
  <c r="A94" i="132" s="1"/>
  <c r="A70" i="144"/>
  <c r="A71" i="144" s="1"/>
  <c r="A72" i="144" s="1"/>
  <c r="A73" i="144" s="1"/>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G252" i="178"/>
  <c r="G255" i="178" s="1"/>
  <c r="G259" i="178" s="1"/>
  <c r="E61" i="144" s="1"/>
  <c r="G218" i="178"/>
  <c r="G221" i="178" s="1"/>
  <c r="G225" i="178" s="1"/>
  <c r="E57" i="144" s="1"/>
  <c r="E115" i="144"/>
  <c r="E117" i="132"/>
  <c r="H71" i="144"/>
  <c r="H72" i="144" s="1"/>
  <c r="H73" i="144" s="1"/>
  <c r="H74" i="144" s="1"/>
  <c r="H75" i="144" s="1"/>
  <c r="H76" i="144" s="1"/>
  <c r="H77" i="144" s="1"/>
  <c r="H78" i="144" s="1"/>
  <c r="H79" i="144" s="1"/>
  <c r="E273" i="132"/>
  <c r="I19" i="157"/>
  <c r="I20" i="157" s="1"/>
  <c r="O48" i="120"/>
  <c r="G21" i="157"/>
  <c r="H21" i="157" s="1"/>
  <c r="F22" i="157"/>
  <c r="G15" i="118"/>
  <c r="O48" i="121"/>
  <c r="G24" i="118"/>
  <c r="O47" i="119"/>
  <c r="I18" i="118"/>
  <c r="I24" i="118" s="1"/>
  <c r="I26" i="118" s="1"/>
  <c r="H29" i="118" s="1"/>
  <c r="E232" i="132"/>
  <c r="E287" i="132"/>
  <c r="E27" i="69" l="1"/>
  <c r="E31" i="69" s="1"/>
  <c r="E13" i="132"/>
  <c r="E16" i="144"/>
  <c r="E25" i="144" s="1"/>
  <c r="F266" i="82"/>
  <c r="F262" i="82"/>
  <c r="F272" i="82" s="1"/>
  <c r="E62" i="132" s="1"/>
  <c r="F232" i="82"/>
  <c r="E58" i="132" s="1"/>
  <c r="F225" i="82"/>
  <c r="F226" i="82" s="1"/>
  <c r="E63" i="144"/>
  <c r="E59" i="144"/>
  <c r="H80" i="144"/>
  <c r="H81" i="144" s="1"/>
  <c r="A93" i="144"/>
  <c r="G26" i="118"/>
  <c r="G29" i="118" s="1"/>
  <c r="I21" i="157"/>
  <c r="F23" i="157"/>
  <c r="G22" i="157"/>
  <c r="H22" i="157" s="1"/>
  <c r="E235" i="132"/>
  <c r="E277" i="132"/>
  <c r="E266" i="132" l="1"/>
  <c r="E221" i="132"/>
  <c r="E60" i="132"/>
  <c r="E64" i="132"/>
  <c r="E16" i="132"/>
  <c r="E25" i="132" s="1"/>
  <c r="E131" i="144"/>
  <c r="H82" i="144"/>
  <c r="H83" i="144" s="1"/>
  <c r="H84" i="144" s="1"/>
  <c r="H85" i="144" s="1"/>
  <c r="H86" i="144" s="1"/>
  <c r="H87" i="144" s="1"/>
  <c r="H88" i="144" s="1"/>
  <c r="H89" i="144" s="1"/>
  <c r="H90" i="144" s="1"/>
  <c r="H91" i="144" s="1"/>
  <c r="H92" i="144" s="1"/>
  <c r="H93" i="144" s="1"/>
  <c r="E65" i="144"/>
  <c r="E237" i="132"/>
  <c r="I22" i="157"/>
  <c r="G23" i="157"/>
  <c r="H23" i="157" s="1"/>
  <c r="F24" i="157"/>
  <c r="I29" i="118"/>
  <c r="H32" i="133"/>
  <c r="E280" i="132"/>
  <c r="E66" i="132" l="1"/>
  <c r="E133" i="132"/>
  <c r="E282" i="132"/>
  <c r="I23" i="157"/>
  <c r="G24" i="157"/>
  <c r="H24" i="157" s="1"/>
  <c r="F25" i="157"/>
  <c r="G25" i="157" s="1"/>
  <c r="H25" i="157" s="1"/>
  <c r="G32" i="133"/>
  <c r="E139" i="132" l="1"/>
  <c r="F154" i="82" s="1"/>
  <c r="I24" i="157"/>
  <c r="I25" i="157" s="1"/>
  <c r="E32" i="133"/>
  <c r="E28" i="132" l="1"/>
  <c r="E253" i="132"/>
  <c r="E32" i="132"/>
  <c r="E208" i="132"/>
  <c r="E211" i="132" s="1"/>
  <c r="F114" i="82"/>
  <c r="F117" i="82" s="1"/>
  <c r="F135" i="82" s="1"/>
  <c r="F157" i="82"/>
  <c r="F175" i="82" s="1"/>
  <c r="F166" i="82"/>
  <c r="F181" i="82"/>
  <c r="E256" i="132" l="1"/>
  <c r="F141" i="82"/>
  <c r="F126" i="82"/>
  <c r="F130" i="82" s="1"/>
  <c r="F136" i="82" s="1"/>
  <c r="F137" i="82" s="1"/>
  <c r="F127" i="82"/>
  <c r="F170" i="82"/>
  <c r="F176" i="82" s="1"/>
  <c r="F177" i="82" s="1"/>
  <c r="F167" i="82"/>
  <c r="E123" i="144"/>
  <c r="F133" i="82" l="1"/>
  <c r="F143" i="82" s="1"/>
  <c r="E258" i="132" s="1"/>
  <c r="F173" i="82"/>
  <c r="F183" i="82" s="1"/>
  <c r="E44" i="69" s="1"/>
  <c r="E46" i="69" s="1"/>
  <c r="E17" i="133" s="1"/>
  <c r="E125" i="144"/>
  <c r="E136" i="144" s="1"/>
  <c r="E31" i="132" l="1"/>
  <c r="E87" i="132"/>
  <c r="E295" i="132"/>
  <c r="E297" i="132" s="1"/>
  <c r="E83" i="132"/>
  <c r="E40" i="69"/>
  <c r="E42" i="69" s="1"/>
  <c r="E15" i="133" s="1"/>
  <c r="E72" i="132"/>
  <c r="E73" i="132" s="1"/>
  <c r="E79" i="132" s="1"/>
  <c r="E213" i="132"/>
  <c r="E27" i="132"/>
  <c r="E29" i="132" s="1"/>
  <c r="E289" i="132"/>
  <c r="E28" i="144"/>
  <c r="E32" i="144"/>
  <c r="E260" i="132"/>
  <c r="G159" i="178"/>
  <c r="G162" i="178" s="1"/>
  <c r="G125" i="178"/>
  <c r="G128" i="178" s="1"/>
  <c r="E88" i="132" l="1"/>
  <c r="E33" i="132"/>
  <c r="E84" i="132"/>
  <c r="E215" i="132"/>
  <c r="E216" i="132"/>
  <c r="E90" i="132"/>
  <c r="E92" i="132" s="1"/>
  <c r="E261" i="132"/>
  <c r="E41" i="132"/>
  <c r="E219" i="132" s="1"/>
  <c r="E291" i="132"/>
  <c r="G137" i="178"/>
  <c r="G141" i="178" s="1"/>
  <c r="G138" i="178"/>
  <c r="G171" i="178"/>
  <c r="G175" i="178" s="1"/>
  <c r="G172" i="178"/>
  <c r="E217" i="132" l="1"/>
  <c r="E225" i="132" s="1"/>
  <c r="E262" i="132"/>
  <c r="E270" i="132" s="1"/>
  <c r="E264" i="132"/>
  <c r="E317" i="132"/>
  <c r="E299" i="132"/>
  <c r="G178" i="178"/>
  <c r="G182" i="178" s="1"/>
  <c r="E42" i="186" s="1"/>
  <c r="E44" i="186" s="1"/>
  <c r="G144" i="178"/>
  <c r="G148" i="178" s="1"/>
  <c r="E16" i="142"/>
  <c r="F26" i="142" l="1"/>
  <c r="F18" i="142"/>
  <c r="F17" i="142"/>
  <c r="F16" i="142"/>
  <c r="F25" i="142"/>
  <c r="F24" i="142"/>
  <c r="F23" i="142"/>
  <c r="F27" i="142"/>
  <c r="F22" i="142"/>
  <c r="F21" i="142"/>
  <c r="F20" i="142"/>
  <c r="F19" i="142"/>
  <c r="E226" i="132"/>
  <c r="E230" i="132" s="1"/>
  <c r="E271" i="132"/>
  <c r="E275" i="132" s="1"/>
  <c r="E82" i="144"/>
  <c r="E83" i="144" s="1"/>
  <c r="E38" i="186"/>
  <c r="E40" i="186" s="1"/>
  <c r="E329" i="132"/>
  <c r="E94" i="132"/>
  <c r="E319" i="132"/>
  <c r="E31" i="144"/>
  <c r="E86" i="144"/>
  <c r="E27" i="144"/>
  <c r="E71" i="144"/>
  <c r="H16" i="142"/>
  <c r="E284" i="132" l="1"/>
  <c r="E87" i="144"/>
  <c r="E33" i="144"/>
  <c r="E72" i="144"/>
  <c r="E29" i="144"/>
  <c r="E239" i="132"/>
  <c r="G16" i="142"/>
  <c r="I16" i="142" s="1"/>
  <c r="E17" i="142" s="1"/>
  <c r="E327" i="132" l="1"/>
  <c r="E40" i="144"/>
  <c r="E78" i="144"/>
  <c r="E89" i="144"/>
  <c r="E325" i="132"/>
  <c r="H17" i="142"/>
  <c r="E91" i="144" l="1"/>
  <c r="E33" i="133"/>
  <c r="G17" i="142"/>
  <c r="E93" i="144" l="1"/>
  <c r="E10" i="198" s="1"/>
  <c r="G33" i="133"/>
  <c r="H33" i="133"/>
  <c r="I17" i="142"/>
  <c r="E18" i="142" s="1"/>
  <c r="H18" i="142" s="1"/>
  <c r="E12" i="198" l="1"/>
  <c r="E11" i="198"/>
  <c r="E10" i="140"/>
  <c r="E12"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E13" i="198" l="1"/>
  <c r="D27" i="198" s="1"/>
  <c r="I27" i="198" s="1"/>
  <c r="E11" i="140"/>
  <c r="E13" i="140" s="1"/>
  <c r="D34" i="140" s="1"/>
  <c r="I34" i="140" s="1"/>
  <c r="H26" i="142"/>
  <c r="G26" i="142" s="1"/>
  <c r="I26" i="142" s="1"/>
  <c r="E27" i="142" s="1"/>
  <c r="D32" i="198" l="1"/>
  <c r="I32" i="198" s="1"/>
  <c r="D33" i="198"/>
  <c r="I33" i="198" s="1"/>
  <c r="D31" i="198"/>
  <c r="I31" i="198" s="1"/>
  <c r="D23" i="198"/>
  <c r="I23" i="198" s="1"/>
  <c r="D34" i="198"/>
  <c r="I34" i="198" s="1"/>
  <c r="D28" i="198"/>
  <c r="I28" i="198" s="1"/>
  <c r="D26" i="198"/>
  <c r="I26" i="198" s="1"/>
  <c r="D30" i="198"/>
  <c r="I30" i="198" s="1"/>
  <c r="D25" i="198"/>
  <c r="I25" i="198" s="1"/>
  <c r="D29" i="198"/>
  <c r="I29" i="198" s="1"/>
  <c r="D24" i="198"/>
  <c r="I24" i="198" s="1"/>
  <c r="D31" i="140"/>
  <c r="I31" i="140" s="1"/>
  <c r="D26" i="140"/>
  <c r="I26" i="140" s="1"/>
  <c r="D25" i="140"/>
  <c r="I25" i="140" s="1"/>
  <c r="D27" i="140"/>
  <c r="I27" i="140" s="1"/>
  <c r="D30" i="140"/>
  <c r="I30" i="140" s="1"/>
  <c r="D32" i="140"/>
  <c r="I32" i="140" s="1"/>
  <c r="D24" i="140"/>
  <c r="I24" i="140" s="1"/>
  <c r="D28" i="140"/>
  <c r="I28" i="140" s="1"/>
  <c r="D29" i="140"/>
  <c r="I29" i="140" s="1"/>
  <c r="D23" i="140"/>
  <c r="I23" i="140" s="1"/>
  <c r="K23" i="140" s="1"/>
  <c r="D33" i="140"/>
  <c r="I33" i="140" s="1"/>
  <c r="H27" i="142"/>
  <c r="H28" i="142" s="1"/>
  <c r="D35" i="198" l="1"/>
  <c r="L23" i="198"/>
  <c r="K23" i="198"/>
  <c r="I35" i="198"/>
  <c r="I35" i="140"/>
  <c r="L23" i="140"/>
  <c r="M23" i="140" s="1"/>
  <c r="K24" i="140" s="1"/>
  <c r="L24" i="140" s="1"/>
  <c r="M24" i="140" s="1"/>
  <c r="K25" i="140" s="1"/>
  <c r="L25" i="140" s="1"/>
  <c r="M25" i="140" s="1"/>
  <c r="K26" i="140" s="1"/>
  <c r="L26" i="140" s="1"/>
  <c r="M26" i="140" s="1"/>
  <c r="D35" i="140"/>
  <c r="G27" i="142"/>
  <c r="I27" i="142" s="1"/>
  <c r="D31" i="142"/>
  <c r="E323" i="132" s="1"/>
  <c r="M23" i="198" l="1"/>
  <c r="K24" i="198"/>
  <c r="L24" i="198" s="1"/>
  <c r="K27" i="140"/>
  <c r="L27" i="140" s="1"/>
  <c r="M27" i="140" s="1"/>
  <c r="M24" i="198" l="1"/>
  <c r="K25" i="198" s="1"/>
  <c r="K28" i="140"/>
  <c r="L28" i="140" s="1"/>
  <c r="M28" i="140" s="1"/>
  <c r="K29" i="140" s="1"/>
  <c r="L29" i="140" s="1"/>
  <c r="M29" i="140" s="1"/>
  <c r="K30" i="140" s="1"/>
  <c r="L30" i="140" s="1"/>
  <c r="M30" i="140" s="1"/>
  <c r="L25" i="198" l="1"/>
  <c r="M25" i="198" s="1"/>
  <c r="K31" i="140"/>
  <c r="L31" i="140" s="1"/>
  <c r="M31" i="140" s="1"/>
  <c r="K26" i="198" l="1"/>
  <c r="L26" i="198" s="1"/>
  <c r="K32" i="140"/>
  <c r="L32" i="140" s="1"/>
  <c r="M26" i="198" l="1"/>
  <c r="M32" i="140"/>
  <c r="K27" i="198" l="1"/>
  <c r="L27" i="198" s="1"/>
  <c r="M27" i="198" s="1"/>
  <c r="K33" i="140"/>
  <c r="L33" i="140" s="1"/>
  <c r="M33" i="140" s="1"/>
  <c r="K28" i="198" l="1"/>
  <c r="L28" i="198" s="1"/>
  <c r="M28" i="198" s="1"/>
  <c r="K34" i="140"/>
  <c r="L34" i="140" s="1"/>
  <c r="L35" i="140" s="1"/>
  <c r="K29" i="198" l="1"/>
  <c r="L29" i="198" s="1"/>
  <c r="M29" i="198" s="1"/>
  <c r="M34" i="140"/>
  <c r="K30" i="198" l="1"/>
  <c r="L30" i="198" s="1"/>
  <c r="M30" i="198" s="1"/>
  <c r="D30" i="142"/>
  <c r="D32" i="142" s="1"/>
  <c r="K31" i="198" l="1"/>
  <c r="L31" i="198" s="1"/>
  <c r="M31" i="198" l="1"/>
  <c r="K32" i="198" l="1"/>
  <c r="L32" i="198" s="1"/>
  <c r="M32" i="198" s="1"/>
  <c r="K33" i="198" l="1"/>
  <c r="L33" i="198" s="1"/>
  <c r="M33" i="198" l="1"/>
  <c r="K34" i="198" l="1"/>
  <c r="L34" i="198" s="1"/>
  <c r="L35" i="198" s="1"/>
  <c r="M34" i="198" l="1"/>
  <c r="E321" i="132" s="1"/>
  <c r="E331" i="132" l="1"/>
  <c r="E334" i="132" l="1"/>
  <c r="E11" i="133"/>
  <c r="E333" i="132"/>
  <c r="E336" i="132" l="1"/>
  <c r="E340" i="132" s="1"/>
  <c r="E23" i="133"/>
  <c r="E29" i="133" s="1"/>
  <c r="G29" i="133" l="1"/>
  <c r="E37" i="133"/>
  <c r="H29" i="133"/>
  <c r="H37" i="133" l="1"/>
  <c r="G37" i="133"/>
  <c r="H38" i="133" l="1"/>
  <c r="G38" i="133"/>
  <c r="H39" i="133" l="1"/>
  <c r="E38" i="133"/>
  <c r="G39" i="133"/>
  <c r="H44" i="133"/>
  <c r="G44" i="133" l="1"/>
  <c r="E39" i="133"/>
  <c r="E44" i="133" l="1"/>
</calcChain>
</file>

<file path=xl/sharedStrings.xml><?xml version="1.0" encoding="utf-8"?>
<sst xmlns="http://schemas.openxmlformats.org/spreadsheetml/2006/main" count="6005" uniqueCount="2119">
  <si>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</si>
  <si>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</si>
  <si>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</si>
  <si>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</si>
  <si>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</si>
  <si>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</si>
  <si>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</si>
  <si>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</si>
  <si>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</si>
  <si>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</si>
  <si>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</si>
  <si>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</si>
  <si>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</si>
  <si>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</si>
  <si>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</si>
  <si>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</si>
  <si>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</si>
  <si>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</si>
  <si>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</si>
  <si>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</si>
  <si>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</si>
  <si>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</si>
  <si>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</si>
  <si>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</si>
  <si>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</si>
  <si>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</si>
  <si>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</si>
  <si>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</si>
  <si>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</si>
  <si>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</si>
  <si>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</si>
  <si>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</si>
  <si>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</si>
  <si>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</si>
  <si>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</si>
  <si>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</si>
  <si>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</si>
  <si>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</si>
  <si>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</si>
  <si>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</si>
  <si>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</si>
  <si>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</si>
  <si>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</si>
  <si>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</si>
  <si>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</si>
  <si>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</si>
  <si>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</si>
  <si>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</si>
  <si>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</si>
  <si>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</si>
  <si>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</si>
  <si>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</si>
  <si>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</si>
  <si>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</si>
  <si>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</si>
  <si>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</si>
  <si>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</si>
  <si>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</si>
  <si>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</si>
  <si>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</si>
  <si>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</si>
  <si>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</si>
  <si>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</si>
  <si>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</si>
  <si>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</si>
  <si>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</si>
  <si>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</si>
  <si>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</si>
  <si>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</si>
  <si>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</si>
  <si>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</si>
  <si>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</si>
  <si>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</si>
  <si>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</si>
  <si>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</si>
  <si>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</si>
  <si>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</si>
  <si>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</si>
  <si>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</si>
  <si>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</si>
  <si>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</si>
  <si>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</si>
  <si>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</si>
  <si>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</si>
  <si>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Transmission Related Cash Working Capital</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</si>
  <si>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</si>
  <si>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</si>
  <si>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</si>
  <si>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</si>
  <si>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</si>
  <si>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</si>
  <si>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</si>
  <si>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</si>
  <si>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</si>
  <si>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</si>
  <si>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</si>
  <si>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</si>
  <si>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</si>
  <si>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</si>
  <si>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</si>
  <si>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</si>
  <si>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</si>
  <si>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</si>
  <si>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</si>
  <si>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</si>
  <si>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</si>
  <si>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</si>
  <si>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</si>
  <si>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</si>
  <si>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</si>
  <si>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</si>
  <si>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</si>
  <si>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</si>
  <si>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</si>
  <si>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</si>
  <si>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</si>
  <si>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</si>
  <si>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</si>
  <si>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</si>
  <si>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</si>
  <si>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</si>
  <si>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</si>
  <si>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</si>
  <si>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</si>
  <si>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</si>
  <si>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</si>
  <si>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</si>
  <si>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</si>
  <si>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</si>
  <si>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</si>
  <si>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</si>
  <si>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</si>
  <si>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</si>
  <si>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</si>
  <si>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</si>
  <si>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</si>
  <si>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</si>
  <si>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</si>
  <si>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</si>
  <si>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</si>
  <si>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</si>
  <si>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</si>
  <si>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</si>
  <si>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</si>
  <si>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</si>
  <si>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</si>
  <si>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</si>
  <si>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</si>
  <si>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</si>
  <si>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</si>
  <si>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</si>
  <si>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</si>
  <si>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</si>
  <si>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</si>
  <si>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</si>
  <si>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</si>
  <si>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</si>
  <si>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</si>
  <si>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</si>
  <si>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</si>
  <si>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</si>
  <si>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</si>
  <si>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</si>
  <si>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</si>
  <si>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</si>
  <si>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</si>
  <si>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t>Interest True-Up CY; Line 22; Col. 2</t>
  </si>
  <si>
    <t>Forecast Period Capital Addition Revenue Requirements</t>
  </si>
  <si>
    <t>Incentive Transmission Forecast CWIP Projects Revenue Requirements</t>
  </si>
  <si>
    <t>Sum Lines 2 thru 14</t>
  </si>
  <si>
    <t>Transmission Related Municipal Franchise Fees Expenses</t>
  </si>
  <si>
    <t>Line 16 x Franchise Fee Rate</t>
  </si>
  <si>
    <t>Transmission Related Uncollectible Expense</t>
  </si>
  <si>
    <t>Line 16 x Uncollectible Rate</t>
  </si>
  <si>
    <t>Cost Adjustment Workpapers</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</si>
  <si>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</si>
  <si>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</si>
  <si>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</si>
  <si>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Statement BK-1; Page 7; Line 16</t>
  </si>
  <si>
    <t>Less: CPUC Intervenor Funding Expense - Transmission</t>
  </si>
  <si>
    <t>Negative of Statement BK-1; Page 1; Line 5</t>
  </si>
  <si>
    <t>Less: South Georgia Income Tax Adjustment</t>
  </si>
  <si>
    <t>Negative of Statement AQ; Line 1</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</si>
  <si>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</si>
  <si>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</si>
  <si>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</si>
  <si>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</si>
  <si>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</si>
  <si>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</si>
  <si>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</si>
  <si>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</si>
  <si>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</si>
  <si>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</si>
  <si>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</si>
  <si>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</si>
  <si>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</si>
  <si>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Col. a = Statement BK-1; Page 7; 
Sum Lines 10 thru 14</t>
  </si>
  <si>
    <t>C. Summary of CAISO Transmission Facilities by</t>
  </si>
  <si>
    <t xml:space="preserve"> High Voltage and Low Voltage Classification:</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</si>
  <si>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</si>
  <si>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</si>
  <si>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</si>
  <si>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</si>
  <si>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</si>
  <si>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</si>
  <si>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</si>
  <si>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</si>
  <si>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</si>
  <si>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</si>
  <si>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</si>
  <si>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</si>
  <si>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</si>
  <si>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</si>
  <si>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</si>
  <si>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</si>
  <si>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</si>
  <si>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</si>
  <si>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</si>
  <si>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</si>
  <si>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</si>
  <si>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</si>
  <si>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</si>
  <si>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</si>
  <si>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</si>
  <si>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</si>
  <si>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</si>
  <si>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</si>
  <si>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</si>
  <si>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</si>
  <si>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</si>
  <si>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</si>
  <si>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</si>
  <si>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</si>
  <si>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</si>
  <si>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</si>
  <si>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</si>
  <si>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</si>
  <si>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</si>
  <si>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</si>
  <si>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</si>
  <si>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</si>
  <si>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</si>
  <si>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</si>
  <si>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</si>
  <si>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</si>
  <si>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</si>
  <si>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</si>
  <si>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</si>
  <si>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</si>
  <si>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</si>
  <si>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</si>
  <si>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</si>
  <si>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</si>
  <si>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</si>
  <si>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</si>
  <si>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</si>
  <si>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</si>
  <si>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</si>
  <si>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</si>
  <si>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</si>
  <si>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</si>
  <si>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</si>
  <si>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</si>
  <si>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</si>
  <si>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</si>
  <si>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</si>
  <si>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</si>
  <si>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</si>
  <si>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</si>
  <si>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</si>
  <si>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</si>
  <si>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</si>
  <si>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</si>
  <si>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</si>
  <si>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</si>
  <si>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</si>
  <si>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</si>
  <si>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</si>
  <si>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</si>
  <si>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</si>
  <si>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</si>
  <si>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</si>
  <si>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</si>
  <si>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</si>
  <si>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</si>
  <si>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</si>
  <si>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</si>
  <si>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</si>
  <si>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</si>
  <si>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</si>
  <si>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</si>
  <si>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</si>
  <si>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</si>
  <si>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</si>
  <si>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</si>
  <si>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</si>
  <si>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</si>
  <si>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</si>
  <si>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</si>
  <si>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</si>
  <si>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</si>
  <si>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</si>
  <si>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</si>
  <si>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</si>
  <si>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</si>
  <si>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</si>
  <si>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</si>
  <si>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</si>
  <si>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</si>
  <si>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</si>
  <si>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</si>
  <si>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</si>
  <si>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</si>
  <si>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</si>
  <si>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</si>
  <si>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</si>
  <si>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</si>
  <si>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</si>
  <si>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</si>
  <si>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</si>
  <si>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</si>
  <si>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</si>
  <si>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</si>
  <si>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</si>
  <si>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</si>
  <si>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</si>
  <si>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</si>
  <si>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</si>
  <si>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</si>
  <si>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</si>
  <si>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</si>
  <si>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</si>
  <si>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</si>
  <si>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</si>
  <si>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</si>
  <si>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</si>
  <si>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</si>
  <si>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</si>
  <si>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</si>
  <si>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</si>
  <si>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</si>
  <si>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</si>
  <si>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</si>
  <si>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</si>
  <si>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</si>
  <si>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</si>
  <si>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</si>
  <si>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</si>
  <si>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</si>
  <si>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</si>
  <si>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</si>
  <si>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</si>
  <si>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</si>
  <si>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</si>
  <si>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</si>
  <si>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</si>
  <si>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</si>
  <si>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</si>
  <si>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</si>
  <si>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</si>
  <si>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</si>
  <si>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</si>
  <si>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</si>
  <si>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</si>
  <si>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</si>
  <si>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</si>
  <si>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</si>
  <si>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</si>
  <si>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</si>
  <si>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</si>
  <si>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</si>
  <si>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</si>
  <si>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</si>
  <si>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</si>
  <si>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2022 Form 1; Page 200-201; Footnote Data (b)</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</si>
  <si>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</si>
  <si>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</si>
  <si>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</si>
  <si>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</si>
  <si>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</si>
  <si>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</si>
  <si>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</si>
  <si>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</si>
  <si>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</si>
  <si>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</si>
  <si>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</si>
  <si>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</si>
  <si>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</si>
  <si>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</si>
  <si>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</si>
  <si>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</si>
  <si>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</si>
  <si>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</si>
  <si>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</si>
  <si>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</si>
  <si>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</si>
  <si>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</si>
  <si>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</si>
  <si>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</si>
  <si>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</si>
  <si>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</si>
  <si>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</si>
  <si>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</si>
  <si>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</si>
  <si>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</si>
  <si>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</si>
  <si>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</si>
  <si>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</si>
  <si>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</si>
  <si>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</si>
  <si>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</si>
  <si>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</si>
  <si>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</si>
  <si>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</si>
  <si>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</si>
  <si>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</si>
  <si>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</si>
  <si>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</si>
  <si>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</si>
  <si>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</si>
  <si>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</si>
  <si>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</si>
  <si>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</si>
  <si>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</si>
  <si>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</si>
  <si>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</si>
  <si>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</si>
  <si>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</si>
  <si>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</si>
  <si>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</si>
  <si>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</si>
  <si>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</si>
  <si>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</si>
  <si>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</si>
  <si>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</si>
  <si>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</si>
  <si>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</si>
  <si>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</si>
  <si>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</si>
  <si>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</si>
  <si>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</si>
  <si>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</si>
  <si>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</si>
  <si>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</si>
  <si>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</si>
  <si>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</si>
  <si>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</si>
  <si>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</si>
  <si>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</si>
  <si>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</si>
  <si>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</si>
  <si>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</si>
  <si>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</si>
  <si>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</si>
  <si>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</si>
  <si>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</si>
  <si>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</si>
  <si>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</si>
  <si>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</si>
  <si>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</si>
  <si>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</si>
  <si>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</si>
  <si>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</si>
  <si>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</si>
  <si>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</si>
  <si>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</si>
  <si>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</si>
  <si>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</si>
  <si>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</si>
  <si>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</si>
  <si>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</si>
  <si>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</si>
  <si>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</si>
  <si>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</si>
  <si>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</si>
  <si>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</si>
  <si>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</si>
  <si>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</si>
  <si>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</si>
  <si>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</si>
  <si>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</si>
  <si>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</si>
  <si>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</si>
  <si>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</si>
  <si>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</si>
  <si>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</si>
  <si>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</si>
  <si>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</si>
  <si>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</si>
  <si>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</si>
  <si>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</si>
  <si>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</si>
  <si>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</si>
  <si>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</si>
  <si>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</si>
  <si>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</si>
  <si>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</si>
  <si>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</si>
  <si>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</si>
  <si>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</si>
  <si>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</si>
  <si>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</si>
  <si>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</si>
  <si>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</si>
  <si>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</si>
  <si>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</si>
  <si>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</si>
  <si>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</si>
  <si>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</si>
  <si>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</si>
  <si>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</si>
  <si>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</si>
  <si>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</si>
  <si>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</si>
  <si>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</si>
  <si>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</si>
  <si>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</si>
  <si>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</si>
  <si>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</si>
  <si>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</si>
  <si>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</si>
  <si>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</si>
  <si>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</si>
  <si>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</si>
  <si>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</si>
  <si>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</si>
  <si>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</si>
  <si>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</si>
  <si>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</si>
  <si>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</si>
  <si>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</si>
  <si>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</si>
  <si>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</si>
  <si>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</si>
  <si>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</si>
  <si>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</si>
  <si>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</si>
  <si>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</si>
  <si>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</si>
  <si>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</si>
  <si>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</si>
  <si>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</si>
  <si>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</si>
  <si>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</si>
  <si>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</si>
  <si>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</si>
  <si>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</si>
  <si>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</si>
  <si>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</si>
  <si>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</si>
  <si>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</si>
  <si>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</si>
  <si>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</si>
  <si>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</si>
  <si>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</si>
  <si>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</si>
  <si>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</si>
  <si>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</si>
  <si>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</si>
  <si>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</si>
  <si>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</si>
  <si>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</si>
  <si>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</si>
  <si>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</si>
  <si>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</si>
  <si>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</si>
  <si>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</si>
  <si>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</si>
  <si>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</si>
  <si>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</si>
  <si>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</si>
  <si>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</si>
  <si>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</si>
  <si>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</si>
  <si>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</si>
  <si>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</si>
  <si>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</si>
  <si>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</si>
  <si>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</si>
  <si>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</si>
  <si>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</si>
  <si>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</si>
  <si>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</si>
  <si>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</si>
  <si>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</si>
  <si>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</si>
  <si>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</si>
  <si>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</si>
  <si>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</si>
  <si>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</si>
  <si>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</si>
  <si>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</si>
  <si>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</si>
  <si>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</si>
  <si>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</si>
  <si>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</si>
  <si>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</si>
  <si>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</si>
  <si>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</si>
  <si>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</si>
  <si>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</si>
  <si>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</si>
  <si>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</si>
  <si>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</si>
  <si>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</si>
  <si>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</si>
  <si>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</si>
  <si>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</si>
  <si>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</si>
  <si>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</si>
  <si>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</si>
  <si>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</si>
  <si>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</si>
  <si>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</si>
  <si>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</si>
  <si>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</si>
  <si>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</si>
  <si>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</si>
  <si>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</si>
  <si>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</si>
  <si>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</si>
  <si>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</si>
  <si>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</si>
  <si>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</si>
  <si>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</si>
  <si>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</si>
  <si>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</si>
  <si>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</si>
  <si>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</si>
  <si>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</si>
  <si>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</si>
  <si>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</si>
  <si>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</si>
  <si>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</si>
  <si>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</si>
  <si>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</si>
  <si>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</si>
  <si>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</si>
  <si>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</si>
  <si>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</si>
  <si>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</si>
  <si>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</si>
  <si>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</si>
  <si>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</si>
  <si>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</si>
  <si>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</si>
  <si>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</si>
  <si>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</si>
  <si>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</si>
  <si>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</si>
  <si>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</si>
  <si>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</si>
  <si>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</si>
  <si>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</si>
  <si>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</si>
  <si>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</si>
  <si>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</si>
  <si>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</si>
  <si>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</si>
  <si>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</si>
  <si>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</si>
  <si>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</si>
  <si>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</si>
  <si>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</si>
  <si>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</si>
  <si>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</si>
  <si>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</si>
  <si>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</si>
  <si>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</si>
  <si>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</si>
  <si>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</si>
  <si>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</si>
  <si>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</si>
  <si>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</si>
  <si>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</si>
  <si>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</si>
  <si>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</si>
  <si>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</si>
  <si>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</si>
  <si>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difference is recorded in deferred debit FERC Acct 186 and the amortization of the difference is included in Acct 406. The amortization is considered a ratemaking adjustment with the annual expense continuing over the 30 year</t>
  </si>
  <si>
    <t>amortization life of the line, ending in 2023.</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</si>
  <si>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</si>
  <si>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</si>
  <si>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</si>
  <si>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</si>
  <si>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</si>
  <si>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</si>
  <si>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</si>
  <si>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</si>
  <si>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</si>
  <si>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</si>
  <si>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</si>
  <si>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</si>
  <si>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</si>
  <si>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</si>
  <si>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</si>
  <si>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</si>
  <si>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</si>
  <si>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</si>
  <si>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</si>
  <si>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</si>
  <si>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</si>
  <si>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</si>
  <si>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</si>
  <si>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</si>
  <si>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</si>
  <si>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</si>
  <si>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</si>
  <si>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</si>
  <si>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</si>
  <si>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</si>
  <si>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</si>
  <si>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</si>
  <si>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</si>
  <si>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</si>
  <si>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</si>
  <si>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</si>
  <si>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</si>
  <si>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</si>
  <si>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</si>
  <si>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</si>
  <si>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</si>
  <si>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</si>
  <si>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</si>
  <si>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</si>
  <si>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</si>
  <si>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</si>
  <si>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</si>
  <si>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</si>
  <si>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</si>
  <si>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</si>
  <si>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</si>
  <si>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</si>
  <si>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</si>
  <si>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</si>
  <si>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</si>
  <si>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</si>
  <si>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</si>
  <si>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</si>
  <si>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</si>
  <si>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</si>
  <si>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</si>
  <si>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</si>
  <si>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</si>
  <si>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</si>
  <si>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</si>
  <si>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</si>
  <si>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</si>
  <si>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</si>
  <si>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</si>
  <si>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</si>
  <si>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</si>
  <si>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</si>
  <si>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</si>
  <si>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</si>
  <si>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</si>
  <si>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</si>
  <si>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</si>
  <si>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</si>
  <si>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</si>
  <si>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</si>
  <si>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</si>
  <si>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</si>
  <si>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</si>
  <si>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</si>
  <si>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</si>
  <si>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</si>
  <si>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</si>
  <si>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</si>
  <si>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</si>
  <si>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</si>
  <si>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</si>
  <si>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</si>
  <si>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</si>
  <si>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</si>
  <si>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</si>
  <si>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</si>
  <si>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</si>
  <si>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</si>
  <si>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</si>
  <si>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</si>
  <si>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</si>
  <si>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</si>
  <si>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</si>
  <si>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</si>
  <si>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</si>
  <si>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</si>
  <si>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</si>
  <si>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</si>
  <si>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</si>
  <si>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</si>
  <si>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</si>
  <si>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</si>
  <si>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</si>
  <si>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</si>
  <si>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</si>
  <si>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</si>
  <si>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</si>
  <si>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</si>
  <si>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</si>
  <si>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</si>
  <si>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</si>
  <si>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</si>
  <si>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</si>
  <si>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</si>
  <si>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</si>
  <si>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</si>
  <si>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</si>
  <si>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</si>
  <si>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</si>
  <si>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</si>
  <si>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</si>
  <si>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</si>
  <si>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</si>
  <si>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</si>
  <si>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</si>
  <si>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</si>
  <si>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</si>
  <si>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</si>
  <si>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</si>
  <si>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</si>
  <si>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</si>
  <si>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</si>
  <si>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</si>
  <si>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</si>
  <si>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</si>
  <si>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</si>
  <si>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</si>
  <si>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</si>
  <si>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</si>
  <si>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</si>
  <si>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</si>
  <si>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</si>
  <si>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</si>
  <si>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</si>
  <si>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</si>
  <si>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</si>
  <si>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</si>
  <si>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</si>
  <si>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</si>
  <si>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</si>
  <si>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</si>
  <si>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</si>
  <si>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</si>
  <si>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</si>
  <si>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</si>
  <si>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</si>
  <si>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</si>
  <si>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</si>
  <si>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</si>
  <si>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</si>
  <si>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</si>
  <si>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</si>
  <si>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</si>
  <si>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</si>
  <si>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</si>
  <si>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</si>
  <si>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</si>
  <si>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</si>
  <si>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</si>
  <si>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</si>
  <si>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</si>
  <si>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</si>
  <si>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</si>
  <si>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</si>
  <si>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</si>
  <si>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</si>
  <si>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</si>
  <si>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</si>
  <si>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</si>
  <si>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</si>
  <si>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</si>
  <si>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</si>
  <si>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</si>
  <si>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</si>
  <si>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</si>
  <si>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</si>
  <si>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</si>
  <si>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</si>
  <si>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</si>
  <si>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</si>
  <si>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</si>
  <si>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</si>
  <si>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</si>
  <si>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</si>
  <si>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</si>
  <si>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</si>
  <si>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</si>
  <si>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</si>
  <si>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</si>
  <si>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</si>
  <si>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</si>
  <si>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</si>
  <si>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</si>
  <si>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</si>
  <si>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</si>
  <si>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</si>
  <si>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</si>
  <si>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</si>
  <si>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</si>
  <si>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</si>
  <si>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</si>
  <si>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</si>
  <si>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</si>
  <si>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</si>
  <si>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</si>
  <si>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</si>
  <si>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</si>
  <si>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</si>
  <si>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</si>
  <si>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</si>
  <si>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</si>
  <si>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</si>
  <si>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</si>
  <si>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</si>
  <si>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</si>
  <si>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</si>
  <si>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</si>
  <si>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</si>
  <si>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</si>
  <si>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</si>
  <si>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</si>
  <si>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</si>
  <si>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</si>
  <si>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</si>
  <si>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</si>
  <si>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</si>
  <si>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</si>
  <si>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</si>
  <si>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</si>
  <si>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</si>
  <si>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</si>
  <si>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</si>
  <si>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</si>
  <si>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</si>
  <si>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</si>
  <si>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</si>
  <si>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</si>
  <si>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</si>
  <si>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</si>
  <si>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</si>
  <si>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</si>
  <si>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</si>
  <si>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</si>
  <si>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</si>
  <si>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</si>
  <si>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</si>
  <si>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</si>
  <si>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</si>
  <si>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</si>
  <si>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</si>
  <si>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</si>
  <si>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</si>
  <si>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</si>
  <si>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</si>
  <si>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</si>
  <si>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</si>
  <si>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</si>
  <si>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</si>
  <si>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</si>
  <si>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</si>
  <si>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</si>
  <si>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</si>
  <si>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</si>
  <si>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</si>
  <si>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</si>
  <si>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</si>
  <si>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</si>
  <si>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</si>
  <si>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</si>
  <si>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</si>
  <si>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</si>
  <si>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</si>
  <si>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</si>
  <si>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</si>
  <si>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</si>
  <si>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</si>
  <si>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</si>
  <si>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</si>
  <si>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</si>
  <si>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</si>
  <si>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</si>
  <si>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</si>
  <si>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</si>
  <si>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</si>
  <si>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</si>
  <si>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</si>
  <si>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</si>
  <si>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</si>
  <si>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</si>
  <si>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</si>
  <si>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</si>
  <si>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</si>
  <si>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</si>
  <si>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</si>
  <si>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</si>
  <si>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</si>
  <si>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</si>
  <si>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</si>
  <si>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</si>
  <si>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</si>
  <si>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</si>
  <si>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</si>
  <si>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</si>
  <si>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</si>
  <si>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</si>
  <si>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</si>
  <si>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</si>
  <si>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</si>
  <si>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</si>
  <si>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</si>
  <si>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</si>
  <si>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</si>
  <si>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</si>
  <si>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</si>
  <si>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</si>
  <si>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</si>
  <si>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</si>
  <si>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</si>
  <si>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</si>
  <si>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</si>
  <si>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</si>
  <si>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</si>
  <si>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</si>
  <si>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</si>
  <si>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</si>
  <si>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</si>
  <si>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</si>
  <si>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</si>
  <si>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</si>
  <si>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</si>
  <si>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</si>
  <si>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</si>
  <si>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</si>
  <si>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</si>
  <si>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</si>
  <si>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</si>
  <si>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</si>
  <si>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</si>
  <si>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</si>
  <si>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</si>
  <si>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</si>
  <si>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</si>
  <si>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</si>
  <si>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</si>
  <si>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</si>
  <si>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</si>
  <si>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</si>
  <si>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</si>
  <si>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</si>
  <si>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</si>
  <si>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</si>
  <si>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</si>
  <si>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</si>
  <si>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</si>
  <si>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</si>
  <si>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</si>
  <si>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</si>
  <si>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</si>
  <si>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</si>
  <si>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</si>
  <si>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</si>
  <si>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</si>
  <si>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</si>
  <si>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</si>
  <si>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</si>
  <si>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</si>
  <si>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</si>
  <si>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</si>
  <si>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</si>
  <si>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</si>
  <si>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</si>
  <si>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</si>
  <si>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</si>
  <si>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</si>
  <si>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</si>
  <si>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</si>
  <si>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</si>
  <si>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</si>
  <si>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</si>
  <si>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</si>
  <si>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</si>
  <si>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</si>
  <si>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</si>
  <si>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</si>
  <si>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</si>
  <si>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</si>
  <si>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</si>
  <si>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</si>
  <si>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</si>
  <si>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</si>
  <si>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</si>
  <si>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</si>
  <si>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</si>
  <si>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</si>
  <si>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</si>
  <si>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</si>
  <si>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</si>
  <si>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</si>
  <si>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</si>
  <si>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</si>
  <si>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</si>
  <si>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</si>
  <si>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</si>
  <si>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</si>
  <si>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</si>
  <si>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</si>
  <si>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</si>
  <si>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</si>
  <si>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</si>
  <si>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</si>
  <si>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</si>
  <si>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</si>
  <si>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Workers' Compensation</t>
  </si>
  <si>
    <t>Supplemental Executive Retirement Plan (SERP)</t>
  </si>
  <si>
    <t>Accrued Vacation</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</si>
  <si>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</si>
  <si>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</si>
  <si>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</si>
  <si>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</si>
  <si>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</si>
  <si>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</si>
  <si>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</si>
  <si>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</si>
  <si>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</si>
  <si>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</si>
  <si>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</si>
  <si>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</si>
  <si>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</si>
  <si>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</si>
  <si>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</si>
  <si>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</si>
  <si>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</si>
  <si>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</si>
  <si>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</si>
  <si>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</si>
  <si>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</si>
  <si>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</si>
  <si>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</si>
  <si>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</si>
  <si>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</si>
  <si>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</si>
  <si>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</si>
  <si>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</si>
  <si>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</si>
  <si>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</si>
  <si>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</si>
  <si>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</si>
  <si>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</si>
  <si>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</si>
  <si>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</si>
  <si>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</si>
  <si>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</si>
  <si>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</si>
  <si>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</si>
  <si>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</si>
  <si>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</si>
  <si>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</si>
  <si>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</si>
  <si>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</si>
  <si>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</si>
  <si>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</si>
  <si>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</si>
  <si>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</si>
  <si>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</si>
  <si>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</si>
  <si>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</si>
  <si>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</si>
  <si>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</si>
  <si>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</si>
  <si>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</si>
  <si>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</si>
  <si>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</si>
  <si>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</si>
  <si>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</si>
  <si>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</si>
  <si>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</si>
  <si>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</si>
  <si>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</si>
  <si>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</si>
  <si>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</si>
  <si>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</si>
  <si>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</si>
  <si>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</si>
  <si>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</si>
  <si>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</si>
  <si>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</si>
  <si>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</si>
  <si>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</si>
  <si>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</si>
  <si>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</si>
  <si>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</si>
  <si>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</si>
  <si>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</si>
  <si>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</si>
  <si>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</si>
  <si>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</si>
  <si>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</si>
  <si>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</si>
  <si>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</si>
  <si>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</si>
  <si>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</si>
  <si>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</si>
  <si>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</si>
  <si>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</si>
  <si>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</si>
  <si>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</si>
  <si>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</si>
  <si>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</si>
  <si>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</si>
  <si>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</si>
  <si>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</si>
  <si>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</si>
  <si>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</si>
  <si>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</si>
  <si>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</si>
  <si>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</si>
  <si>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</si>
  <si>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</si>
  <si>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</si>
  <si>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</si>
  <si>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</si>
  <si>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</si>
  <si>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</si>
  <si>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</si>
  <si>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</si>
  <si>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</si>
  <si>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</si>
  <si>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</si>
  <si>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</si>
  <si>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</si>
  <si>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</si>
  <si>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</si>
  <si>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</si>
  <si>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</si>
  <si>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</si>
  <si>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</si>
  <si>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</si>
  <si>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</si>
  <si>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</si>
  <si>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</si>
  <si>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</si>
  <si>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</si>
  <si>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</si>
  <si>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</si>
  <si>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</si>
  <si>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</si>
  <si>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Base Period &amp; True-Up Period Ending December 31, 2022</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</si>
  <si>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</si>
  <si>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</si>
  <si>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</si>
  <si>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</si>
  <si>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</si>
  <si>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</si>
  <si>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</si>
  <si>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</si>
  <si>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</si>
  <si>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</si>
  <si>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</si>
  <si>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</si>
  <si>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</si>
  <si>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</si>
  <si>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</si>
  <si>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</si>
  <si>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</si>
  <si>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</si>
  <si>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</si>
  <si>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</si>
  <si>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</si>
  <si>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</si>
  <si>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</si>
  <si>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</si>
  <si>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</si>
  <si>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</si>
  <si>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</si>
  <si>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</si>
  <si>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</si>
  <si>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</si>
  <si>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</si>
  <si>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</si>
  <si>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</si>
  <si>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</si>
  <si>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</si>
  <si>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</si>
  <si>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</si>
  <si>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</si>
  <si>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</si>
  <si>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</si>
  <si>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</si>
  <si>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</si>
  <si>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</si>
  <si>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</si>
  <si>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</si>
  <si>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</si>
  <si>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</si>
  <si>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</si>
  <si>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</si>
  <si>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</si>
  <si>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</si>
  <si>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</si>
  <si>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</si>
  <si>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</si>
  <si>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</si>
  <si>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</si>
  <si>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</si>
  <si>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</si>
  <si>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</si>
  <si>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</si>
  <si>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</si>
  <si>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</si>
  <si>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</si>
  <si>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</si>
  <si>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</si>
  <si>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</si>
  <si>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</si>
  <si>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</si>
  <si>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</si>
  <si>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</si>
  <si>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</si>
  <si>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</si>
  <si>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</si>
  <si>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</si>
  <si>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</si>
  <si>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</si>
  <si>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</si>
  <si>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</si>
  <si>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</si>
  <si>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</si>
  <si>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</si>
  <si>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</si>
  <si>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March</t>
  </si>
  <si>
    <t>April</t>
  </si>
  <si>
    <t>June</t>
  </si>
  <si>
    <t>July</t>
  </si>
  <si>
    <t>August</t>
  </si>
  <si>
    <t>September</t>
  </si>
  <si>
    <t>October</t>
  </si>
  <si>
    <t>November</t>
  </si>
  <si>
    <t>December</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</si>
  <si>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</si>
  <si>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</si>
  <si>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</si>
  <si>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</si>
  <si>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</si>
  <si>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</si>
  <si>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</si>
  <si>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</si>
  <si>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</si>
  <si>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</si>
  <si>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</si>
  <si>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</si>
  <si>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</si>
  <si>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</si>
  <si>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</si>
  <si>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</si>
  <si>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</si>
  <si>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</si>
  <si>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</si>
  <si>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</si>
  <si>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</si>
  <si>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</si>
  <si>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</si>
  <si>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</si>
  <si>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</si>
  <si>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</si>
  <si>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</si>
  <si>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</si>
  <si>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</si>
  <si>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</si>
  <si>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</si>
  <si>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</si>
  <si>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</si>
  <si>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</si>
  <si>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</si>
  <si>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</si>
  <si>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</si>
  <si>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</si>
  <si>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</si>
  <si>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</si>
  <si>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</si>
  <si>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</si>
  <si>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</si>
  <si>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</si>
  <si>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</si>
  <si>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</si>
  <si>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</si>
  <si>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</si>
  <si>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</si>
  <si>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</si>
  <si>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</si>
  <si>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</si>
  <si>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</si>
  <si>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</si>
  <si>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</si>
  <si>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</si>
  <si>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</si>
  <si>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</si>
  <si>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</si>
  <si>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</si>
  <si>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</si>
  <si>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</si>
  <si>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</si>
  <si>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</si>
  <si>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</si>
  <si>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</si>
  <si>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</si>
  <si>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</si>
  <si>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</si>
  <si>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</si>
  <si>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</si>
  <si>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</si>
  <si>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</si>
  <si>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</si>
  <si>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</si>
  <si>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</si>
  <si>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</si>
  <si>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</si>
  <si>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</si>
  <si>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</si>
  <si>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</si>
  <si>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</si>
  <si>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</si>
  <si>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</si>
  <si>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</si>
  <si>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</si>
  <si>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</si>
  <si>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</si>
  <si>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</si>
  <si>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</si>
  <si>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</si>
  <si>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</si>
  <si>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</si>
  <si>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</si>
  <si>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</si>
  <si>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</si>
  <si>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</si>
  <si>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</si>
  <si>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</si>
  <si>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</si>
  <si>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</si>
  <si>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</si>
  <si>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</si>
  <si>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</si>
  <si>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</si>
  <si>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</si>
  <si>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</si>
  <si>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</si>
  <si>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</si>
  <si>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</si>
  <si>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</si>
  <si>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</si>
  <si>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</si>
  <si>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</si>
  <si>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</si>
  <si>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</si>
  <si>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</si>
  <si>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</si>
  <si>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</si>
  <si>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</si>
  <si>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</si>
  <si>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t>
  </si>
  <si>
    <t>454</t>
  </si>
  <si>
    <t>Rent for Prop Use</t>
  </si>
  <si>
    <t>Elec Lnd Serv Row RE</t>
  </si>
  <si>
    <t>AU-1; Page 2; Line 6; Col. m</t>
  </si>
  <si>
    <t>BASE PERIOD / TRUE UP PERIOD - 12/31/2023 PER BOOK</t>
  </si>
  <si>
    <t>Jan-23</t>
  </si>
  <si>
    <t>Dec-23</t>
  </si>
  <si>
    <t>For Use During the 12-Months Period from January 1 to December 31, 2023</t>
  </si>
  <si>
    <t>2023 Form 1; Page 356; Accts 303 to 398</t>
  </si>
  <si>
    <t>2023 Form 1; Page 356; Electric</t>
  </si>
  <si>
    <t>Feb-23</t>
  </si>
  <si>
    <t>Mar-23</t>
  </si>
  <si>
    <t>Apr-23</t>
  </si>
  <si>
    <t>May-23</t>
  </si>
  <si>
    <t>Jun-23</t>
  </si>
  <si>
    <t>Jul-23</t>
  </si>
  <si>
    <t>Aug-23</t>
  </si>
  <si>
    <t>Sep-23</t>
  </si>
  <si>
    <t>Oct-23</t>
  </si>
  <si>
    <t>Nov-23</t>
  </si>
  <si>
    <t>For Completed Transmission Capital Projects from 2001 Through 2023</t>
  </si>
  <si>
    <t>Base Period &amp; True-Up Period Ending December 31, 2023</t>
  </si>
  <si>
    <t>For 12-Month True-Up Period January 1, 2023 Through December 31, 2023</t>
  </si>
  <si>
    <t>TRANSMISSION PLANT BALANCE AS OF DECEMBER 31, 2023</t>
  </si>
  <si>
    <t>24-Month Forecast Period (January 1, 2024 - December 31, 2025)</t>
  </si>
  <si>
    <t>2023 Form 1; Page 200-201; Footnote Data (b)</t>
  </si>
  <si>
    <t>Not Applicable to 2023 Base Period</t>
  </si>
  <si>
    <t xml:space="preserve">Property is reflected in Col. (m) of this schedule. </t>
  </si>
  <si>
    <t>2023 Form 1; Page 234; Footnote Data (d)</t>
  </si>
  <si>
    <t xml:space="preserve">2023 Form 1; Page 274-275; Footnote Data (b) </t>
  </si>
  <si>
    <t>2023 Form 1; Page 276-277; Footnote Data (b)</t>
  </si>
  <si>
    <t>Remeasured amount reported in column (a) includes ($135) million in state related deferred tax liabilities. Deficient reserve amount in column (b) and the Grand Total calculated on Order 864-3; Line 32; Col. 12 for federal taxes</t>
  </si>
  <si>
    <t xml:space="preserve">includes $11.8M related to Federal Benefit of State Taxes. </t>
  </si>
  <si>
    <t xml:space="preserve">2023 Form 1; Page 234; Footnote Data (c) </t>
  </si>
  <si>
    <t>2023 Form 1; Page 276-277; Footnote Data (a)</t>
  </si>
  <si>
    <t>Items in BOLD have changed compared to the original TO5 Cycle 6 filing per ER24-524 due to Six Cities protesting the inclusion of the Accrued Bonus DTA in ratebase.</t>
  </si>
  <si>
    <t xml:space="preserve">Remeasured amount reported in column (a) includes ($125.2) million in state related deferred tax liabilities.  Deficient reserve amount in column (b) and the Grand Total calculated on Order 864-1; Line 32; Col. 12 for federal taxes </t>
  </si>
  <si>
    <t>includes $12M related to Federal Benefit of State Taxes.</t>
  </si>
  <si>
    <t>The total year-end Account 190 electric balance reported on FERC Form 1; Page 234; Footnote Data (b) is $1,591,581. The amortization of Account 190 at $1,513K</t>
  </si>
  <si>
    <t>shown in line 7 excludes the portion of Account 190 attributable to Citizens in the amount of $78K which is recovered separately in the Appendix X Citizens Sunrise rate filing.</t>
  </si>
  <si>
    <t>2023 Common Rates</t>
  </si>
  <si>
    <t>Rates based on 12/31/2022 Plant Balances</t>
  </si>
  <si>
    <t>2023 General Rates</t>
  </si>
  <si>
    <t xml:space="preserve">The $15,802 in expense on FERC Form 1; Page 114-117; Line 9; Col. g, represents the annual amortization expense of the capitalized difference between CPUC &amp; FERC's recognized in-service dates for the Southwest Powerlink. The </t>
  </si>
  <si>
    <t>Duplicate Charges</t>
  </si>
  <si>
    <t>2022 FERC Form 1; Common Utility Plant and Expenses; Page 356</t>
  </si>
  <si>
    <t>Statement AI; Line 15; TO5-Cycle 6</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</si>
  <si>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</si>
  <si>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</si>
  <si>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</si>
  <si>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</si>
  <si>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</si>
  <si>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</si>
  <si>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SDG&amp;E's TO5 Cycle 6 (ER24-524).</t>
  </si>
  <si>
    <t>Represents 2023 O&amp;M expenses for in-house fire brigade costs transferred to A&amp;G FERC account 923, Outside Services Employed per FERC Order in</t>
  </si>
  <si>
    <t>FERC Acct 926, Employee Pensions &amp; Benefits, includes approximately $265K for PBOP of which approximately $53K is Transmission related.</t>
  </si>
  <si>
    <t>2) Non-plant related ADIT related to future tax rate changes will be amortized into rates over one year. Non-plant related ADIT attributable to the 2017 Tax Cuts and Jobs Act was fully amortized by December 31, 2021.</t>
  </si>
  <si>
    <t>The balance in the Electric Plant Held for Future Use in the 2023 FERC Form 1 Page 214, Line 2 for Fallbrook 2.0 at $2,405,427 is for distribution use.</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</si>
  <si>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</si>
  <si>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</si>
  <si>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</si>
  <si>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</si>
  <si>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</si>
  <si>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</si>
  <si>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</si>
  <si>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</si>
  <si>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</si>
  <si>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</si>
  <si>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</si>
  <si>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</si>
  <si>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</si>
  <si>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</si>
  <si>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</si>
  <si>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</si>
  <si>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</si>
  <si>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</si>
  <si>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</si>
  <si>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</si>
  <si>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</si>
  <si>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</si>
  <si>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</si>
  <si>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</si>
  <si>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</si>
  <si>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</si>
  <si>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</si>
  <si>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</si>
  <si>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</si>
  <si>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</si>
  <si>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Base Period &amp; True-Up Period 12 - Months Ending December 31, 2023</t>
  </si>
  <si>
    <t>Adjustments to Per Book Transmission O&amp;M Expense</t>
  </si>
  <si>
    <t xml:space="preserve"> 12 Months Ending December 31, 2023</t>
  </si>
  <si>
    <t>Sum Lines 2 thru 4</t>
  </si>
  <si>
    <t>Adjustments to Per Book A&amp;G Expense</t>
  </si>
  <si>
    <r>
      <t xml:space="preserve">CPUC Intervenor Funding Expense - Transmission </t>
    </r>
    <r>
      <rPr>
        <b/>
        <vertAlign val="superscript"/>
        <sz val="12"/>
        <rFont val="Times New Roman"/>
        <family val="1"/>
      </rPr>
      <t>1</t>
    </r>
  </si>
  <si>
    <t>Statement AH; Line 5</t>
  </si>
  <si>
    <t>Negative of Statement AH; Line 10</t>
  </si>
  <si>
    <t>Sum Lines 9 thru 20</t>
  </si>
  <si>
    <t>Line 7 + Line 22</t>
  </si>
  <si>
    <t>BALANCES AS OF 12/31/2022</t>
  </si>
  <si>
    <t>BALANCES AS OF 12/31/2023</t>
  </si>
  <si>
    <t>Dec-22</t>
  </si>
  <si>
    <t>BASE PERIOD / TRUE UP PERIOD - 12/31/2023</t>
  </si>
  <si>
    <t>Sum Lines 10 thru 21</t>
  </si>
  <si>
    <t>Line 8 + Line 23</t>
  </si>
  <si>
    <t>The rates in these subaccounts will not change during the term of the TO6 Formula.</t>
  </si>
  <si>
    <t>TO6 - Annual Transmission Plant Depreciation Rates</t>
  </si>
  <si>
    <t>Cycle 1, For 12 - Months Ending December 31, 2023</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</si>
  <si>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</si>
  <si>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</si>
  <si>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</si>
  <si>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</si>
  <si>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12 Months Ending December 31, 2023</t>
  </si>
  <si>
    <t>Applicable to the 2023 TO6-Cycle 1 Base Period &amp; True-Up Period</t>
  </si>
  <si>
    <t>TO6-Cycle 1 Annual Transmission Formula Filing</t>
  </si>
  <si>
    <t>None of the above items apply to SDG&amp;E's TO6 Cycle 1 filing. However, as one or more of these items apply, subject to FERC approval, the</t>
  </si>
  <si>
    <t>C. Total Federal &amp; State Income Tax Rate</t>
  </si>
  <si>
    <t>D. Total Weighted Cost of Capital</t>
  </si>
  <si>
    <t>D. Total Incentive Weighted Cost of Capital</t>
  </si>
  <si>
    <t xml:space="preserve">     Incentive Transmission Forecast CWIP Projects Revenue Requirements</t>
  </si>
  <si>
    <t>For the Base Period &amp; True-Up Period Ending December 31, 2023</t>
  </si>
  <si>
    <t>For the Rate Effective Period January 1, 2025 - December 31, 2025</t>
  </si>
  <si>
    <t>TO6-Cycle 1 Interest True-Up Adjustment</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</si>
  <si>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</si>
  <si>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</si>
  <si>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</si>
  <si>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</si>
  <si>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</si>
  <si>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</si>
  <si>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</si>
  <si>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</si>
  <si>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</si>
  <si>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</si>
  <si>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</si>
  <si>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</si>
  <si>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TO5 Offer of Settlement; Section II.A.1.5.1</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</si>
  <si>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</si>
  <si>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</si>
  <si>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</si>
  <si>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</si>
  <si>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</si>
  <si>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</si>
  <si>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</si>
  <si>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</si>
  <si>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</si>
  <si>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</si>
  <si>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</si>
  <si>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</si>
  <si>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</si>
  <si>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</si>
  <si>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</si>
  <si>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</si>
  <si>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</si>
  <si>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</si>
  <si>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</si>
  <si>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</si>
  <si>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</si>
  <si>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</si>
  <si>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</si>
  <si>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</si>
  <si>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</si>
  <si>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</si>
  <si>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</si>
  <si>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</si>
  <si>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</si>
  <si>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</si>
  <si>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</si>
  <si>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</si>
  <si>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</si>
  <si>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</si>
  <si>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</si>
  <si>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</si>
  <si>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</si>
  <si>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</si>
  <si>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</si>
  <si>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</si>
  <si>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</si>
  <si>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</si>
  <si>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</si>
  <si>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</si>
  <si>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</si>
  <si>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</si>
  <si>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</si>
  <si>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</si>
  <si>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</si>
  <si>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</si>
  <si>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</si>
  <si>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</si>
  <si>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</si>
  <si>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</si>
  <si>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</si>
  <si>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</si>
  <si>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</si>
  <si>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</si>
  <si>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</si>
  <si>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</si>
  <si>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</si>
  <si>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</si>
  <si>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</si>
  <si>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</si>
  <si>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</si>
  <si>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</si>
  <si>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</si>
  <si>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</si>
  <si>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</si>
  <si>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</si>
  <si>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</si>
  <si>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</si>
  <si>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</si>
  <si>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</si>
  <si>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</si>
  <si>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</si>
  <si>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</si>
  <si>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</si>
  <si>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</si>
  <si>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</si>
  <si>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</si>
  <si>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</si>
  <si>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</si>
  <si>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</si>
  <si>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</si>
  <si>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</si>
  <si>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The HV/LV Gross Forecast Plant Additions from January 2024 through December 2025 comes from the Forecast Transmission Capital Additions Work Papers.</t>
  </si>
  <si>
    <t>The HV/LV Gross Forecast Plant Additions information from January 2024 through December 2025 comes from the Summary of Monthly Common, General, and Electric Intangible Forecast Plant Additions Work Papers.</t>
  </si>
  <si>
    <t>BASE PERIOD 12 MONTHS ENDING DECEMBER 31, 2023</t>
  </si>
  <si>
    <t>BASE PERIOD 12 MONTHS ENDING DECEMBER 31, 2022</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</si>
  <si>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</si>
  <si>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</si>
  <si>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</si>
  <si>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</si>
  <si>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</si>
  <si>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Add back ADIT</t>
  </si>
  <si>
    <t>STATEMENT AF</t>
  </si>
  <si>
    <r>
      <t xml:space="preserve">FERC Account 282 - Property Related </t>
    </r>
    <r>
      <rPr>
        <b/>
        <vertAlign val="superscript"/>
        <sz val="12"/>
        <rFont val="Times New Roman"/>
        <family val="1"/>
      </rPr>
      <t>1</t>
    </r>
  </si>
  <si>
    <t>2001 - 2010</t>
  </si>
  <si>
    <t>2011 - 2020</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</si>
  <si>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</si>
  <si>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</si>
  <si>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</si>
  <si>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</si>
  <si>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</si>
  <si>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</si>
  <si>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</si>
  <si>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</si>
  <si>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</si>
  <si>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</si>
  <si>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</si>
  <si>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</si>
  <si>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</si>
  <si>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</si>
  <si>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</si>
  <si>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TO6-Cycle 1 True-Up Adjustment</t>
  </si>
  <si>
    <t>AF-4; Line 1; Col. c</t>
  </si>
  <si>
    <t>ADIT Adjustment - Annual Fixed Charge Rate (AFCR)</t>
  </si>
  <si>
    <t>Statement AF; Line 15</t>
  </si>
  <si>
    <r>
      <t xml:space="preserve">In-house fire brigade costs </t>
    </r>
    <r>
      <rPr>
        <b/>
        <vertAlign val="superscript"/>
        <sz val="12"/>
        <rFont val="Times New Roman"/>
        <family val="1"/>
      </rPr>
      <t>1</t>
    </r>
  </si>
  <si>
    <r>
      <t xml:space="preserve">In-house fire brigade costs </t>
    </r>
    <r>
      <rPr>
        <b/>
        <vertAlign val="superscript"/>
        <sz val="12"/>
        <rFont val="Times New Roman"/>
        <family val="1"/>
      </rPr>
      <t>2</t>
    </r>
  </si>
  <si>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</si>
  <si>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</si>
  <si>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</si>
  <si>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</si>
  <si>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</si>
  <si>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</si>
  <si>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t>Statement AK; Line 12</t>
  </si>
  <si>
    <t xml:space="preserve">Represents 2023 O&amp;M expenses for in-house fire brigade costs transferred to A&amp;G FERC account 923, Outside Services Employed per FERC Order in SDG&amp;E's TO5 Cycle 6 </t>
  </si>
  <si>
    <t>(ER24-524).</t>
  </si>
  <si>
    <t>Statement AK; Line 5</t>
  </si>
  <si>
    <t>For the Forecast Period January 1, 2024 - December 31, 2025</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</si>
  <si>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</si>
  <si>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</si>
  <si>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</si>
  <si>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</si>
  <si>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</si>
  <si>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</si>
  <si>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</si>
  <si>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</si>
  <si>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</si>
  <si>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</si>
  <si>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</si>
  <si>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</si>
  <si>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</si>
  <si>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</si>
  <si>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</si>
  <si>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</si>
  <si>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</si>
  <si>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</si>
  <si>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</si>
  <si>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</si>
  <si>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</si>
  <si>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</si>
  <si>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</si>
  <si>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</si>
  <si>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</si>
  <si>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</si>
  <si>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</si>
  <si>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</si>
  <si>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</si>
  <si>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</si>
  <si>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</si>
  <si>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</si>
  <si>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</si>
  <si>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</si>
  <si>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</si>
  <si>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Positive of Page 3; Line 16</t>
  </si>
  <si>
    <t xml:space="preserve">Page 4; Line 20 </t>
  </si>
  <si>
    <t>Negative of Page 1; Line 25</t>
  </si>
  <si>
    <r>
      <t xml:space="preserve">   Others (TBD) </t>
    </r>
    <r>
      <rPr>
        <b/>
        <vertAlign val="superscript"/>
        <sz val="12"/>
        <rFont val="Times New Roman"/>
        <family val="1"/>
      </rPr>
      <t>5</t>
    </r>
  </si>
  <si>
    <t>TBD</t>
  </si>
  <si>
    <t>SDG&amp;E will adjust the supporting workpaper for any future events that impacts ADIT.</t>
  </si>
  <si>
    <t xml:space="preserve">Page 3; Line 27 </t>
  </si>
  <si>
    <t>Sum Lines 25 thru 28</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</si>
  <si>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</si>
  <si>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</si>
  <si>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</si>
  <si>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</si>
  <si>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</si>
  <si>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</si>
  <si>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</si>
  <si>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Sum Lines 23 thru 26</t>
  </si>
  <si>
    <t>Line 23 Above</t>
  </si>
  <si>
    <t>Sum Lines 29 thru 36</t>
  </si>
  <si>
    <t>Line 27 / Line 37</t>
  </si>
  <si>
    <t>Col. a = Line 13 - Line 23</t>
  </si>
  <si>
    <t>Col. b and c = Line 18 x (Line 19; Col. a)</t>
  </si>
  <si>
    <t>Col. b and c = Line 22 x (Line 23; Col. a)</t>
  </si>
  <si>
    <t>Line 19 + Line 23</t>
  </si>
  <si>
    <t>Line 27 x Franchise Fee Rate</t>
  </si>
  <si>
    <t>Line 27 + Line 28</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</si>
  <si>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</si>
  <si>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</si>
  <si>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</si>
  <si>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</si>
  <si>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</si>
  <si>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</si>
  <si>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</si>
  <si>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</si>
  <si>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Negative of AH-1; Line 46; Col. b</t>
  </si>
  <si>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</si>
  <si>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</si>
  <si>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</si>
  <si>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</si>
  <si>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</si>
  <si>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</si>
  <si>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</si>
  <si>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</si>
  <si>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</si>
  <si>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</si>
  <si>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</si>
  <si>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</si>
  <si>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</si>
  <si>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</si>
  <si>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</si>
  <si>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</si>
  <si>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</si>
  <si>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</si>
  <si>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</si>
  <si>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</si>
  <si>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</si>
  <si>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</si>
  <si>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</si>
  <si>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</si>
  <si>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r>
      <t xml:space="preserve">In-house fire brigade costs </t>
    </r>
    <r>
      <rPr>
        <vertAlign val="superscript"/>
        <sz val="12"/>
        <rFont val="Times New Roman"/>
        <family val="1"/>
      </rPr>
      <t>2</t>
    </r>
  </si>
  <si>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</si>
  <si>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</si>
  <si>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</si>
  <si>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</si>
  <si>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</si>
  <si>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</si>
  <si>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</si>
  <si>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</si>
  <si>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</si>
  <si>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</si>
  <si>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</si>
  <si>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</si>
  <si>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</si>
  <si>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</si>
  <si>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</si>
  <si>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</si>
  <si>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</si>
  <si>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</si>
  <si>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</si>
  <si>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</si>
  <si>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</si>
  <si>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</si>
  <si>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Base Period 12 Months Ending December 31, 2023</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</si>
  <si>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</si>
  <si>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</si>
  <si>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</si>
  <si>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</si>
  <si>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</si>
  <si>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</si>
  <si>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</si>
  <si>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</si>
  <si>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</si>
  <si>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</si>
  <si>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</si>
  <si>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</si>
  <si>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</si>
  <si>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Negative of Line 14 x Line 41</t>
  </si>
  <si>
    <t>Misc.-1; Line 11; Col. c</t>
  </si>
  <si>
    <t>Sum Lines 1 thru 9</t>
  </si>
  <si>
    <t>Less: Electric Power Research Institute (EPRI) Dues</t>
  </si>
  <si>
    <t xml:space="preserve">   Gross Long Term Debt</t>
  </si>
  <si>
    <t>I</t>
  </si>
  <si>
    <t>4371028</t>
  </si>
  <si>
    <t>456</t>
  </si>
  <si>
    <t>RE Other Rev Sale Trans Serve</t>
  </si>
  <si>
    <t xml:space="preserve">Allocation </t>
  </si>
  <si>
    <t>Related</t>
  </si>
  <si>
    <t xml:space="preserve">     Total Unfunded Reserve</t>
  </si>
  <si>
    <t>(c) = [(a)+(b)]</t>
  </si>
  <si>
    <t>(f) = [(a)+(b)+(c)+(d)+(e)]/5</t>
  </si>
  <si>
    <t>Represents placeholder for New Unfunded Reserve</t>
  </si>
  <si>
    <t>Sum Lines 1 through 9</t>
  </si>
  <si>
    <t xml:space="preserve">     Injuries and Damages - Acct 228</t>
  </si>
  <si>
    <t xml:space="preserve">     Workers' Compensation - Acct 228</t>
  </si>
  <si>
    <t xml:space="preserve">     SERP - Acct 228 / Acct 242</t>
  </si>
  <si>
    <t xml:space="preserve">     Accrued Vacation - Acct 232</t>
  </si>
  <si>
    <t>DEFERRED LOSSES /GAINS FROM DISPOSITION OF UTILITY PLANT</t>
  </si>
  <si>
    <t>Deferred Losses from Disposition of Utility Plant - Acct 187</t>
  </si>
  <si>
    <t>Deferred Gains from Disposition of Utility Plant - Acct 256</t>
  </si>
  <si>
    <t xml:space="preserve">     Total Deferred Losses/(Gains) from Disposition of Utility Plant</t>
  </si>
  <si>
    <t>Total Deferred Losses/(Gains) from Disposition of Utility Plant</t>
  </si>
  <si>
    <t>Misc.-2; Line 5; Col. c</t>
  </si>
  <si>
    <t>Statement Misc; Line 11</t>
  </si>
  <si>
    <t>Deferred Losses/(Gains) from Disposition of Utility Plant</t>
  </si>
  <si>
    <t>Col (a) = Misc.-1.1; Line 1</t>
  </si>
  <si>
    <t>Col (a) = Misc.-1.1; Line 3</t>
  </si>
  <si>
    <t>Col (a) = Misc.-1.1; Line 5</t>
  </si>
  <si>
    <t>Col (a) = Misc.-1.1; Line 7</t>
  </si>
  <si>
    <t>Recorded</t>
  </si>
  <si>
    <t>Transmission Revenues:</t>
  </si>
  <si>
    <t>Allocated</t>
  </si>
  <si>
    <t>Adjusted Transmission Wages &amp; Salaries</t>
  </si>
  <si>
    <t>Transmission Wages &amp; Salaries Adjustment</t>
  </si>
  <si>
    <t>Transmission Wages &amp; Salaries Per Book</t>
  </si>
  <si>
    <t>Distribution Wages &amp; Salaries Per Book</t>
  </si>
  <si>
    <t>Adjusted Distribution Wages &amp; Salaries</t>
  </si>
  <si>
    <t>Adjusted O&amp;M Expense</t>
  </si>
  <si>
    <t>Per Settlement Agreement</t>
  </si>
  <si>
    <t>Total Electric Materials Expensed</t>
  </si>
  <si>
    <t>Total Electric Materials Capitalized</t>
  </si>
  <si>
    <t>Total Electric Materials</t>
  </si>
  <si>
    <t>Total Elec. Transmission Materials Expensed</t>
  </si>
  <si>
    <t>Total Elec. Transmission Materials Capitalized</t>
  </si>
  <si>
    <t>Total Elec. Transmission Materials</t>
  </si>
  <si>
    <t>Transmission Percent of Materials Used</t>
  </si>
  <si>
    <t>Statement AL - Working Capital</t>
  </si>
  <si>
    <t>Derivation of Transmission M&amp;S 3-Year Rolling Average Ratio</t>
  </si>
  <si>
    <t>Transmission M&amp;S Rolling 3-Year Average Ratio</t>
  </si>
  <si>
    <t>AD-6; Line 21</t>
  </si>
  <si>
    <t>Line 17 Minus Line 19</t>
  </si>
  <si>
    <t>Line 20 Above</t>
  </si>
  <si>
    <t>Line 22 Plus Line 23</t>
  </si>
  <si>
    <t>Line 19 Below</t>
  </si>
  <si>
    <t>Line 24 Below</t>
  </si>
  <si>
    <t>Negative of Page 1; Line 1 x 60%</t>
  </si>
  <si>
    <t>Negative of Page 1; Line 3 x 60%</t>
  </si>
  <si>
    <t>From Statement AD - 6</t>
  </si>
  <si>
    <t>Ratio of Col C; Line 18 and Col A; Line 18</t>
  </si>
  <si>
    <t>Col. A</t>
  </si>
  <si>
    <t>Col. B</t>
  </si>
  <si>
    <t>Col. C</t>
  </si>
  <si>
    <t>2</t>
  </si>
  <si>
    <t>3</t>
  </si>
  <si>
    <t>Comp. Hardware</t>
  </si>
  <si>
    <t>Comp. Software</t>
  </si>
  <si>
    <t>Comm. Equip</t>
  </si>
  <si>
    <t>Gas-Only Expenses</t>
  </si>
  <si>
    <t>Executive ICP</t>
  </si>
  <si>
    <t>Represents the current Franchise Fees and Uncollectible (FF&amp;U) expense rates approved in SDG&amp;E's General Rate Case (GRC).</t>
  </si>
  <si>
    <r>
      <t>Revenues</t>
    </r>
    <r>
      <rPr>
        <b/>
        <sz val="12"/>
        <rFont val="Times New Roman"/>
        <family val="1"/>
      </rPr>
      <t xml:space="preserve"> </t>
    </r>
    <r>
      <rPr>
        <b/>
        <vertAlign val="superscript"/>
        <sz val="12"/>
        <rFont val="Times New Roman"/>
        <family val="1"/>
      </rPr>
      <t>2</t>
    </r>
    <r>
      <rPr>
        <b/>
        <u/>
        <sz val="12"/>
        <rFont val="Times New Roman"/>
        <family val="1"/>
      </rPr>
      <t>,</t>
    </r>
  </si>
  <si>
    <t>60% of Transmission O&amp;M Expense</t>
  </si>
  <si>
    <t>60% of Transmission Related A&amp;G Expense</t>
  </si>
  <si>
    <t>AU-1; Page 2; Line 21; Col. m</t>
  </si>
  <si>
    <t>AU-1; Page 2; Line 26; Col. m</t>
  </si>
  <si>
    <t>9a</t>
  </si>
  <si>
    <t>Col (a) = Misc.-1.1; Line 9a</t>
  </si>
  <si>
    <t>Sum Lines 6, 11, 16, 22, 24, 25, 26</t>
  </si>
  <si>
    <t xml:space="preserve">     Transmission M&amp;S Allocation Factor</t>
  </si>
  <si>
    <t>AL-1.1; Line 13</t>
  </si>
  <si>
    <t xml:space="preserve">   Transmission Related Cash Working Capital Allocation Ratio</t>
  </si>
  <si>
    <t>Sum Lines 14 thru 16</t>
  </si>
  <si>
    <t>Line 17 x Line 19</t>
  </si>
  <si>
    <t>Line 16 Above</t>
  </si>
  <si>
    <t>Line 19 Above</t>
  </si>
  <si>
    <t>Line 24 x Line 26</t>
  </si>
  <si>
    <t>Line 28 x Line 30</t>
  </si>
  <si>
    <t>Line 28 x Line 34</t>
  </si>
  <si>
    <t xml:space="preserve">     CPUC Intervenor Funding Expense Revenue Adj. - Base ROE</t>
  </si>
  <si>
    <t xml:space="preserve">     CPUC Intervenor Funding Expense Revenue Adj. - CAISO Participation ROE Adder</t>
  </si>
  <si>
    <t>Statement AL; Line 11</t>
  </si>
  <si>
    <r>
      <t xml:space="preserve">Unfunded Reserves </t>
    </r>
    <r>
      <rPr>
        <vertAlign val="superscript"/>
        <sz val="12"/>
        <rFont val="Times New Roman"/>
        <family val="1"/>
      </rPr>
      <t>2</t>
    </r>
  </si>
  <si>
    <r>
      <t xml:space="preserve">Workers' Compensation - Acct 228 </t>
    </r>
    <r>
      <rPr>
        <vertAlign val="superscript"/>
        <sz val="12"/>
        <rFont val="Times New Roman"/>
        <family val="1"/>
      </rPr>
      <t>1</t>
    </r>
  </si>
  <si>
    <r>
      <t>SERP - Acct 228 / Acct 242</t>
    </r>
    <r>
      <rPr>
        <vertAlign val="superscript"/>
        <sz val="12"/>
        <rFont val="Times New Roman"/>
        <family val="1"/>
      </rPr>
      <t xml:space="preserve"> 2</t>
    </r>
  </si>
  <si>
    <r>
      <t>Accrued Vacation - Acct 232</t>
    </r>
    <r>
      <rPr>
        <vertAlign val="superscript"/>
        <sz val="12"/>
        <rFont val="Times New Roman"/>
        <family val="1"/>
      </rPr>
      <t xml:space="preserve"> 2</t>
    </r>
  </si>
  <si>
    <r>
      <rPr>
        <vertAlign val="superscript"/>
        <sz val="12"/>
        <rFont val="Times New Roman"/>
        <family val="1"/>
      </rPr>
      <t>1</t>
    </r>
  </si>
  <si>
    <t>Allocation Factor 1 shown on lines 1 and 3 is derived as follows based on recorded data:</t>
  </si>
  <si>
    <t>Allocation Factor 2 shown on lines 5 and 7 is derived as follows based on recorded data:</t>
  </si>
  <si>
    <r>
      <t xml:space="preserve">Injuries and Damages - Acct 228 </t>
    </r>
    <r>
      <rPr>
        <vertAlign val="superscript"/>
        <sz val="12"/>
        <rFont val="Times New Roman"/>
        <family val="1"/>
      </rPr>
      <t>1</t>
    </r>
  </si>
  <si>
    <r>
      <t xml:space="preserve">Other Unfunded Reserve - Acct XXX </t>
    </r>
    <r>
      <rPr>
        <vertAlign val="superscript"/>
        <sz val="12"/>
        <rFont val="Times New Roman"/>
        <family val="1"/>
      </rPr>
      <t>3</t>
    </r>
  </si>
  <si>
    <t>Tab AD-10; Line 6</t>
  </si>
  <si>
    <t>Stmt AH; Line 41</t>
  </si>
  <si>
    <t>Stmt AI; Line 15</t>
  </si>
  <si>
    <r>
      <t xml:space="preserve">     Other Unfunded Reserve - Acct XXX </t>
    </r>
    <r>
      <rPr>
        <vertAlign val="superscript"/>
        <sz val="12"/>
        <rFont val="Times New Roman"/>
        <family val="1"/>
      </rPr>
      <t>1</t>
    </r>
  </si>
  <si>
    <t>Page 1; Line 31</t>
  </si>
  <si>
    <t>Tab "TO5 True-Up"; Line 25; Col. 11</t>
  </si>
  <si>
    <t xml:space="preserve">Line 21 + Line 23 </t>
  </si>
  <si>
    <t>Negative of Statement AL; Line 32</t>
  </si>
  <si>
    <t>Negative of Statement AL; Line 36</t>
  </si>
  <si>
    <t>Col. b and c = Line 18 x (Line 31; Col. a)</t>
  </si>
  <si>
    <t>Line 29 + Line 31</t>
  </si>
  <si>
    <t>2022 Form 1; Page 356.1; Accts 303 to 398</t>
  </si>
  <si>
    <t>2022 Form 1; Page 356.1; Electric</t>
  </si>
  <si>
    <t>2023 Form 1; Page 356.1; Accts 303 to 398</t>
  </si>
  <si>
    <t>2023 Form 1; Page 356.1; Electric</t>
  </si>
  <si>
    <t>Transmission O&amp;M Expense Adjustment - Plant Transfers between G, T and D.</t>
  </si>
  <si>
    <t>Line 33 x Line 58</t>
  </si>
  <si>
    <t>Line 33 minus Line 59</t>
  </si>
  <si>
    <t>Negative of AH-2; Line 28; Col. a</t>
  </si>
  <si>
    <t xml:space="preserve"> ((Line 16 x 0.8) + (Stmt AD; Line 35 x 0.2))</t>
  </si>
  <si>
    <t>Negative of AH-2; Line 16; Col. B + AH-2; Line 28; Col. A</t>
  </si>
  <si>
    <t xml:space="preserve">    Net  Long-Term Debt</t>
  </si>
  <si>
    <t>Sum Lines 5 thru 7</t>
  </si>
  <si>
    <t>Sum Lines 11 thru 15</t>
  </si>
  <si>
    <t>Line 16 / Line 8</t>
  </si>
  <si>
    <t>Gross Long-Term Debt</t>
  </si>
  <si>
    <r>
      <t xml:space="preserve">Ratio </t>
    </r>
    <r>
      <rPr>
        <vertAlign val="superscript"/>
        <sz val="12"/>
        <rFont val="Times New Roman"/>
        <family val="1"/>
      </rPr>
      <t>2</t>
    </r>
  </si>
  <si>
    <t>Statement BK-1; Page 3; Line 28</t>
  </si>
  <si>
    <t>Statement BK-1; Page 3; Line 33</t>
  </si>
  <si>
    <r>
      <t>Revenues</t>
    </r>
    <r>
      <rPr>
        <b/>
        <sz val="12"/>
        <rFont val="Times New Roman"/>
        <family val="1"/>
      </rPr>
      <t xml:space="preserve"> </t>
    </r>
    <r>
      <rPr>
        <b/>
        <vertAlign val="superscript"/>
        <sz val="12"/>
        <rFont val="Times New Roman"/>
        <family val="1"/>
      </rPr>
      <t>2,8</t>
    </r>
  </si>
  <si>
    <t>Beginning Balance (TO6 Stmt AF; Line 7; Col. a)</t>
  </si>
  <si>
    <t>Ending Balance (TO6 Stmt AF; Line 7; Col. b)</t>
  </si>
  <si>
    <t>Page 3; Line 28</t>
  </si>
  <si>
    <t>Page 3; Line 28 - Line 10</t>
  </si>
  <si>
    <r>
      <t xml:space="preserve">Other BTRR </t>
    </r>
    <r>
      <rPr>
        <vertAlign val="subscript"/>
        <sz val="12"/>
        <rFont val="Times New Roman"/>
        <family val="1"/>
      </rPr>
      <t>EU</t>
    </r>
    <r>
      <rPr>
        <sz val="12"/>
        <rFont val="Times New Roman"/>
        <family val="1"/>
      </rPr>
      <t xml:space="preserve"> Adjustments - Black Box Adjustment Per Settlement Agreement</t>
    </r>
  </si>
  <si>
    <t>Line 15  + Line 19+ Line 23 + (Sum Lines 25 thru 29)</t>
  </si>
  <si>
    <t>Page 3; Line 33</t>
  </si>
  <si>
    <t>Page 3; Line 38</t>
  </si>
  <si>
    <t>Page 3; Line 40</t>
  </si>
  <si>
    <t>Page 1; Line 31 + Line 37</t>
  </si>
  <si>
    <t>Shall be Zero per the Settlement Agreement</t>
  </si>
  <si>
    <t>Line 36 + Line 37</t>
  </si>
  <si>
    <t>Line 31 + Line 32</t>
  </si>
  <si>
    <t>Negative of Page 1; Line 29</t>
  </si>
  <si>
    <t>Page 1; Line 31 + Page 2; Line 11</t>
  </si>
  <si>
    <t>Sum Lines 8 thru 10</t>
  </si>
  <si>
    <r>
      <t>Settlement Composite Depreciation Rate for AFCR</t>
    </r>
    <r>
      <rPr>
        <b/>
        <vertAlign val="superscript"/>
        <sz val="10"/>
        <rFont val="Times New Roman"/>
        <family val="1"/>
      </rPr>
      <t>1</t>
    </r>
  </si>
  <si>
    <r>
      <rPr>
        <vertAlign val="superscript"/>
        <sz val="10"/>
        <rFont val="Times New Roman"/>
        <family val="1"/>
      </rPr>
      <t>1</t>
    </r>
    <r>
      <rPr>
        <vertAlign val="superscript"/>
        <sz val="8.4"/>
        <rFont val="Times New Roman"/>
        <family val="1"/>
      </rPr>
      <t xml:space="preserve"> </t>
    </r>
    <r>
      <rPr>
        <sz val="12"/>
        <rFont val="Times New Roman"/>
        <family val="1"/>
      </rPr>
      <t xml:space="preserve">The Settlement Composite Depreciation Rate will be used in the calculation of the AFCR for </t>
    </r>
  </si>
  <si>
    <t>TO6 Cycle 1 and Cycle 2 because the new TO6 Depreciation rates are not reflected in SDG&amp;E's</t>
  </si>
  <si>
    <t xml:space="preserve">Accounting System until the after the Settlement is final. </t>
  </si>
  <si>
    <t>351.1 - Total</t>
  </si>
  <si>
    <t>351.2 - Total</t>
  </si>
  <si>
    <t>351.3 - Total</t>
  </si>
  <si>
    <t>Tab AJ-1B; Line 38; Col. c</t>
  </si>
  <si>
    <t>Transmission O&amp;M Allocation Factor</t>
  </si>
  <si>
    <r>
      <t xml:space="preserve">SDG&amp;E Executive Compensation </t>
    </r>
    <r>
      <rPr>
        <vertAlign val="superscript"/>
        <sz val="12"/>
        <rFont val="Times New Roman"/>
        <family val="1"/>
      </rPr>
      <t>1</t>
    </r>
  </si>
  <si>
    <r>
      <t>SDG&amp;E Non-Executive ICP Financial Metrics and LTIP</t>
    </r>
    <r>
      <rPr>
        <vertAlign val="superscript"/>
        <sz val="12"/>
        <rFont val="Times New Roman"/>
        <family val="1"/>
      </rPr>
      <t xml:space="preserve">  1</t>
    </r>
  </si>
  <si>
    <r>
      <t xml:space="preserve">Sempra Executive Compensation </t>
    </r>
    <r>
      <rPr>
        <vertAlign val="superscript"/>
        <sz val="12"/>
        <rFont val="Times New Roman"/>
        <family val="1"/>
      </rPr>
      <t>1</t>
    </r>
  </si>
  <si>
    <r>
      <t xml:space="preserve">Sempra Non-Executive ICP Financial Metrics and LTIP </t>
    </r>
    <r>
      <rPr>
        <vertAlign val="superscript"/>
        <sz val="12"/>
        <rFont val="Times New Roman"/>
        <family val="1"/>
      </rPr>
      <t>1</t>
    </r>
  </si>
  <si>
    <t>For simplicity purposes, total exclusion will be made to O&amp;M.</t>
  </si>
  <si>
    <t>(c) = (a) x (b)</t>
  </si>
  <si>
    <t>Hypothetical Capital Structure reached in the TO6 Settlement: Common Equity Ratio = 54%; Long-Term Debt Ratio = 46%.</t>
  </si>
  <si>
    <t>Sum Lines 26 thru 27</t>
  </si>
  <si>
    <t>Page 1; Line  30</t>
  </si>
  <si>
    <r>
      <t xml:space="preserve">Ratio </t>
    </r>
    <r>
      <rPr>
        <vertAlign val="superscript"/>
        <sz val="12"/>
        <rFont val="Times New Roman"/>
        <family val="1"/>
      </rPr>
      <t>1</t>
    </r>
  </si>
  <si>
    <t>Page 2; Line 10</t>
  </si>
  <si>
    <t>Per TO6 Settlement Agreement</t>
  </si>
  <si>
    <t>Unfunded Reserves are calculated using a five-qurter average per the TO6 Settlement Agreement</t>
  </si>
  <si>
    <t>Col. b = Line 18 Above</t>
  </si>
  <si>
    <t>Col. b = Line 21 Above</t>
  </si>
  <si>
    <t>Line 27; Col. c</t>
  </si>
  <si>
    <t>Col. b = Line 33 Above</t>
  </si>
  <si>
    <t>Sum Lines 38 thru 39</t>
  </si>
  <si>
    <t>Col. b = Page 1, Line 18</t>
  </si>
  <si>
    <t>Col. b = Line 1 Above</t>
  </si>
  <si>
    <t>Col. b = Line 13 Above</t>
  </si>
  <si>
    <t>Sum Lines 18 thru 19</t>
  </si>
  <si>
    <t>Line 19; Col. c</t>
  </si>
  <si>
    <t>Line 7; Col. c</t>
  </si>
  <si>
    <t>Line 39; Col. c</t>
  </si>
  <si>
    <t>Page 1; Line 28; Col. c</t>
  </si>
  <si>
    <t>Page 1; Line 42; Col. c</t>
  </si>
  <si>
    <t>Credit Facility Fees</t>
  </si>
  <si>
    <t>Page 2; Line 8; Col. c</t>
  </si>
  <si>
    <t>Page 2; Line 20</t>
  </si>
  <si>
    <t>570.1</t>
  </si>
  <si>
    <t>Generator Step-Up Expenses</t>
  </si>
  <si>
    <t>WMPMA Error Correction</t>
  </si>
  <si>
    <t>Negative AH-1; Line 62; Col. c</t>
  </si>
  <si>
    <t>Incentive Cost of Equity Component</t>
  </si>
  <si>
    <t xml:space="preserve">Cost of Equity Component </t>
  </si>
  <si>
    <t xml:space="preserve">     A = Return on Equity Component</t>
  </si>
  <si>
    <t>Per Section II.B. of Appendix VIII:</t>
  </si>
  <si>
    <t xml:space="preserve">Data cells that are colored coded green are manual inputs based on the workpapers and/or FERC Form 1 that are external to the Formula Rate Spreadsheet </t>
  </si>
  <si>
    <t>Data cells that are color coded yellow are linked to cells on other pages within the Formula Rate Spreadsheet</t>
  </si>
  <si>
    <t>Data cells color coded grey shall be zero</t>
  </si>
  <si>
    <t>Shall be zero percent per the Settlement Agreement</t>
  </si>
  <si>
    <t>rates shown on line 36 pursuant to Term 54 in Appendix VIII.</t>
  </si>
  <si>
    <t>N/A</t>
  </si>
  <si>
    <t>Sum Lines 6 thru 7</t>
  </si>
  <si>
    <t>True-up Statement AJ; Line 17</t>
  </si>
  <si>
    <t>True-up Statement AK; Line 5</t>
  </si>
  <si>
    <t>True-up Statement AJ; Line 23</t>
  </si>
  <si>
    <t>True-up Statement AK; Line 12</t>
  </si>
  <si>
    <t>TO5 Stmt AF Proration; Line 13; Col. 8</t>
  </si>
  <si>
    <t>True-up Statement AD; Line 27</t>
  </si>
  <si>
    <t>True-up Statement AD; Line 29</t>
  </si>
  <si>
    <t>True-up Statement AD; Line 31</t>
  </si>
  <si>
    <t>True-up Statement AE; Line 11</t>
  </si>
  <si>
    <t>True-up Statement AE; Line 13</t>
  </si>
  <si>
    <t>True-up Statement AE; Line 15</t>
  </si>
  <si>
    <t>Uncolored cells reflect formulas (e.g., cells representing the sum of proceeding lines) or links to cells on the same page</t>
  </si>
  <si>
    <r>
      <t>CAISO Participation ROE Adder</t>
    </r>
    <r>
      <rPr>
        <u/>
        <vertAlign val="superscript"/>
        <sz val="12"/>
        <rFont val="Times New Roman"/>
        <family val="1"/>
      </rPr>
      <t>2</t>
    </r>
    <r>
      <rPr>
        <u/>
        <sz val="12"/>
        <rFont val="Times New Roman"/>
        <family val="1"/>
      </rPr>
      <t>:</t>
    </r>
    <r>
      <rPr>
        <sz val="12"/>
        <rFont val="Times New Roman"/>
        <family val="1"/>
      </rPr>
      <t xml:space="preserve"> </t>
    </r>
  </si>
  <si>
    <r>
      <t>CAISO Participation ROE Adder</t>
    </r>
    <r>
      <rPr>
        <u/>
        <vertAlign val="superscript"/>
        <sz val="12"/>
        <rFont val="Times New Roman"/>
        <family val="1"/>
      </rPr>
      <t>3</t>
    </r>
    <r>
      <rPr>
        <u/>
        <sz val="12"/>
        <rFont val="Times New Roman"/>
        <family val="1"/>
      </rPr>
      <t>:</t>
    </r>
    <r>
      <rPr>
        <sz val="12"/>
        <rFont val="Times New Roman"/>
        <family val="1"/>
      </rPr>
      <t xml:space="preserve"> </t>
    </r>
  </si>
  <si>
    <t>CAISO Participation ROE Adder will not be changed unless FERC or a court of competent jurisdiction issues an order authorizing SDG&amp;E to include the 50 basis point CAISO participation adder in the TO6 Formula Rate.</t>
  </si>
  <si>
    <t>Col. c = Page 1, Line 33</t>
  </si>
  <si>
    <r>
      <t xml:space="preserve">Derivation of Non-CAISO Prior Year Revenue Requirements (PYRR </t>
    </r>
    <r>
      <rPr>
        <b/>
        <vertAlign val="subscript"/>
        <sz val="12"/>
        <color theme="1"/>
        <rFont val="Times New Roman"/>
        <family val="1"/>
      </rPr>
      <t>EU</t>
    </r>
    <r>
      <rPr>
        <b/>
        <sz val="12"/>
        <color theme="1"/>
        <rFont val="Times New Roman"/>
        <family val="1"/>
      </rPr>
      <t>)</t>
    </r>
  </si>
  <si>
    <r>
      <t xml:space="preserve">A. End of Prior Year Revenue Requirement (PYRR </t>
    </r>
    <r>
      <rPr>
        <b/>
        <u/>
        <vertAlign val="subscript"/>
        <sz val="12"/>
        <color theme="1"/>
        <rFont val="Times New Roman"/>
        <family val="1"/>
      </rPr>
      <t>EU</t>
    </r>
    <r>
      <rPr>
        <b/>
        <u/>
        <sz val="12"/>
        <color theme="1"/>
        <rFont val="Times New Roman"/>
        <family val="1"/>
      </rPr>
      <t>):</t>
    </r>
  </si>
  <si>
    <r>
      <t xml:space="preserve">     End of Prior Year Revenue Requirement (PYRR </t>
    </r>
    <r>
      <rPr>
        <vertAlign val="subscript"/>
        <sz val="12"/>
        <color theme="1"/>
        <rFont val="Times New Roman"/>
        <family val="1"/>
      </rPr>
      <t>EU</t>
    </r>
    <r>
      <rPr>
        <sz val="12"/>
        <color theme="1"/>
        <rFont val="Times New Roman"/>
        <family val="1"/>
      </rPr>
      <t>) Excluding FF&amp;U</t>
    </r>
  </si>
  <si>
    <r>
      <t>B. Incentive ROE Project Transmission Revenue Requirement:</t>
    </r>
    <r>
      <rPr>
        <b/>
        <sz val="12"/>
        <color theme="1"/>
        <rFont val="Times New Roman"/>
        <family val="1"/>
      </rPr>
      <t xml:space="preserve"> </t>
    </r>
    <r>
      <rPr>
        <b/>
        <vertAlign val="superscript"/>
        <sz val="12"/>
        <color theme="1"/>
        <rFont val="Times New Roman"/>
        <family val="1"/>
      </rPr>
      <t>1, 2</t>
    </r>
  </si>
  <si>
    <t xml:space="preserve">     Total Incentive ROE Project Transmission Revenue Requirement</t>
  </si>
  <si>
    <r>
      <t>C. Incentive Transmission Plant Abandoned Project Revenue Requirement:</t>
    </r>
    <r>
      <rPr>
        <b/>
        <sz val="12"/>
        <color theme="1"/>
        <rFont val="Times New Roman"/>
        <family val="1"/>
      </rPr>
      <t xml:space="preserve"> </t>
    </r>
    <r>
      <rPr>
        <b/>
        <vertAlign val="superscript"/>
        <sz val="12"/>
        <color theme="1"/>
        <rFont val="Times New Roman"/>
        <family val="1"/>
      </rPr>
      <t>1, 2</t>
    </r>
  </si>
  <si>
    <t xml:space="preserve">     Total Incentive Transmission Plant Abandoned Project Revenue Requirement</t>
  </si>
  <si>
    <r>
      <t>D. Incentive Transmission Construction Work In Progress (CWIP) Revenue Requirement:</t>
    </r>
    <r>
      <rPr>
        <b/>
        <sz val="12"/>
        <color theme="1"/>
        <rFont val="Times New Roman"/>
        <family val="1"/>
      </rPr>
      <t xml:space="preserve"> </t>
    </r>
    <r>
      <rPr>
        <b/>
        <vertAlign val="superscript"/>
        <sz val="12"/>
        <color theme="1"/>
        <rFont val="Times New Roman"/>
        <family val="1"/>
      </rPr>
      <t>1, 2</t>
    </r>
  </si>
  <si>
    <t xml:space="preserve">     Total Incentive CWIP Revenue Requirement</t>
  </si>
  <si>
    <r>
      <t xml:space="preserve">     Total Incentive End of Prior Year Revenue Requirement (PYRR </t>
    </r>
    <r>
      <rPr>
        <vertAlign val="subscript"/>
        <sz val="12"/>
        <color theme="1"/>
        <rFont val="Times New Roman"/>
        <family val="1"/>
      </rPr>
      <t>EU-IR</t>
    </r>
    <r>
      <rPr>
        <sz val="12"/>
        <color theme="1"/>
        <rFont val="Times New Roman"/>
        <family val="1"/>
      </rPr>
      <t>) Excluding FF&amp;U</t>
    </r>
  </si>
  <si>
    <t>The revenue requirements attributed to Transmission Plant Abandoned Projects and Transmission Construction Work in Progress (CWIP) incentives are derived using the regular Cost of Capital Rate.</t>
  </si>
  <si>
    <t>Total Prior Year Revenue Requirements (PYRR) or Base Period Revenue Requirement is for 12 months ending the applicable cycle base period.</t>
  </si>
  <si>
    <r>
      <t xml:space="preserve">Derivation of Non-CAISO Forecast Period Capital Additions Revenue Requirements (FC </t>
    </r>
    <r>
      <rPr>
        <b/>
        <vertAlign val="subscript"/>
        <sz val="12"/>
        <color theme="1"/>
        <rFont val="Times New Roman"/>
        <family val="1"/>
      </rPr>
      <t>EU</t>
    </r>
    <r>
      <rPr>
        <b/>
        <sz val="12"/>
        <color theme="1"/>
        <rFont val="Times New Roman"/>
        <family val="1"/>
      </rPr>
      <t>)</t>
    </r>
  </si>
  <si>
    <r>
      <t xml:space="preserve">Derivation of Non-CAISO Base Transmission Revenue Requirements (BTRR </t>
    </r>
    <r>
      <rPr>
        <b/>
        <vertAlign val="subscript"/>
        <sz val="12"/>
        <color theme="1"/>
        <rFont val="Times New Roman"/>
        <family val="1"/>
      </rPr>
      <t>EU</t>
    </r>
    <r>
      <rPr>
        <b/>
        <sz val="12"/>
        <color theme="1"/>
        <rFont val="Times New Roman"/>
        <family val="1"/>
      </rPr>
      <t>)</t>
    </r>
  </si>
  <si>
    <r>
      <t xml:space="preserve">A. Non-CASIO Customer Base Transmission Revenue Requirement (BTRR </t>
    </r>
    <r>
      <rPr>
        <b/>
        <u/>
        <vertAlign val="subscript"/>
        <sz val="12"/>
        <color theme="1"/>
        <rFont val="Times New Roman"/>
        <family val="1"/>
      </rPr>
      <t>EU</t>
    </r>
    <r>
      <rPr>
        <b/>
        <u/>
        <sz val="12"/>
        <color theme="1"/>
        <rFont val="Times New Roman"/>
        <family val="1"/>
      </rPr>
      <t>):</t>
    </r>
  </si>
  <si>
    <r>
      <t xml:space="preserve">End of Prior Year Revenue Requirement (PYRR </t>
    </r>
    <r>
      <rPr>
        <vertAlign val="subscript"/>
        <sz val="12"/>
        <color theme="1"/>
        <rFont val="Times New Roman"/>
        <family val="1"/>
      </rPr>
      <t>EU</t>
    </r>
    <r>
      <rPr>
        <sz val="12"/>
        <color theme="1"/>
        <rFont val="Times New Roman"/>
        <family val="1"/>
      </rPr>
      <t>) Excluding FF&amp;U</t>
    </r>
  </si>
  <si>
    <r>
      <t xml:space="preserve">Incentive End of Prior Year Revenue Requirement (PYRR </t>
    </r>
    <r>
      <rPr>
        <vertAlign val="subscript"/>
        <sz val="12"/>
        <color theme="1"/>
        <rFont val="Times New Roman"/>
        <family val="1"/>
      </rPr>
      <t>EU-IR</t>
    </r>
    <r>
      <rPr>
        <sz val="12"/>
        <color theme="1"/>
        <rFont val="Times New Roman"/>
        <family val="1"/>
      </rPr>
      <t>) Excluding FF&amp;U</t>
    </r>
  </si>
  <si>
    <t xml:space="preserve">Non-CAISO True-Up Period Adjustment </t>
  </si>
  <si>
    <t>Non-CAISO Interest True-Up Adjustment</t>
  </si>
  <si>
    <r>
      <t xml:space="preserve">Forecast Period Incentive Capital Additions Revenue Requirements (FC </t>
    </r>
    <r>
      <rPr>
        <vertAlign val="subscript"/>
        <sz val="12"/>
        <color theme="1"/>
        <rFont val="Times New Roman"/>
        <family val="1"/>
      </rPr>
      <t>EU-IR-ROE</t>
    </r>
    <r>
      <rPr>
        <sz val="12"/>
        <color theme="1"/>
        <rFont val="Times New Roman"/>
        <family val="1"/>
      </rPr>
      <t>)</t>
    </r>
  </si>
  <si>
    <r>
      <t xml:space="preserve">B. Subtotal BTRR </t>
    </r>
    <r>
      <rPr>
        <b/>
        <u/>
        <vertAlign val="subscript"/>
        <sz val="12"/>
        <color theme="1"/>
        <rFont val="Times New Roman"/>
        <family val="1"/>
      </rPr>
      <t>EU</t>
    </r>
    <r>
      <rPr>
        <b/>
        <u/>
        <sz val="12"/>
        <color theme="1"/>
        <rFont val="Times New Roman"/>
        <family val="1"/>
      </rPr>
      <t xml:space="preserve"> Excluding FF&amp;U:</t>
    </r>
  </si>
  <si>
    <r>
      <t xml:space="preserve">C. Subtotal BTRR </t>
    </r>
    <r>
      <rPr>
        <b/>
        <u/>
        <vertAlign val="subscript"/>
        <sz val="12"/>
        <color theme="1"/>
        <rFont val="Times New Roman"/>
        <family val="1"/>
      </rPr>
      <t>EU</t>
    </r>
    <r>
      <rPr>
        <b/>
        <u/>
        <sz val="12"/>
        <color theme="1"/>
        <rFont val="Times New Roman"/>
        <family val="1"/>
      </rPr>
      <t xml:space="preserve"> With FF&amp;U:</t>
    </r>
  </si>
  <si>
    <r>
      <t xml:space="preserve">D. Other BTRR </t>
    </r>
    <r>
      <rPr>
        <b/>
        <u/>
        <vertAlign val="subscript"/>
        <sz val="12"/>
        <color theme="1"/>
        <rFont val="Times New Roman"/>
        <family val="1"/>
      </rPr>
      <t>EU</t>
    </r>
    <r>
      <rPr>
        <b/>
        <u/>
        <sz val="12"/>
        <color theme="1"/>
        <rFont val="Times New Roman"/>
        <family val="1"/>
      </rPr>
      <t xml:space="preserve"> Adjustments:</t>
    </r>
  </si>
  <si>
    <r>
      <t xml:space="preserve">E. Total BTRR </t>
    </r>
    <r>
      <rPr>
        <b/>
        <u/>
        <vertAlign val="subscript"/>
        <sz val="12"/>
        <color theme="1"/>
        <rFont val="Times New Roman"/>
        <family val="1"/>
      </rPr>
      <t>EU</t>
    </r>
    <r>
      <rPr>
        <b/>
        <u/>
        <sz val="12"/>
        <color theme="1"/>
        <rFont val="Times New Roman"/>
        <family val="1"/>
      </rPr>
      <t xml:space="preserve"> With FF&amp;U:</t>
    </r>
  </si>
  <si>
    <t>A. Derivation of Revenue Requirement Related With Total Transmission Facilities:</t>
  </si>
  <si>
    <r>
      <t xml:space="preserve">BTRR </t>
    </r>
    <r>
      <rPr>
        <vertAlign val="subscript"/>
        <sz val="12"/>
        <color theme="1"/>
        <rFont val="Times New Roman"/>
        <family val="1"/>
      </rPr>
      <t>EU</t>
    </r>
    <r>
      <rPr>
        <sz val="12"/>
        <color theme="1"/>
        <rFont val="Times New Roman"/>
        <family val="1"/>
      </rPr>
      <t xml:space="preserve"> Excluding FF&amp;U</t>
    </r>
  </si>
  <si>
    <t>Less: CPUC Intervenor Funding Expense Revenue Requirement Adjustment - Base ROE</t>
  </si>
  <si>
    <t>Less: CPUC Intervenor Funding Expense Revenue Requirement Adjustment - CAISO Participation ROE Adder</t>
  </si>
  <si>
    <r>
      <t xml:space="preserve">     Total BTRR </t>
    </r>
    <r>
      <rPr>
        <vertAlign val="subscript"/>
        <sz val="12"/>
        <color theme="1"/>
        <rFont val="Times New Roman"/>
        <family val="1"/>
      </rPr>
      <t>CAISO</t>
    </r>
    <r>
      <rPr>
        <sz val="12"/>
        <color theme="1"/>
        <rFont val="Times New Roman"/>
        <family val="1"/>
      </rPr>
      <t xml:space="preserve"> Excluding Franchise Fees</t>
    </r>
  </si>
  <si>
    <t xml:space="preserve">    Total HV/LV Transmission Forecast Plant Additions Revenue Requirements</t>
  </si>
  <si>
    <r>
      <t xml:space="preserve">Transmission Facilities (BTRR </t>
    </r>
    <r>
      <rPr>
        <vertAlign val="subscript"/>
        <sz val="12"/>
        <color theme="1"/>
        <rFont val="Times New Roman"/>
        <family val="1"/>
      </rPr>
      <t>CAISO</t>
    </r>
    <r>
      <rPr>
        <sz val="12"/>
        <color theme="1"/>
        <rFont val="Times New Roman"/>
        <family val="1"/>
      </rPr>
      <t>) Excluding Franchise Fees</t>
    </r>
  </si>
  <si>
    <r>
      <t xml:space="preserve">Franchise Fee </t>
    </r>
    <r>
      <rPr>
        <b/>
        <vertAlign val="superscript"/>
        <sz val="12"/>
        <color theme="1"/>
        <rFont val="Times New Roman"/>
        <family val="1"/>
      </rPr>
      <t>2</t>
    </r>
  </si>
  <si>
    <r>
      <t xml:space="preserve">     Subtotal BTRR </t>
    </r>
    <r>
      <rPr>
        <vertAlign val="subscript"/>
        <sz val="12"/>
        <color theme="1"/>
        <rFont val="Times New Roman"/>
        <family val="1"/>
      </rPr>
      <t>CAISO</t>
    </r>
    <r>
      <rPr>
        <sz val="12"/>
        <color theme="1"/>
        <rFont val="Times New Roman"/>
        <family val="1"/>
      </rPr>
      <t xml:space="preserve"> With Franchise Fees</t>
    </r>
  </si>
  <si>
    <r>
      <t xml:space="preserve">E. Total BTRR </t>
    </r>
    <r>
      <rPr>
        <b/>
        <u/>
        <vertAlign val="subscript"/>
        <sz val="12"/>
        <color theme="1"/>
        <rFont val="Times New Roman"/>
        <family val="1"/>
      </rPr>
      <t>CAISO</t>
    </r>
    <r>
      <rPr>
        <b/>
        <u/>
        <sz val="12"/>
        <color theme="1"/>
        <rFont val="Times New Roman"/>
        <family val="1"/>
      </rPr>
      <t xml:space="preserve"> With Franchise Fees </t>
    </r>
    <r>
      <rPr>
        <b/>
        <u/>
        <vertAlign val="superscript"/>
        <sz val="12"/>
        <color theme="1"/>
        <rFont val="Times New Roman"/>
        <family val="1"/>
      </rPr>
      <t>4</t>
    </r>
  </si>
  <si>
    <r>
      <t xml:space="preserve">The following HV/LV BTRR </t>
    </r>
    <r>
      <rPr>
        <vertAlign val="subscript"/>
        <sz val="12"/>
        <color theme="1"/>
        <rFont val="Times New Roman"/>
        <family val="1"/>
      </rPr>
      <t>CAISO</t>
    </r>
    <r>
      <rPr>
        <sz val="12"/>
        <color theme="1"/>
        <rFont val="Times New Roman"/>
        <family val="1"/>
      </rPr>
      <t xml:space="preserve"> will be used by the CAISO to develop the TAC rates for the applicable rate effective period. </t>
    </r>
  </si>
  <si>
    <r>
      <t xml:space="preserve">The CPUC Intervenor Expense for Transmission shall be treated as an exclusion in A&amp;G but added back to the BTRR </t>
    </r>
    <r>
      <rPr>
        <vertAlign val="subscript"/>
        <sz val="12"/>
        <color theme="1"/>
        <rFont val="Times New Roman"/>
        <family val="1"/>
      </rPr>
      <t xml:space="preserve">EU </t>
    </r>
    <r>
      <rPr>
        <sz val="12"/>
        <color theme="1"/>
        <rFont val="Times New Roman"/>
        <family val="1"/>
      </rPr>
      <t>on Statement BK-1; Page 1; Line 5. This expense will be</t>
    </r>
  </si>
  <si>
    <r>
      <t xml:space="preserve">excluded in  BTRR </t>
    </r>
    <r>
      <rPr>
        <vertAlign val="subscript"/>
        <sz val="12"/>
        <color theme="1"/>
        <rFont val="Times New Roman"/>
        <family val="1"/>
      </rPr>
      <t>CAISO</t>
    </r>
    <r>
      <rPr>
        <sz val="12"/>
        <color theme="1"/>
        <rFont val="Times New Roman"/>
        <family val="1"/>
      </rPr>
      <t xml:space="preserve"> on Statement BK-2; Line 3.</t>
    </r>
  </si>
  <si>
    <r>
      <t xml:space="preserve">Adj. to Transmission Related Cash Working Capital - BTRR </t>
    </r>
    <r>
      <rPr>
        <vertAlign val="subscript"/>
        <sz val="12"/>
        <color theme="1"/>
        <rFont val="Times New Roman"/>
        <family val="1"/>
      </rPr>
      <t>CAISO</t>
    </r>
  </si>
  <si>
    <r>
      <t>D. Adj. to Back Out CPUC Intervenor Funding Exp. Embedded in BTRR</t>
    </r>
    <r>
      <rPr>
        <u/>
        <vertAlign val="subscript"/>
        <sz val="12"/>
        <color theme="1"/>
        <rFont val="Times New Roman"/>
        <family val="1"/>
      </rPr>
      <t xml:space="preserve"> EU </t>
    </r>
    <r>
      <rPr>
        <u/>
        <sz val="12"/>
        <color theme="1"/>
        <rFont val="Times New Roman"/>
        <family val="1"/>
      </rPr>
      <t>Working Cash:</t>
    </r>
  </si>
  <si>
    <r>
      <t xml:space="preserve">     Transmission Related Cash Working Capital - BTRR</t>
    </r>
    <r>
      <rPr>
        <vertAlign val="subscript"/>
        <sz val="12"/>
        <color theme="1"/>
        <rFont val="Times New Roman"/>
        <family val="1"/>
      </rPr>
      <t xml:space="preserve"> EU</t>
    </r>
  </si>
  <si>
    <r>
      <t xml:space="preserve">C. Derivation of Transmission Related Cash Working Capital - BTRR </t>
    </r>
    <r>
      <rPr>
        <u/>
        <vertAlign val="subscript"/>
        <sz val="12"/>
        <color theme="1"/>
        <rFont val="Times New Roman"/>
        <family val="1"/>
      </rPr>
      <t>EU</t>
    </r>
    <r>
      <rPr>
        <u/>
        <sz val="12"/>
        <color theme="1"/>
        <rFont val="Times New Roman"/>
        <family val="1"/>
      </rPr>
      <t>:</t>
    </r>
  </si>
  <si>
    <t>SDG&amp;E's recorded Non-CAISO Transmission Revenues, excluding TACBAA and TRBAA, during the true-up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</si>
</sst>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82"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2"/>
      <color rgb="FF7030A0"/>
      <name val="Times New Roman"/>
      <family val="1"/>
    </font>
    <font>
      <sz val="8"/>
      <color theme="1"/>
      <name val="Times New Roman"/>
      <family val="1"/>
    </font>
    <font>
      <sz val="11"/>
      <name val="Aptos"/>
      <family val="2"/>
    </font>
    <font>
      <sz val="11"/>
      <color rgb="FFFF0000"/>
      <name val="Calibri"/>
      <family val="2"/>
      <scheme val="minor"/>
    </font>
    <font>
      <b/>
      <sz val="11"/>
      <color rgb="FFFF0000"/>
      <name val="Times New Roman"/>
      <family val="1"/>
    </font>
    <font>
      <b/>
      <strike/>
      <vertAlign val="superscript"/>
      <sz val="12"/>
      <color rgb="FFFF0000"/>
      <name val="Times New Roman"/>
      <family val="1"/>
    </font>
    <font>
      <b/>
      <sz val="14"/>
      <color rgb="FFFF0000"/>
      <name val="Times New Roman"/>
      <family val="1"/>
    </font>
    <font>
      <b/>
      <sz val="11"/>
      <color rgb="FFFF0000"/>
      <name val="Calibri"/>
      <family val="2"/>
      <scheme val="minor"/>
    </font>
    <font>
      <b/>
      <sz val="11"/>
      <name val="Times New Roman"/>
      <family val="1"/>
    </font>
    <font>
      <b/>
      <u/>
      <sz val="11"/>
      <name val="Times New Roman"/>
      <family val="1"/>
    </font>
    <font>
      <sz val="12"/>
      <name val="Calibri"/>
      <family val="2"/>
    </font>
    <font>
      <b/>
      <vertAlign val="superscript"/>
      <sz val="10"/>
      <name val="Times New Roman"/>
      <family val="1"/>
    </font>
    <font>
      <vertAlign val="superscript"/>
      <sz val="8.4"/>
      <name val="Times New Roman"/>
      <family val="1"/>
    </font>
    <font>
      <vertAlign val="superscript"/>
      <sz val="10"/>
      <name val="Times New Roman"/>
      <family val="1"/>
    </font>
    <font>
      <u/>
      <vertAlign val="superscript"/>
      <sz val="12"/>
      <name val="Times New Roman"/>
      <family val="1"/>
    </font>
    <font>
      <b/>
      <vertAlign val="subscript"/>
      <sz val="12"/>
      <color theme="1"/>
      <name val="Times New Roman"/>
      <family val="1"/>
    </font>
    <font>
      <b/>
      <u/>
      <vertAlign val="subscript"/>
      <sz val="12"/>
      <color theme="1"/>
      <name val="Times New Roman"/>
      <family val="1"/>
    </font>
    <font>
      <vertAlign val="subscript"/>
      <sz val="12"/>
      <color theme="1"/>
      <name val="Times New Roman"/>
      <family val="1"/>
    </font>
    <font>
      <strike/>
      <sz val="12"/>
      <color theme="1"/>
      <name val="Times New Roman"/>
      <family val="1"/>
    </font>
    <font>
      <b/>
      <u/>
      <vertAlign val="superscript"/>
      <sz val="12"/>
      <color theme="1"/>
      <name val="Times New Roman"/>
      <family val="1"/>
    </font>
    <font>
      <u/>
      <sz val="12"/>
      <color theme="1"/>
      <name val="Times New Roman"/>
      <family val="1"/>
    </font>
    <font>
      <u/>
      <vertAlign val="subscript"/>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3">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
      <left/>
      <right/>
      <top style="double">
        <color auto="1"/>
      </top>
      <bottom style="double">
        <color indexed="64"/>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345">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3" fillId="0" borderId="0" xfId="0" applyFont="1"/>
    <xf numFmtId="0" fontId="22" fillId="0" borderId="0" xfId="3" applyFont="1" applyAlignment="1">
      <alignment vertical="center"/>
    </xf>
    <xf numFmtId="165" fontId="3" fillId="3" borderId="0" xfId="0" applyNumberFormat="1" applyFont="1" applyFill="1" applyAlignment="1">
      <alignment horizontal="lef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37" fontId="60" fillId="0" borderId="0" xfId="0" applyNumberFormat="1" applyFont="1" applyAlignment="1">
      <alignment vertical="center"/>
    </xf>
    <xf numFmtId="0" fontId="2" fillId="0" borderId="0" xfId="8" applyFont="1"/>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3" borderId="78" xfId="5" applyNumberFormat="1" applyFont="1" applyFill="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44" fontId="2" fillId="0" borderId="0" xfId="0" applyNumberFormat="1" applyFont="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0" fontId="61" fillId="0" borderId="0" xfId="0" applyFont="1" applyAlignment="1">
      <alignment vertical="center"/>
    </xf>
    <xf numFmtId="166" fontId="2" fillId="0" borderId="0" xfId="5" applyNumberFormat="1" applyFont="1" applyBorder="1" applyAlignment="1">
      <alignment horizontal="right" vertical="center"/>
    </xf>
    <xf numFmtId="166" fontId="2" fillId="0" borderId="0" xfId="5" applyNumberFormat="1" applyFont="1" applyFill="1" applyBorder="1"/>
    <xf numFmtId="0" fontId="62"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5" fontId="2" fillId="0" borderId="0" xfId="1" applyNumberFormat="1" applyFont="1" applyFill="1" applyBorder="1" applyAlignment="1">
      <alignment vertical="center"/>
    </xf>
    <xf numFmtId="167" fontId="2" fillId="0" borderId="0" xfId="2" applyNumberFormat="1" applyFont="1" applyFill="1" applyBorder="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166" fontId="22" fillId="2" borderId="78" xfId="0" applyNumberFormat="1" applyFont="1" applyFill="1" applyBorder="1" applyAlignment="1" applyProtection="1">
      <alignment vertical="center"/>
      <protection locked="0"/>
    </xf>
    <xf numFmtId="0" fontId="2" fillId="0" borderId="50" xfId="0" quotePrefix="1" applyFont="1" applyBorder="1" applyAlignment="1">
      <alignment horizontal="center" vertical="center"/>
    </xf>
    <xf numFmtId="1" fontId="22" fillId="0" borderId="0" xfId="0" applyNumberFormat="1" applyFont="1" applyAlignment="1">
      <alignment horizontal="center" vertical="center"/>
    </xf>
    <xf numFmtId="0" fontId="63" fillId="0" borderId="0" xfId="0" applyFont="1"/>
    <xf numFmtId="0" fontId="64" fillId="0" borderId="0" xfId="0" applyFont="1" applyAlignment="1">
      <alignment horizontal="center"/>
    </xf>
    <xf numFmtId="0" fontId="66" fillId="0" borderId="0" xfId="0" applyFont="1" applyAlignment="1">
      <alignment vertical="center"/>
    </xf>
    <xf numFmtId="166" fontId="2" fillId="2" borderId="0" xfId="5" applyNumberFormat="1" applyFont="1" applyFill="1" applyBorder="1" applyAlignment="1">
      <alignment horizontal="right" vertical="center"/>
    </xf>
    <xf numFmtId="166" fontId="3" fillId="2" borderId="0" xfId="0" applyNumberFormat="1" applyFont="1" applyFill="1" applyAlignment="1">
      <alignment vertical="center"/>
    </xf>
    <xf numFmtId="10" fontId="22" fillId="0" borderId="0" xfId="0" applyNumberFormat="1" applyFont="1" applyAlignment="1" applyProtection="1">
      <alignment vertical="center"/>
      <protection locked="0"/>
    </xf>
    <xf numFmtId="10" fontId="22" fillId="0" borderId="0" xfId="0" applyNumberFormat="1" applyFont="1" applyAlignment="1" applyProtection="1">
      <alignment horizontal="center" vertical="center"/>
      <protection locked="0"/>
    </xf>
    <xf numFmtId="5" fontId="4" fillId="0" borderId="0" xfId="0" applyNumberFormat="1" applyFont="1" applyAlignment="1" applyProtection="1">
      <alignment horizontal="center" vertical="center"/>
      <protection locked="0"/>
    </xf>
    <xf numFmtId="0" fontId="64" fillId="0" borderId="0" xfId="0" applyFont="1"/>
    <xf numFmtId="0" fontId="66" fillId="0" borderId="0" xfId="0" applyFont="1" applyAlignment="1">
      <alignment horizontal="center" vertical="center"/>
    </xf>
    <xf numFmtId="0" fontId="67" fillId="0" borderId="0" xfId="0" applyFont="1" applyAlignment="1">
      <alignment horizontal="center"/>
    </xf>
    <xf numFmtId="10" fontId="63" fillId="0" borderId="0" xfId="0" applyNumberFormat="1" applyFont="1"/>
    <xf numFmtId="0" fontId="63" fillId="0" borderId="0" xfId="0" applyFont="1" applyAlignment="1">
      <alignment horizontal="center"/>
    </xf>
    <xf numFmtId="0" fontId="65" fillId="0" borderId="0" xfId="0" quotePrefix="1" applyFont="1" applyAlignment="1">
      <alignment horizontal="center" vertical="center"/>
    </xf>
    <xf numFmtId="167" fontId="2" fillId="2" borderId="78" xfId="2" applyNumberFormat="1" applyFont="1" applyFill="1" applyBorder="1" applyAlignment="1" applyProtection="1">
      <alignment horizontal="right" vertical="center"/>
      <protection locked="0"/>
    </xf>
    <xf numFmtId="37" fontId="4" fillId="0" borderId="0" xfId="0" applyNumberFormat="1" applyFont="1" applyAlignment="1">
      <alignment vertical="center"/>
    </xf>
    <xf numFmtId="166" fontId="2" fillId="3" borderId="0" xfId="4" applyNumberFormat="1" applyFont="1" applyFill="1" applyBorder="1"/>
    <xf numFmtId="165" fontId="16" fillId="2" borderId="0" xfId="0" applyNumberFormat="1" applyFont="1" applyFill="1" applyAlignment="1" applyProtection="1">
      <alignment vertical="center"/>
      <protection locked="0"/>
    </xf>
    <xf numFmtId="166" fontId="16" fillId="2" borderId="0" xfId="0" applyNumberFormat="1" applyFont="1" applyFill="1" applyAlignment="1" applyProtection="1">
      <alignment horizontal="right" vertical="center"/>
      <protection locked="0"/>
    </xf>
    <xf numFmtId="166" fontId="2" fillId="2" borderId="0" xfId="5" applyNumberFormat="1" applyFont="1" applyFill="1" applyAlignment="1">
      <alignment vertical="center"/>
    </xf>
    <xf numFmtId="166" fontId="2" fillId="2" borderId="78" xfId="5" applyNumberFormat="1" applyFont="1" applyFill="1" applyBorder="1" applyAlignment="1">
      <alignment horizontal="right" vertical="center"/>
    </xf>
    <xf numFmtId="165" fontId="2" fillId="3" borderId="0" xfId="0" applyNumberFormat="1" applyFont="1" applyFill="1" applyAlignment="1" applyProtection="1">
      <alignment horizontal="center" vertical="center"/>
      <protection locked="0"/>
    </xf>
    <xf numFmtId="166" fontId="25" fillId="0" borderId="0" xfId="0" applyNumberFormat="1" applyFont="1" applyAlignment="1" applyProtection="1">
      <alignment vertical="center"/>
      <protection locked="0"/>
    </xf>
    <xf numFmtId="5" fontId="25" fillId="0" borderId="0" xfId="0" applyNumberFormat="1" applyFont="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2" borderId="78" xfId="2" applyNumberFormat="1" applyFont="1" applyFill="1" applyBorder="1" applyAlignment="1" applyProtection="1">
      <alignment horizontal="right" vertical="center"/>
      <protection locked="0"/>
    </xf>
    <xf numFmtId="0" fontId="3" fillId="0" borderId="0" xfId="0" applyFont="1" applyAlignment="1">
      <alignment horizontal="centerContinuous"/>
    </xf>
    <xf numFmtId="0" fontId="68" fillId="0" borderId="0" xfId="0" applyFont="1" applyAlignment="1">
      <alignment horizontal="center"/>
    </xf>
    <xf numFmtId="0" fontId="68" fillId="0" borderId="0" xfId="0" applyFont="1"/>
    <xf numFmtId="0" fontId="69" fillId="0" borderId="0" xfId="0" applyFont="1" applyAlignment="1">
      <alignment horizontal="center"/>
    </xf>
    <xf numFmtId="0" fontId="68" fillId="0" borderId="78" xfId="0" applyFont="1" applyBorder="1" applyAlignment="1">
      <alignment horizontal="center"/>
    </xf>
    <xf numFmtId="0" fontId="47" fillId="0" borderId="0" xfId="0" applyFont="1" applyAlignment="1">
      <alignment horizontal="center"/>
    </xf>
    <xf numFmtId="165" fontId="47" fillId="0" borderId="16" xfId="1" applyNumberFormat="1" applyFont="1" applyBorder="1"/>
    <xf numFmtId="166" fontId="2" fillId="2" borderId="78" xfId="5" applyNumberFormat="1" applyFont="1" applyFill="1" applyBorder="1" applyAlignment="1">
      <alignment vertical="center"/>
    </xf>
    <xf numFmtId="10" fontId="2" fillId="2" borderId="78" xfId="2" applyNumberFormat="1" applyFont="1" applyFill="1" applyBorder="1" applyAlignment="1">
      <alignment vertical="center"/>
    </xf>
    <xf numFmtId="166" fontId="2" fillId="0" borderId="1" xfId="5" applyNumberFormat="1" applyFont="1" applyBorder="1" applyAlignment="1">
      <alignment vertical="center"/>
    </xf>
    <xf numFmtId="0" fontId="10" fillId="0" borderId="0" xfId="0" quotePrefix="1" applyFont="1" applyAlignment="1">
      <alignment horizontal="center" vertical="center"/>
    </xf>
    <xf numFmtId="165" fontId="2" fillId="0" borderId="78" xfId="1" applyNumberFormat="1" applyFont="1" applyBorder="1" applyAlignment="1">
      <alignment vertical="center"/>
    </xf>
    <xf numFmtId="165" fontId="2" fillId="3" borderId="0" xfId="1" applyNumberFormat="1" applyFont="1" applyFill="1" applyAlignment="1">
      <alignment vertical="center"/>
    </xf>
    <xf numFmtId="165" fontId="2" fillId="3" borderId="78" xfId="1" applyNumberFormat="1" applyFont="1" applyFill="1" applyBorder="1" applyAlignment="1">
      <alignment vertical="center"/>
    </xf>
    <xf numFmtId="165" fontId="2" fillId="0" borderId="0" xfId="1" applyNumberFormat="1" applyFont="1" applyFill="1" applyAlignment="1">
      <alignment horizontal="left" vertical="center"/>
    </xf>
    <xf numFmtId="10" fontId="2" fillId="2" borderId="0" xfId="2" applyNumberFormat="1" applyFont="1" applyFill="1" applyAlignment="1">
      <alignment vertical="center"/>
    </xf>
    <xf numFmtId="164" fontId="2" fillId="0" borderId="78" xfId="0" applyNumberFormat="1" applyFont="1" applyBorder="1" applyAlignment="1">
      <alignment horizontal="center" vertical="center"/>
    </xf>
    <xf numFmtId="14" fontId="2" fillId="0" borderId="78" xfId="0" applyNumberFormat="1" applyFont="1" applyBorder="1" applyAlignment="1">
      <alignment vertical="center"/>
    </xf>
    <xf numFmtId="14" fontId="2" fillId="0" borderId="78" xfId="0" applyNumberFormat="1" applyFont="1" applyBorder="1" applyAlignment="1">
      <alignment horizontal="center" vertical="center"/>
    </xf>
    <xf numFmtId="166" fontId="10" fillId="0" borderId="0" xfId="5" applyNumberFormat="1" applyFont="1" applyFill="1" applyAlignment="1">
      <alignment horizontal="center" vertical="center"/>
    </xf>
    <xf numFmtId="165" fontId="2" fillId="2" borderId="79" xfId="0" applyNumberFormat="1" applyFont="1" applyFill="1" applyBorder="1" applyAlignment="1">
      <alignment horizontal="right" vertical="center"/>
    </xf>
    <xf numFmtId="0" fontId="70" fillId="0" borderId="0" xfId="0" applyFont="1" applyAlignment="1">
      <alignment horizontal="center" vertical="center"/>
    </xf>
    <xf numFmtId="9" fontId="2" fillId="0" borderId="0" xfId="2" applyFont="1" applyAlignment="1">
      <alignment vertical="center"/>
    </xf>
    <xf numFmtId="49" fontId="2" fillId="0" borderId="8" xfId="0" applyNumberFormat="1" applyFont="1" applyBorder="1" applyAlignment="1">
      <alignment horizontal="center" vertical="center"/>
    </xf>
    <xf numFmtId="166" fontId="2" fillId="0" borderId="10" xfId="0" applyNumberFormat="1" applyFont="1" applyBorder="1" applyAlignment="1">
      <alignment vertical="center"/>
    </xf>
    <xf numFmtId="9" fontId="2" fillId="0" borderId="0" xfId="2" applyFont="1" applyBorder="1" applyAlignment="1">
      <alignment vertical="center"/>
    </xf>
    <xf numFmtId="166" fontId="3" fillId="2" borderId="78" xfId="0" applyNumberFormat="1" applyFont="1" applyFill="1" applyBorder="1" applyAlignment="1">
      <alignment horizontal="right" vertical="center"/>
    </xf>
    <xf numFmtId="165" fontId="25" fillId="0" borderId="0" xfId="1" applyNumberFormat="1" applyFont="1" applyFill="1" applyBorder="1" applyAlignment="1">
      <alignment horizontal="right" vertical="center"/>
    </xf>
    <xf numFmtId="166" fontId="2" fillId="2" borderId="0" xfId="0" applyNumberFormat="1" applyFont="1" applyFill="1" applyAlignment="1" applyProtection="1">
      <alignment vertical="center"/>
      <protection locked="0"/>
    </xf>
    <xf numFmtId="165" fontId="2" fillId="3" borderId="0" xfId="1" applyNumberFormat="1" applyFont="1" applyFill="1" applyAlignment="1" applyProtection="1">
      <alignment vertical="center"/>
      <protection locked="0"/>
    </xf>
    <xf numFmtId="165" fontId="2" fillId="2" borderId="16" xfId="1" applyNumberFormat="1" applyFont="1" applyFill="1" applyBorder="1" applyAlignment="1">
      <alignment vertical="center"/>
    </xf>
    <xf numFmtId="165" fontId="2" fillId="0" borderId="82" xfId="0" applyNumberFormat="1" applyFont="1" applyBorder="1" applyAlignment="1">
      <alignment vertical="center"/>
    </xf>
    <xf numFmtId="165" fontId="2" fillId="2" borderId="16" xfId="0" applyNumberFormat="1" applyFont="1" applyFill="1" applyBorder="1" applyAlignment="1">
      <alignment vertical="center"/>
    </xf>
    <xf numFmtId="10" fontId="2" fillId="0" borderId="78" xfId="0" applyNumberFormat="1" applyFont="1" applyBorder="1" applyAlignment="1" applyProtection="1">
      <alignment vertical="center"/>
      <protection locked="0"/>
    </xf>
    <xf numFmtId="10" fontId="2" fillId="0" borderId="78" xfId="0" applyNumberFormat="1" applyFont="1" applyBorder="1" applyAlignment="1" applyProtection="1">
      <alignment horizontal="center" vertical="center"/>
      <protection locked="0"/>
    </xf>
    <xf numFmtId="10" fontId="2" fillId="0" borderId="7" xfId="0" applyNumberFormat="1" applyFont="1" applyBorder="1" applyAlignment="1">
      <alignment horizontal="center" vertical="center"/>
    </xf>
    <xf numFmtId="10" fontId="3" fillId="3" borderId="4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169" fontId="3" fillId="3" borderId="7" xfId="0" applyNumberFormat="1" applyFont="1" applyFill="1" applyBorder="1" applyAlignment="1">
      <alignment horizontal="center" vertical="center"/>
    </xf>
    <xf numFmtId="165" fontId="2" fillId="3" borderId="78" xfId="0" applyNumberFormat="1" applyFont="1" applyFill="1" applyBorder="1" applyAlignment="1" applyProtection="1">
      <alignment horizontal="center" vertical="center"/>
      <protection locked="0"/>
    </xf>
    <xf numFmtId="166" fontId="2" fillId="2" borderId="0" xfId="4" applyNumberFormat="1" applyFont="1" applyFill="1" applyBorder="1"/>
    <xf numFmtId="165" fontId="47" fillId="3" borderId="0" xfId="1" applyNumberFormat="1" applyFont="1" applyFill="1"/>
    <xf numFmtId="10" fontId="47" fillId="2" borderId="0" xfId="2" applyNumberFormat="1" applyFont="1" applyFill="1"/>
    <xf numFmtId="10" fontId="47" fillId="2" borderId="0" xfId="0" applyNumberFormat="1" applyFont="1" applyFill="1"/>
    <xf numFmtId="10" fontId="47" fillId="2" borderId="47" xfId="0" applyNumberFormat="1" applyFont="1" applyFill="1" applyBorder="1"/>
    <xf numFmtId="0" fontId="11" fillId="0" borderId="0" xfId="0" quotePrefix="1" applyFont="1" applyAlignment="1">
      <alignment horizontal="left" vertical="center"/>
    </xf>
    <xf numFmtId="37" fontId="2" fillId="0" borderId="78" xfId="0" applyNumberFormat="1" applyFont="1" applyBorder="1" applyAlignment="1">
      <alignment vertical="center"/>
    </xf>
    <xf numFmtId="166" fontId="2" fillId="3" borderId="0" xfId="5" applyNumberFormat="1" applyFont="1" applyFill="1" applyBorder="1" applyAlignment="1">
      <alignment horizontal="left" vertical="center" wrapText="1"/>
    </xf>
    <xf numFmtId="0" fontId="2" fillId="2" borderId="0" xfId="0" applyFont="1" applyFill="1" applyAlignment="1">
      <alignment horizontal="left" vertical="center" wrapText="1"/>
    </xf>
    <xf numFmtId="166" fontId="2" fillId="4" borderId="0" xfId="0" applyNumberFormat="1" applyFont="1" applyFill="1" applyAlignment="1">
      <alignment horizontal="left" vertical="center"/>
    </xf>
    <xf numFmtId="10" fontId="2" fillId="0" borderId="1" xfId="0" applyNumberFormat="1" applyFont="1" applyBorder="1" applyAlignment="1">
      <alignment vertical="center"/>
    </xf>
    <xf numFmtId="10" fontId="2" fillId="4" borderId="78" xfId="0" applyNumberFormat="1" applyFont="1" applyFill="1" applyBorder="1" applyAlignment="1">
      <alignment vertical="center"/>
    </xf>
    <xf numFmtId="0" fontId="10" fillId="0" borderId="0" xfId="0" applyFont="1" applyAlignment="1">
      <alignment horizontal="center" vertical="center"/>
    </xf>
    <xf numFmtId="10" fontId="2" fillId="2" borderId="1" xfId="0" applyNumberFormat="1" applyFont="1" applyFill="1" applyBorder="1" applyAlignment="1">
      <alignment vertical="center"/>
    </xf>
    <xf numFmtId="0" fontId="28" fillId="0" borderId="0" xfId="0" applyFont="1" applyAlignment="1">
      <alignment horizontal="left" vertical="center"/>
    </xf>
    <xf numFmtId="0" fontId="28" fillId="0" borderId="0" xfId="0" applyFont="1" applyAlignment="1">
      <alignment vertical="center"/>
    </xf>
    <xf numFmtId="0" fontId="78" fillId="0" borderId="0" xfId="0" applyFont="1" applyAlignment="1">
      <alignment vertical="center"/>
    </xf>
    <xf numFmtId="0" fontId="80"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8" fillId="0" borderId="0" xfId="0" applyFont="1" applyAlignment="1">
      <alignment horizontal="center" vertical="center"/>
    </xf>
    <xf numFmtId="0" fontId="16"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0" fontId="2" fillId="0" borderId="0" xfId="0" applyFont="1" applyAlignment="1">
      <alignment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2" fillId="0" borderId="0" xfId="0" applyFont="1" applyAlignment="1">
      <alignment horizontal="left" vertical="center" wrapText="1"/>
    </xf>
    <xf numFmtId="5" fontId="3" fillId="0" borderId="0" xfId="0" applyNumberFormat="1" applyFont="1" applyAlignment="1">
      <alignment horizontal="center" vertical="center"/>
    </xf>
    <xf numFmtId="0" fontId="2" fillId="0" borderId="0" xfId="0" quotePrefix="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FFCC"/>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117</xdr:row>
      <xdr:rowOff>9525</xdr:rowOff>
    </xdr:from>
    <xdr:to>
      <xdr:col>1</xdr:col>
      <xdr:colOff>3581077</xdr:colOff>
      <xdr:row>117</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129</xdr:row>
      <xdr:rowOff>200024</xdr:rowOff>
    </xdr:from>
    <xdr:to>
      <xdr:col>2</xdr:col>
      <xdr:colOff>0</xdr:colOff>
      <xdr:row>130</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206</xdr:row>
      <xdr:rowOff>9525</xdr:rowOff>
    </xdr:from>
    <xdr:to>
      <xdr:col>1</xdr:col>
      <xdr:colOff>3581077</xdr:colOff>
      <xdr:row>206</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219</xdr:row>
      <xdr:rowOff>0</xdr:rowOff>
    </xdr:from>
    <xdr:to>
      <xdr:col>2</xdr:col>
      <xdr:colOff>0</xdr:colOff>
      <xdr:row>219</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157</xdr:row>
      <xdr:rowOff>9525</xdr:rowOff>
    </xdr:from>
    <xdr:to>
      <xdr:col>1</xdr:col>
      <xdr:colOff>3581077</xdr:colOff>
      <xdr:row>157</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170</xdr:row>
      <xdr:rowOff>-1</xdr:rowOff>
    </xdr:from>
    <xdr:to>
      <xdr:col>2</xdr:col>
      <xdr:colOff>0</xdr:colOff>
      <xdr:row>170</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169</xdr:row>
      <xdr:rowOff>200024</xdr:rowOff>
    </xdr:from>
    <xdr:to>
      <xdr:col>2</xdr:col>
      <xdr:colOff>0</xdr:colOff>
      <xdr:row>170</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258</xdr:row>
      <xdr:rowOff>190501</xdr:rowOff>
    </xdr:from>
    <xdr:to>
      <xdr:col>2</xdr:col>
      <xdr:colOff>9524</xdr:colOff>
      <xdr:row>259</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246</xdr:row>
      <xdr:rowOff>9525</xdr:rowOff>
    </xdr:from>
    <xdr:to>
      <xdr:col>1</xdr:col>
      <xdr:colOff>3581077</xdr:colOff>
      <xdr:row>246</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3C9857EC-7B84-4285-BF7E-4A8D13C8486E}"/>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DF928ECC-2B7C-4CD2-A39D-E086090E7418}"/>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592BFC11-961E-42B4-9D7E-A9AE48799444}"/>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55262BC7-3AF2-4D60-8415-D77CC3BA54E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238125</xdr:colOff>
      <xdr:row>26</xdr:row>
      <xdr:rowOff>107156</xdr:rowOff>
    </xdr:from>
    <xdr:ext cx="184731" cy="264560"/>
    <xdr:sp macro="" textlink="">
      <xdr:nvSpPr>
        <xdr:cNvPr id="6" name="TextBox 5">
          <a:extLst>
            <a:ext uri="{FF2B5EF4-FFF2-40B4-BE49-F238E27FC236}">
              <a16:creationId xmlns:a16="http://schemas.microsoft.com/office/drawing/2014/main" id="{C7D89247-DE80-43EA-B6E4-BA990B6BE1D3}"/>
            </a:ext>
          </a:extLst>
        </xdr:cNvPr>
        <xdr:cNvSpPr txBox="1"/>
      </xdr:nvSpPr>
      <xdr:spPr>
        <a:xfrm>
          <a:off x="24003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7" name="TextBox 6">
          <a:extLst>
            <a:ext uri="{FF2B5EF4-FFF2-40B4-BE49-F238E27FC236}">
              <a16:creationId xmlns:a16="http://schemas.microsoft.com/office/drawing/2014/main" id="{A0211D38-C8A0-4AD8-BA4A-6E74FB00A0D1}"/>
            </a:ext>
          </a:extLst>
        </xdr:cNvPr>
        <xdr:cNvSpPr txBox="1"/>
      </xdr:nvSpPr>
      <xdr:spPr>
        <a:xfrm>
          <a:off x="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8" name="TextBox 7">
          <a:extLst>
            <a:ext uri="{FF2B5EF4-FFF2-40B4-BE49-F238E27FC236}">
              <a16:creationId xmlns:a16="http://schemas.microsoft.com/office/drawing/2014/main" id="{A6281CEE-8AC1-4053-9AB7-201A964486D3}"/>
            </a:ext>
          </a:extLst>
        </xdr:cNvPr>
        <xdr:cNvSpPr txBox="1"/>
      </xdr:nvSpPr>
      <xdr:spPr>
        <a:xfrm>
          <a:off x="9525000"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9" name="TextBox 8">
          <a:extLst>
            <a:ext uri="{FF2B5EF4-FFF2-40B4-BE49-F238E27FC236}">
              <a16:creationId xmlns:a16="http://schemas.microsoft.com/office/drawing/2014/main" id="{602A1E8C-AB15-4DD2-8E1D-1BE7EE58B976}"/>
            </a:ext>
          </a:extLst>
        </xdr:cNvPr>
        <xdr:cNvSpPr txBox="1"/>
      </xdr:nvSpPr>
      <xdr:spPr>
        <a:xfrm>
          <a:off x="7393305" y="54678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85.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87.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customProperty" Target="../customProperty91.bin"/><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customProperty" Target="../customProperty92.bin"/><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customProperty" Target="../customProperty93.bin"/><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customProperty" Target="../customProperty94.bin"/><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customProperty" Target="../customProperty95.bin"/><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customProperty" Target="../customProperty96.bin"/><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customProperty" Target="../customProperty97.bin"/><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customProperty" Target="../customProperty98.bin"/><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customProperty" Target="../customProperty99.bin"/><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50"/>
  <sheetViews>
    <sheetView tabSelected="1" zoomScale="90" zoomScaleNormal="90" workbookViewId="0">
      <selection activeCell="B21" sqref="B21"/>
    </sheetView>
  </sheetViews>
  <sheetFormatPr defaultColWidth="9.28515625" defaultRowHeight="15.75" x14ac:dyDescent="0.25"/>
  <cols>
    <col min="1" max="1" width="5.28515625" style="31" customWidth="1"/>
    <col min="2" max="2" width="89.2851562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42578125" style="31" bestFit="1" customWidth="1"/>
    <col min="11" max="16384" width="9.28515625" style="31"/>
  </cols>
  <sheetData>
    <row r="2" spans="1:10" x14ac:dyDescent="0.25">
      <c r="A2" s="4"/>
      <c r="B2" s="1294" t="s">
        <v>0</v>
      </c>
      <c r="C2" s="1295"/>
      <c r="D2" s="1295"/>
      <c r="E2" s="1295"/>
      <c r="F2" s="1295"/>
      <c r="G2" s="1295"/>
    </row>
    <row r="3" spans="1:10" x14ac:dyDescent="0.25">
      <c r="A3" s="4" t="s">
        <v>1</v>
      </c>
      <c r="B3" s="1294" t="s">
        <v>2</v>
      </c>
      <c r="C3" s="1295"/>
      <c r="D3" s="1295"/>
      <c r="E3" s="1295"/>
      <c r="F3" s="1295"/>
      <c r="G3" s="1295"/>
    </row>
    <row r="4" spans="1:10" ht="17.25" x14ac:dyDescent="0.25">
      <c r="A4" s="4"/>
      <c r="B4" s="1296" t="s">
        <v>2077</v>
      </c>
      <c r="C4" s="1297"/>
      <c r="D4" s="1297"/>
      <c r="E4" s="1297"/>
      <c r="F4" s="1297"/>
      <c r="G4" s="1297"/>
    </row>
    <row r="5" spans="1:10" x14ac:dyDescent="0.25">
      <c r="A5" s="4"/>
      <c r="B5" s="1298" t="s">
        <v>1580</v>
      </c>
      <c r="C5" s="1298"/>
      <c r="D5" s="1298"/>
      <c r="E5" s="1298"/>
      <c r="F5" s="1298"/>
      <c r="G5" s="1298"/>
    </row>
    <row r="6" spans="1:10" x14ac:dyDescent="0.25">
      <c r="A6" s="4"/>
      <c r="B6" s="1299" t="s">
        <v>4</v>
      </c>
      <c r="C6" s="1295"/>
      <c r="D6" s="1295"/>
      <c r="E6" s="1295"/>
      <c r="F6" s="1295"/>
      <c r="G6" s="1295"/>
    </row>
    <row r="7" spans="1:10" x14ac:dyDescent="0.25">
      <c r="A7" s="4"/>
      <c r="B7" s="262"/>
      <c r="C7" s="1"/>
      <c r="D7" s="1"/>
      <c r="E7" s="1"/>
      <c r="F7" s="1"/>
      <c r="G7" s="1"/>
    </row>
    <row r="8" spans="1:10" x14ac:dyDescent="0.25">
      <c r="A8" s="4" t="s">
        <v>5</v>
      </c>
      <c r="E8" s="25"/>
      <c r="G8" s="4"/>
      <c r="H8" s="4" t="s">
        <v>5</v>
      </c>
    </row>
    <row r="9" spans="1:10" ht="15.75" customHeight="1" x14ac:dyDescent="0.25">
      <c r="A9" s="4" t="s">
        <v>6</v>
      </c>
      <c r="B9" s="1" t="s">
        <v>1</v>
      </c>
      <c r="E9" s="910" t="s">
        <v>7</v>
      </c>
      <c r="G9" s="849" t="s">
        <v>8</v>
      </c>
      <c r="H9" s="4" t="s">
        <v>6</v>
      </c>
    </row>
    <row r="10" spans="1:10" ht="17.25" x14ac:dyDescent="0.25">
      <c r="A10" s="4"/>
      <c r="B10" s="1290" t="s">
        <v>2078</v>
      </c>
      <c r="E10" s="46"/>
      <c r="G10" s="4"/>
    </row>
    <row r="11" spans="1:10" x14ac:dyDescent="0.25">
      <c r="A11" s="4">
        <v>1</v>
      </c>
      <c r="B11" s="32" t="s">
        <v>10</v>
      </c>
      <c r="C11" s="258"/>
      <c r="D11" s="258"/>
      <c r="E11" s="7">
        <f>'Stmt AH'!E15</f>
        <v>108186.32553395197</v>
      </c>
      <c r="G11" s="4" t="s">
        <v>1555</v>
      </c>
      <c r="H11" s="4">
        <f>A11</f>
        <v>1</v>
      </c>
      <c r="J11" s="32"/>
    </row>
    <row r="12" spans="1:10" x14ac:dyDescent="0.25">
      <c r="A12" s="4">
        <f t="shared" ref="A12:A41" si="0">A11+1</f>
        <v>2</v>
      </c>
      <c r="B12" s="32" t="s">
        <v>1</v>
      </c>
      <c r="C12" s="258"/>
      <c r="D12" s="258"/>
      <c r="E12" s="8" t="s">
        <v>1</v>
      </c>
      <c r="G12" s="4"/>
      <c r="H12" s="4">
        <f t="shared" ref="H12:H41" si="1">H11+1</f>
        <v>2</v>
      </c>
      <c r="J12" s="32"/>
    </row>
    <row r="13" spans="1:10" x14ac:dyDescent="0.25">
      <c r="A13" s="4">
        <f t="shared" si="0"/>
        <v>3</v>
      </c>
      <c r="B13" s="32" t="s">
        <v>11</v>
      </c>
      <c r="C13" s="258"/>
      <c r="D13" s="258"/>
      <c r="E13" s="9">
        <f>'Stmt AH'!E30</f>
        <v>106763.92955431523</v>
      </c>
      <c r="F13" s="1"/>
      <c r="G13" s="4" t="s">
        <v>1776</v>
      </c>
      <c r="H13" s="4">
        <f t="shared" si="1"/>
        <v>3</v>
      </c>
      <c r="J13" s="32"/>
    </row>
    <row r="14" spans="1:10" x14ac:dyDescent="0.25">
      <c r="A14" s="4">
        <f t="shared" si="0"/>
        <v>4</v>
      </c>
      <c r="B14" s="32"/>
      <c r="C14" s="258"/>
      <c r="D14" s="258"/>
      <c r="E14" s="8"/>
      <c r="F14" s="1"/>
      <c r="G14" s="4"/>
      <c r="H14" s="4">
        <f t="shared" si="1"/>
        <v>4</v>
      </c>
    </row>
    <row r="15" spans="1:10" x14ac:dyDescent="0.25">
      <c r="A15" s="4">
        <f t="shared" si="0"/>
        <v>5</v>
      </c>
      <c r="B15" s="32" t="s">
        <v>12</v>
      </c>
      <c r="C15" s="258"/>
      <c r="D15" s="258"/>
      <c r="E15" s="842">
        <f>-'Stmt AH'!E20</f>
        <v>0</v>
      </c>
      <c r="G15" s="4" t="s">
        <v>1556</v>
      </c>
      <c r="H15" s="4">
        <f t="shared" si="1"/>
        <v>5</v>
      </c>
    </row>
    <row r="16" spans="1:10" x14ac:dyDescent="0.25">
      <c r="A16" s="4">
        <f t="shared" si="0"/>
        <v>6</v>
      </c>
      <c r="B16" s="32" t="s">
        <v>13</v>
      </c>
      <c r="C16" s="258"/>
      <c r="D16" s="258"/>
      <c r="E16" s="1114">
        <f>E11+E13+E15</f>
        <v>214950.25508826721</v>
      </c>
      <c r="F16" s="1"/>
      <c r="G16" s="4" t="s">
        <v>14</v>
      </c>
      <c r="H16" s="4">
        <f t="shared" si="1"/>
        <v>6</v>
      </c>
      <c r="J16" s="4"/>
    </row>
    <row r="17" spans="1:10" x14ac:dyDescent="0.25">
      <c r="A17" s="4">
        <f t="shared" si="0"/>
        <v>7</v>
      </c>
      <c r="E17" s="6"/>
      <c r="G17" s="4"/>
      <c r="H17" s="4">
        <f t="shared" si="1"/>
        <v>7</v>
      </c>
    </row>
    <row r="18" spans="1:10" x14ac:dyDescent="0.25">
      <c r="A18" s="4">
        <f t="shared" si="0"/>
        <v>8</v>
      </c>
      <c r="B18" s="31" t="s">
        <v>15</v>
      </c>
      <c r="C18" s="258"/>
      <c r="D18" s="258"/>
      <c r="E18" s="1115">
        <f>'Stmt AJ'!E27</f>
        <v>278557.47747267416</v>
      </c>
      <c r="F18" s="71"/>
      <c r="G18" s="4" t="s">
        <v>16</v>
      </c>
      <c r="H18" s="4">
        <f t="shared" si="1"/>
        <v>8</v>
      </c>
    </row>
    <row r="19" spans="1:10" x14ac:dyDescent="0.25">
      <c r="A19" s="4">
        <f t="shared" si="0"/>
        <v>9</v>
      </c>
      <c r="E19" s="11" t="s">
        <v>1</v>
      </c>
      <c r="G19" s="4"/>
      <c r="H19" s="4">
        <f t="shared" si="1"/>
        <v>9</v>
      </c>
    </row>
    <row r="20" spans="1:10" ht="18.75" x14ac:dyDescent="0.25">
      <c r="A20" s="4">
        <f t="shared" si="0"/>
        <v>10</v>
      </c>
      <c r="B20" s="31" t="s">
        <v>17</v>
      </c>
      <c r="E20" s="12">
        <f>'Stmt AJ'!E33</f>
        <v>0</v>
      </c>
      <c r="G20" s="4" t="s">
        <v>18</v>
      </c>
      <c r="H20" s="4">
        <f t="shared" si="1"/>
        <v>10</v>
      </c>
      <c r="J20" s="32"/>
    </row>
    <row r="21" spans="1:10" x14ac:dyDescent="0.25">
      <c r="A21" s="4">
        <f t="shared" si="0"/>
        <v>11</v>
      </c>
      <c r="E21" s="11"/>
      <c r="G21" s="4"/>
      <c r="H21" s="4">
        <f t="shared" si="1"/>
        <v>11</v>
      </c>
    </row>
    <row r="22" spans="1:10" x14ac:dyDescent="0.25">
      <c r="A22" s="4">
        <f t="shared" si="0"/>
        <v>12</v>
      </c>
      <c r="B22" s="31" t="s">
        <v>19</v>
      </c>
      <c r="C22" s="258"/>
      <c r="D22" s="258"/>
      <c r="E22" s="9">
        <f>'Stmt AK'!E15</f>
        <v>71281.041787518305</v>
      </c>
      <c r="F22" s="1"/>
      <c r="G22" s="4" t="s">
        <v>1726</v>
      </c>
      <c r="H22" s="4">
        <f t="shared" si="1"/>
        <v>12</v>
      </c>
      <c r="J22" s="32"/>
    </row>
    <row r="23" spans="1:10" x14ac:dyDescent="0.25">
      <c r="A23" s="4">
        <f t="shared" si="0"/>
        <v>13</v>
      </c>
      <c r="B23" s="32"/>
      <c r="C23" s="258"/>
      <c r="D23" s="258"/>
      <c r="E23" s="8"/>
      <c r="G23" s="4"/>
      <c r="H23" s="4">
        <f t="shared" si="1"/>
        <v>13</v>
      </c>
    </row>
    <row r="24" spans="1:10" x14ac:dyDescent="0.25">
      <c r="A24" s="4">
        <f t="shared" si="0"/>
        <v>14</v>
      </c>
      <c r="B24" s="31" t="s">
        <v>20</v>
      </c>
      <c r="C24" s="258"/>
      <c r="D24" s="258"/>
      <c r="E24" s="842">
        <f>'Stmt AK'!E22</f>
        <v>3778.9741557142397</v>
      </c>
      <c r="F24" s="1"/>
      <c r="G24" s="4" t="s">
        <v>1723</v>
      </c>
      <c r="H24" s="4">
        <f t="shared" si="1"/>
        <v>14</v>
      </c>
      <c r="J24" s="32"/>
    </row>
    <row r="25" spans="1:10" x14ac:dyDescent="0.25">
      <c r="A25" s="4">
        <f t="shared" si="0"/>
        <v>15</v>
      </c>
      <c r="B25" s="32" t="s">
        <v>21</v>
      </c>
      <c r="C25" s="258"/>
      <c r="D25" s="258"/>
      <c r="E25" s="1114">
        <f>SUM(E16+E18+E20+E22+E24)</f>
        <v>568567.74850417394</v>
      </c>
      <c r="F25" s="1"/>
      <c r="G25" s="4" t="s">
        <v>22</v>
      </c>
      <c r="H25" s="4">
        <f t="shared" si="1"/>
        <v>15</v>
      </c>
    </row>
    <row r="26" spans="1:10" x14ac:dyDescent="0.25">
      <c r="A26" s="4">
        <f t="shared" si="0"/>
        <v>16</v>
      </c>
      <c r="B26" s="32"/>
      <c r="C26" s="258"/>
      <c r="D26" s="258"/>
      <c r="E26" s="13"/>
      <c r="G26" s="4"/>
      <c r="H26" s="4">
        <f t="shared" si="1"/>
        <v>16</v>
      </c>
    </row>
    <row r="27" spans="1:10" ht="18.75" x14ac:dyDescent="0.25">
      <c r="A27" s="4">
        <f t="shared" si="0"/>
        <v>17</v>
      </c>
      <c r="B27" s="32" t="s">
        <v>1646</v>
      </c>
      <c r="C27" s="258"/>
      <c r="D27" s="258"/>
      <c r="E27" s="1176">
        <f>IFERROR('Stmt AV'!F143,0)</f>
        <v>9.5186014302326788E-2</v>
      </c>
      <c r="G27" s="4" t="s">
        <v>1743</v>
      </c>
      <c r="H27" s="4">
        <f t="shared" si="1"/>
        <v>17</v>
      </c>
    </row>
    <row r="28" spans="1:10" x14ac:dyDescent="0.25">
      <c r="A28" s="4">
        <f t="shared" si="0"/>
        <v>18</v>
      </c>
      <c r="B28" s="32" t="s">
        <v>23</v>
      </c>
      <c r="C28" s="258"/>
      <c r="D28" s="258"/>
      <c r="E28" s="1177">
        <f>E139</f>
        <v>5248483.9495624695</v>
      </c>
      <c r="G28" s="4" t="s">
        <v>1993</v>
      </c>
      <c r="H28" s="4">
        <f t="shared" si="1"/>
        <v>18</v>
      </c>
    </row>
    <row r="29" spans="1:10" x14ac:dyDescent="0.25">
      <c r="A29" s="4">
        <f t="shared" si="0"/>
        <v>19</v>
      </c>
      <c r="B29" s="31" t="s">
        <v>1647</v>
      </c>
      <c r="C29" s="258"/>
      <c r="D29" s="258"/>
      <c r="E29" s="867">
        <f>E27*E28</f>
        <v>499582.26828858582</v>
      </c>
      <c r="G29" s="4" t="s">
        <v>24</v>
      </c>
      <c r="H29" s="4">
        <f t="shared" si="1"/>
        <v>19</v>
      </c>
    </row>
    <row r="30" spans="1:10" x14ac:dyDescent="0.25">
      <c r="A30" s="4">
        <f t="shared" si="0"/>
        <v>20</v>
      </c>
      <c r="B30" s="32"/>
      <c r="C30" s="258"/>
      <c r="D30" s="258"/>
      <c r="E30" s="1164"/>
      <c r="G30" s="4"/>
      <c r="H30" s="4">
        <f t="shared" si="1"/>
        <v>20</v>
      </c>
    </row>
    <row r="31" spans="1:10" ht="18.75" x14ac:dyDescent="0.25">
      <c r="A31" s="4">
        <f t="shared" si="0"/>
        <v>21</v>
      </c>
      <c r="B31" s="32" t="s">
        <v>1648</v>
      </c>
      <c r="C31" s="258"/>
      <c r="D31" s="258"/>
      <c r="E31" s="1178">
        <f>IFERROR('Stmt AV'!F183,0)</f>
        <v>0</v>
      </c>
      <c r="G31" s="4" t="s">
        <v>1745</v>
      </c>
      <c r="H31" s="4">
        <f t="shared" si="1"/>
        <v>21</v>
      </c>
      <c r="J31" s="35"/>
    </row>
    <row r="32" spans="1:10" x14ac:dyDescent="0.25">
      <c r="A32" s="4">
        <f t="shared" si="0"/>
        <v>22</v>
      </c>
      <c r="B32" s="32" t="s">
        <v>23</v>
      </c>
      <c r="C32" s="258"/>
      <c r="D32" s="258"/>
      <c r="E32" s="1177">
        <f>E139-E121</f>
        <v>5248483.9495624695</v>
      </c>
      <c r="G32" s="4" t="s">
        <v>1994</v>
      </c>
      <c r="H32" s="4">
        <f t="shared" si="1"/>
        <v>22</v>
      </c>
    </row>
    <row r="33" spans="1:10" x14ac:dyDescent="0.25">
      <c r="A33" s="4">
        <f t="shared" si="0"/>
        <v>23</v>
      </c>
      <c r="B33" s="31" t="s">
        <v>1651</v>
      </c>
      <c r="C33" s="258"/>
      <c r="D33" s="258"/>
      <c r="E33" s="867">
        <f>E31*E32</f>
        <v>0</v>
      </c>
      <c r="G33" s="4" t="s">
        <v>1652</v>
      </c>
      <c r="H33" s="4">
        <f t="shared" si="1"/>
        <v>23</v>
      </c>
    </row>
    <row r="34" spans="1:10" x14ac:dyDescent="0.25">
      <c r="A34" s="4">
        <f t="shared" si="0"/>
        <v>24</v>
      </c>
      <c r="C34" s="258"/>
      <c r="D34" s="258"/>
      <c r="E34" s="13"/>
      <c r="G34" s="4"/>
      <c r="H34" s="4">
        <f t="shared" si="1"/>
        <v>24</v>
      </c>
    </row>
    <row r="35" spans="1:10" x14ac:dyDescent="0.25">
      <c r="A35" s="4">
        <f t="shared" si="0"/>
        <v>25</v>
      </c>
      <c r="B35" s="31" t="s">
        <v>25</v>
      </c>
      <c r="E35" s="1133">
        <f>'Stmt AQ'!E13</f>
        <v>1304.0991895338727</v>
      </c>
      <c r="G35" s="4" t="s">
        <v>26</v>
      </c>
      <c r="H35" s="4">
        <f t="shared" si="1"/>
        <v>25</v>
      </c>
      <c r="I35" s="358"/>
      <c r="J35" s="32"/>
    </row>
    <row r="36" spans="1:10" x14ac:dyDescent="0.25">
      <c r="A36" s="4">
        <f t="shared" si="0"/>
        <v>26</v>
      </c>
      <c r="B36" s="31" t="s">
        <v>27</v>
      </c>
      <c r="E36" s="9">
        <f>'Stmt AU'!E23</f>
        <v>-9550.5500000000011</v>
      </c>
      <c r="F36" s="1"/>
      <c r="G36" s="4" t="s">
        <v>28</v>
      </c>
      <c r="H36" s="4">
        <f t="shared" si="1"/>
        <v>26</v>
      </c>
      <c r="I36" s="358"/>
      <c r="J36" s="32"/>
    </row>
    <row r="37" spans="1:10" ht="18.75" x14ac:dyDescent="0.25">
      <c r="A37" s="4">
        <f t="shared" si="0"/>
        <v>27</v>
      </c>
      <c r="B37" s="31" t="s">
        <v>1995</v>
      </c>
      <c r="E37" s="856">
        <v>-3000</v>
      </c>
      <c r="G37" s="4" t="s">
        <v>1899</v>
      </c>
      <c r="H37" s="4">
        <f t="shared" si="1"/>
        <v>27</v>
      </c>
      <c r="I37" s="358"/>
      <c r="J37" s="32"/>
    </row>
    <row r="38" spans="1:10" x14ac:dyDescent="0.25">
      <c r="A38" s="4">
        <f t="shared" si="0"/>
        <v>28</v>
      </c>
      <c r="B38" s="31" t="s">
        <v>29</v>
      </c>
      <c r="E38" s="9">
        <f>'Stmt Misc.'!E10</f>
        <v>0</v>
      </c>
      <c r="G38" s="4" t="s">
        <v>30</v>
      </c>
      <c r="H38" s="4">
        <f t="shared" si="1"/>
        <v>28</v>
      </c>
      <c r="I38" s="358"/>
    </row>
    <row r="39" spans="1:10" x14ac:dyDescent="0.25">
      <c r="A39" s="4">
        <f t="shared" si="0"/>
        <v>29</v>
      </c>
      <c r="B39" s="249" t="s">
        <v>31</v>
      </c>
      <c r="E39" s="842">
        <f>'Stmt AU'!E25</f>
        <v>0</v>
      </c>
      <c r="G39" s="4" t="s">
        <v>32</v>
      </c>
      <c r="H39" s="4">
        <f t="shared" si="1"/>
        <v>29</v>
      </c>
      <c r="I39" s="358"/>
      <c r="J39" s="32"/>
    </row>
    <row r="40" spans="1:10" x14ac:dyDescent="0.25">
      <c r="A40" s="4">
        <f t="shared" si="0"/>
        <v>30</v>
      </c>
      <c r="E40" s="11" t="s">
        <v>1</v>
      </c>
      <c r="G40" s="4"/>
      <c r="H40" s="4">
        <f t="shared" si="1"/>
        <v>30</v>
      </c>
      <c r="I40" s="358"/>
      <c r="J40" s="32"/>
    </row>
    <row r="41" spans="1:10" ht="19.5" thickBot="1" x14ac:dyDescent="0.3">
      <c r="A41" s="4">
        <f t="shared" si="0"/>
        <v>31</v>
      </c>
      <c r="B41" s="5" t="s">
        <v>2079</v>
      </c>
      <c r="C41" s="258"/>
      <c r="D41" s="258"/>
      <c r="E41" s="14">
        <f>E25+E29+E33+SUM(E35:E39)</f>
        <v>1056903.5659822936</v>
      </c>
      <c r="F41" s="1"/>
      <c r="G41" s="4" t="s">
        <v>1996</v>
      </c>
      <c r="H41" s="4">
        <f t="shared" si="1"/>
        <v>31</v>
      </c>
      <c r="I41" s="358"/>
      <c r="J41" s="32"/>
    </row>
    <row r="42" spans="1:10" ht="16.5" thickTop="1" x14ac:dyDescent="0.25">
      <c r="A42" s="4"/>
      <c r="C42" s="258"/>
      <c r="D42" s="258"/>
      <c r="E42" s="15"/>
      <c r="F42" s="1"/>
      <c r="G42" s="4"/>
      <c r="J42" s="32"/>
    </row>
    <row r="43" spans="1:10" x14ac:dyDescent="0.25">
      <c r="A43" s="4"/>
      <c r="C43" s="258"/>
      <c r="D43" s="258"/>
      <c r="E43" s="15"/>
      <c r="F43" s="1"/>
      <c r="G43" s="4"/>
      <c r="J43" s="32"/>
    </row>
    <row r="44" spans="1:10" ht="18.75" x14ac:dyDescent="0.25">
      <c r="A44" s="253">
        <v>1</v>
      </c>
      <c r="B44" s="31" t="s">
        <v>33</v>
      </c>
      <c r="C44" s="258"/>
      <c r="D44" s="258"/>
      <c r="E44" s="15"/>
      <c r="F44" s="1"/>
      <c r="G44" s="4"/>
      <c r="J44" s="1122"/>
    </row>
    <row r="45" spans="1:10" ht="18.75" x14ac:dyDescent="0.25">
      <c r="A45" s="253"/>
      <c r="C45" s="258"/>
      <c r="D45" s="258"/>
      <c r="E45" s="15"/>
      <c r="F45" s="1"/>
      <c r="G45" s="4"/>
      <c r="J45" s="32"/>
    </row>
    <row r="46" spans="1:10" x14ac:dyDescent="0.25">
      <c r="A46" s="4"/>
      <c r="C46" s="258"/>
      <c r="D46" s="258"/>
      <c r="E46" s="15"/>
      <c r="F46" s="1"/>
      <c r="G46" s="4"/>
      <c r="J46" s="32"/>
    </row>
    <row r="47" spans="1:10" x14ac:dyDescent="0.25">
      <c r="A47" s="4"/>
      <c r="B47" s="1294" t="s">
        <v>0</v>
      </c>
      <c r="C47" s="1295"/>
      <c r="D47" s="1295"/>
      <c r="E47" s="1295"/>
      <c r="F47" s="1295"/>
      <c r="G47" s="1295"/>
      <c r="J47" s="32"/>
    </row>
    <row r="48" spans="1:10" x14ac:dyDescent="0.25">
      <c r="A48" s="4"/>
      <c r="B48" s="1294" t="s">
        <v>2</v>
      </c>
      <c r="C48" s="1295"/>
      <c r="D48" s="1295"/>
      <c r="E48" s="1295"/>
      <c r="F48" s="1295"/>
      <c r="G48" s="1295"/>
      <c r="J48" s="32"/>
    </row>
    <row r="49" spans="1:10" ht="17.25" x14ac:dyDescent="0.25">
      <c r="A49" s="4"/>
      <c r="B49" s="1296" t="s">
        <v>2077</v>
      </c>
      <c r="C49" s="1297"/>
      <c r="D49" s="1297"/>
      <c r="E49" s="1297"/>
      <c r="F49" s="1297"/>
      <c r="G49" s="1297"/>
      <c r="J49" s="32"/>
    </row>
    <row r="50" spans="1:10" x14ac:dyDescent="0.25">
      <c r="A50" s="4"/>
      <c r="B50" s="1300" t="str">
        <f>B5</f>
        <v>For the Base Period &amp; True-Up Period Ending December 31, 2023</v>
      </c>
      <c r="C50" s="1301"/>
      <c r="D50" s="1301"/>
      <c r="E50" s="1301"/>
      <c r="F50" s="1301"/>
      <c r="G50" s="1301"/>
      <c r="J50" s="32"/>
    </row>
    <row r="51" spans="1:10" x14ac:dyDescent="0.25">
      <c r="A51" s="4"/>
      <c r="B51" s="1299" t="s">
        <v>4</v>
      </c>
      <c r="C51" s="1295"/>
      <c r="D51" s="1295"/>
      <c r="E51" s="1295"/>
      <c r="F51" s="1295"/>
      <c r="G51" s="1295"/>
      <c r="J51" s="32"/>
    </row>
    <row r="52" spans="1:10" x14ac:dyDescent="0.25">
      <c r="A52" s="4"/>
      <c r="C52" s="258"/>
      <c r="D52" s="258"/>
      <c r="E52" s="15"/>
      <c r="F52" s="1"/>
      <c r="G52" s="4"/>
      <c r="J52" s="32"/>
    </row>
    <row r="53" spans="1:10" x14ac:dyDescent="0.25">
      <c r="A53" s="4" t="s">
        <v>5</v>
      </c>
      <c r="E53" s="25"/>
      <c r="G53" s="4"/>
      <c r="H53" s="4" t="s">
        <v>5</v>
      </c>
      <c r="J53" s="32"/>
    </row>
    <row r="54" spans="1:10" x14ac:dyDescent="0.25">
      <c r="A54" s="4" t="s">
        <v>6</v>
      </c>
      <c r="B54" s="1" t="s">
        <v>1</v>
      </c>
      <c r="E54" s="910" t="s">
        <v>7</v>
      </c>
      <c r="G54" s="849" t="s">
        <v>8</v>
      </c>
      <c r="H54" s="4" t="s">
        <v>6</v>
      </c>
      <c r="J54" s="32"/>
    </row>
    <row r="55" spans="1:10" ht="18.75" x14ac:dyDescent="0.25">
      <c r="A55" s="4"/>
      <c r="B55" s="1290" t="s">
        <v>2080</v>
      </c>
      <c r="E55" s="4"/>
      <c r="G55" s="4"/>
      <c r="J55" s="32"/>
    </row>
    <row r="56" spans="1:10" x14ac:dyDescent="0.25">
      <c r="A56" s="4">
        <v>1</v>
      </c>
      <c r="B56" s="32" t="s">
        <v>35</v>
      </c>
      <c r="C56" s="258"/>
      <c r="D56" s="258"/>
      <c r="E56" s="16">
        <f>'Stmt AJ'!E29</f>
        <v>0</v>
      </c>
      <c r="G56" s="4" t="s">
        <v>36</v>
      </c>
      <c r="H56" s="4">
        <f>A56</f>
        <v>1</v>
      </c>
      <c r="J56" s="32"/>
    </row>
    <row r="57" spans="1:10" x14ac:dyDescent="0.25">
      <c r="A57" s="4">
        <f t="shared" ref="A57:A94" si="2">A56+1</f>
        <v>2</v>
      </c>
      <c r="B57" s="32"/>
      <c r="C57" s="258"/>
      <c r="D57" s="258"/>
      <c r="E57" s="15"/>
      <c r="G57" s="4"/>
      <c r="H57" s="4">
        <f t="shared" ref="H57:H71" si="3">H56+1</f>
        <v>2</v>
      </c>
    </row>
    <row r="58" spans="1:10" ht="18.75" x14ac:dyDescent="0.25">
      <c r="A58" s="4">
        <f t="shared" si="2"/>
        <v>3</v>
      </c>
      <c r="B58" s="32" t="s">
        <v>1653</v>
      </c>
      <c r="C58" s="258"/>
      <c r="D58" s="258"/>
      <c r="E58" s="1179">
        <f>IFERROR('Stmt AV'!F232,0)</f>
        <v>1.832418811797356E-2</v>
      </c>
      <c r="G58" s="4" t="s">
        <v>1746</v>
      </c>
      <c r="H58" s="4">
        <f t="shared" si="3"/>
        <v>3</v>
      </c>
    </row>
    <row r="59" spans="1:10" x14ac:dyDescent="0.25">
      <c r="A59" s="4">
        <f t="shared" si="2"/>
        <v>4</v>
      </c>
      <c r="B59" s="31" t="s">
        <v>1655</v>
      </c>
      <c r="C59" s="258"/>
      <c r="D59" s="258"/>
      <c r="E59" s="1180">
        <f>E144</f>
        <v>0</v>
      </c>
      <c r="G59" s="4" t="s">
        <v>1997</v>
      </c>
      <c r="H59" s="4">
        <f t="shared" si="3"/>
        <v>4</v>
      </c>
    </row>
    <row r="60" spans="1:10" x14ac:dyDescent="0.25">
      <c r="A60" s="4">
        <f t="shared" si="2"/>
        <v>5</v>
      </c>
      <c r="B60" s="31" t="s">
        <v>1657</v>
      </c>
      <c r="C60" s="258"/>
      <c r="D60" s="258"/>
      <c r="E60" s="1197">
        <f>E58*E59</f>
        <v>0</v>
      </c>
      <c r="G60" s="4" t="s">
        <v>1658</v>
      </c>
      <c r="H60" s="4">
        <f t="shared" si="3"/>
        <v>5</v>
      </c>
    </row>
    <row r="61" spans="1:10" x14ac:dyDescent="0.25">
      <c r="A61" s="4">
        <f t="shared" si="2"/>
        <v>6</v>
      </c>
      <c r="C61" s="258"/>
      <c r="D61" s="258"/>
      <c r="E61" s="1181"/>
      <c r="G61" s="4"/>
      <c r="H61" s="4">
        <f t="shared" si="3"/>
        <v>6</v>
      </c>
    </row>
    <row r="62" spans="1:10" ht="18.75" x14ac:dyDescent="0.25">
      <c r="A62" s="4">
        <f t="shared" si="2"/>
        <v>7</v>
      </c>
      <c r="B62" s="32" t="s">
        <v>1648</v>
      </c>
      <c r="C62" s="258"/>
      <c r="D62" s="258"/>
      <c r="E62" s="1179">
        <f>IFERROR('Stmt AV'!F272,0)</f>
        <v>0</v>
      </c>
      <c r="G62" s="4" t="s">
        <v>1756</v>
      </c>
      <c r="H62" s="4">
        <f t="shared" si="3"/>
        <v>7</v>
      </c>
    </row>
    <row r="63" spans="1:10" x14ac:dyDescent="0.25">
      <c r="A63" s="4">
        <f t="shared" si="2"/>
        <v>8</v>
      </c>
      <c r="B63" s="31" t="s">
        <v>1655</v>
      </c>
      <c r="C63" s="258"/>
      <c r="D63" s="258"/>
      <c r="E63" s="1187">
        <f>E144</f>
        <v>0</v>
      </c>
      <c r="G63" s="4" t="s">
        <v>1997</v>
      </c>
      <c r="H63" s="4">
        <f t="shared" si="3"/>
        <v>8</v>
      </c>
    </row>
    <row r="64" spans="1:10" x14ac:dyDescent="0.25">
      <c r="A64" s="4">
        <f t="shared" si="2"/>
        <v>9</v>
      </c>
      <c r="B64" s="31" t="s">
        <v>1651</v>
      </c>
      <c r="C64" s="258"/>
      <c r="D64" s="258"/>
      <c r="E64" s="1197">
        <f>E62*E63</f>
        <v>0</v>
      </c>
      <c r="G64" s="4" t="s">
        <v>37</v>
      </c>
      <c r="H64" s="4">
        <f t="shared" si="3"/>
        <v>9</v>
      </c>
    </row>
    <row r="65" spans="1:10" x14ac:dyDescent="0.25">
      <c r="A65" s="4">
        <f t="shared" si="2"/>
        <v>10</v>
      </c>
      <c r="B65" s="32"/>
      <c r="C65" s="258"/>
      <c r="D65" s="258"/>
      <c r="E65" s="15"/>
      <c r="G65" s="4"/>
      <c r="H65" s="4">
        <f t="shared" si="3"/>
        <v>10</v>
      </c>
    </row>
    <row r="66" spans="1:10" ht="16.5" thickBot="1" x14ac:dyDescent="0.3">
      <c r="A66" s="4">
        <f t="shared" si="2"/>
        <v>11</v>
      </c>
      <c r="B66" s="5" t="s">
        <v>2081</v>
      </c>
      <c r="E66" s="24">
        <f>E56+E60+E64</f>
        <v>0</v>
      </c>
      <c r="G66" s="4" t="s">
        <v>1747</v>
      </c>
      <c r="H66" s="4">
        <f t="shared" si="3"/>
        <v>11</v>
      </c>
    </row>
    <row r="67" spans="1:10" ht="16.5" thickTop="1" x14ac:dyDescent="0.25">
      <c r="A67" s="4">
        <f t="shared" si="2"/>
        <v>12</v>
      </c>
      <c r="E67" s="10"/>
      <c r="G67" s="4"/>
      <c r="H67" s="4">
        <f t="shared" si="3"/>
        <v>12</v>
      </c>
      <c r="I67" s="358"/>
    </row>
    <row r="68" spans="1:10" ht="18.75" x14ac:dyDescent="0.25">
      <c r="A68" s="4">
        <f t="shared" si="2"/>
        <v>13</v>
      </c>
      <c r="B68" s="1291" t="s">
        <v>2082</v>
      </c>
      <c r="E68" s="10"/>
      <c r="G68" s="4"/>
      <c r="H68" s="4">
        <f t="shared" si="3"/>
        <v>13</v>
      </c>
      <c r="I68" s="358"/>
    </row>
    <row r="69" spans="1:10" x14ac:dyDescent="0.25">
      <c r="A69" s="4">
        <f t="shared" si="2"/>
        <v>14</v>
      </c>
      <c r="B69" s="32" t="s">
        <v>40</v>
      </c>
      <c r="E69" s="7">
        <f>'Stmt AJ'!E31</f>
        <v>0</v>
      </c>
      <c r="G69" s="4" t="s">
        <v>41</v>
      </c>
      <c r="H69" s="4">
        <f t="shared" si="3"/>
        <v>14</v>
      </c>
      <c r="I69" s="358"/>
    </row>
    <row r="70" spans="1:10" x14ac:dyDescent="0.25">
      <c r="A70" s="4">
        <f t="shared" si="2"/>
        <v>15</v>
      </c>
      <c r="B70" s="32"/>
      <c r="E70" s="18"/>
      <c r="G70" s="4"/>
      <c r="H70" s="4">
        <f t="shared" si="3"/>
        <v>15</v>
      </c>
      <c r="I70" s="358"/>
    </row>
    <row r="71" spans="1:10" x14ac:dyDescent="0.25">
      <c r="A71" s="4">
        <f t="shared" si="2"/>
        <v>16</v>
      </c>
      <c r="B71" s="32" t="s">
        <v>42</v>
      </c>
      <c r="E71" s="7">
        <f>E149</f>
        <v>0</v>
      </c>
      <c r="G71" s="4" t="s">
        <v>1998</v>
      </c>
      <c r="H71" s="4">
        <f t="shared" si="3"/>
        <v>16</v>
      </c>
      <c r="I71" s="358"/>
    </row>
    <row r="72" spans="1:10" ht="18.75" x14ac:dyDescent="0.25">
      <c r="A72" s="4">
        <f t="shared" si="2"/>
        <v>17</v>
      </c>
      <c r="B72" s="32" t="s">
        <v>1748</v>
      </c>
      <c r="E72" s="1155">
        <f>IFERROR('Stmt AV'!F143,0)</f>
        <v>9.5186014302326788E-2</v>
      </c>
      <c r="G72" s="4" t="s">
        <v>1743</v>
      </c>
      <c r="H72" s="4">
        <f t="shared" ref="H72:H94" si="4">H71+1</f>
        <v>17</v>
      </c>
      <c r="I72" s="358"/>
      <c r="J72" s="601"/>
    </row>
    <row r="73" spans="1:10" x14ac:dyDescent="0.25">
      <c r="A73" s="4">
        <f t="shared" si="2"/>
        <v>18</v>
      </c>
      <c r="B73" s="31" t="s">
        <v>1661</v>
      </c>
      <c r="E73" s="1198">
        <f>E71*E72</f>
        <v>0</v>
      </c>
      <c r="G73" s="4" t="s">
        <v>1662</v>
      </c>
      <c r="H73" s="4">
        <f t="shared" si="4"/>
        <v>18</v>
      </c>
      <c r="I73" s="358"/>
      <c r="J73" s="601"/>
    </row>
    <row r="74" spans="1:10" x14ac:dyDescent="0.25">
      <c r="A74" s="4">
        <f t="shared" si="2"/>
        <v>19</v>
      </c>
      <c r="E74" s="1182"/>
      <c r="G74" s="4"/>
      <c r="H74" s="4">
        <f t="shared" si="4"/>
        <v>19</v>
      </c>
      <c r="I74" s="358"/>
      <c r="J74" s="601"/>
    </row>
    <row r="75" spans="1:10" x14ac:dyDescent="0.25">
      <c r="A75" s="4">
        <f t="shared" si="2"/>
        <v>20</v>
      </c>
      <c r="B75" s="32" t="s">
        <v>42</v>
      </c>
      <c r="E75" s="1182">
        <f>E149</f>
        <v>0</v>
      </c>
      <c r="G75" s="4" t="s">
        <v>1998</v>
      </c>
      <c r="H75" s="4">
        <f t="shared" si="4"/>
        <v>20</v>
      </c>
      <c r="I75" s="358"/>
      <c r="J75" s="601"/>
    </row>
    <row r="76" spans="1:10" ht="18.75" x14ac:dyDescent="0.25">
      <c r="A76" s="4">
        <f t="shared" si="2"/>
        <v>21</v>
      </c>
      <c r="B76" s="32" t="s">
        <v>1648</v>
      </c>
      <c r="E76" s="1183">
        <v>0</v>
      </c>
      <c r="G76" s="4" t="s">
        <v>44</v>
      </c>
      <c r="H76" s="4">
        <f t="shared" si="4"/>
        <v>21</v>
      </c>
      <c r="I76" s="358"/>
      <c r="J76" s="601"/>
    </row>
    <row r="77" spans="1:10" x14ac:dyDescent="0.25">
      <c r="A77" s="4">
        <f t="shared" si="2"/>
        <v>22</v>
      </c>
      <c r="B77" s="31" t="s">
        <v>1663</v>
      </c>
      <c r="E77" s="1198">
        <f>E75*E76</f>
        <v>0</v>
      </c>
      <c r="G77" s="4" t="s">
        <v>1664</v>
      </c>
      <c r="H77" s="4">
        <f t="shared" si="4"/>
        <v>22</v>
      </c>
      <c r="I77" s="358"/>
      <c r="J77" s="601"/>
    </row>
    <row r="78" spans="1:10" x14ac:dyDescent="0.25">
      <c r="A78" s="4">
        <f t="shared" si="2"/>
        <v>23</v>
      </c>
      <c r="E78" s="1182"/>
      <c r="G78" s="4"/>
      <c r="H78" s="4">
        <f t="shared" si="4"/>
        <v>23</v>
      </c>
      <c r="I78" s="358"/>
      <c r="J78" s="601"/>
    </row>
    <row r="79" spans="1:10" ht="16.5" thickBot="1" x14ac:dyDescent="0.3">
      <c r="A79" s="4">
        <f t="shared" si="2"/>
        <v>24</v>
      </c>
      <c r="B79" s="5" t="s">
        <v>2083</v>
      </c>
      <c r="E79" s="24">
        <f>E69+E73+E77</f>
        <v>0</v>
      </c>
      <c r="G79" s="4" t="s">
        <v>1665</v>
      </c>
      <c r="H79" s="4">
        <f t="shared" si="4"/>
        <v>24</v>
      </c>
      <c r="I79" s="358"/>
    </row>
    <row r="80" spans="1:10" ht="16.5" thickTop="1" x14ac:dyDescent="0.25">
      <c r="A80" s="4">
        <f t="shared" si="2"/>
        <v>25</v>
      </c>
      <c r="E80" s="10"/>
      <c r="G80" s="4"/>
      <c r="H80" s="4">
        <f t="shared" si="4"/>
        <v>25</v>
      </c>
      <c r="I80" s="358"/>
    </row>
    <row r="81" spans="1:9" ht="18.75" x14ac:dyDescent="0.25">
      <c r="A81" s="4">
        <f t="shared" si="2"/>
        <v>26</v>
      </c>
      <c r="B81" s="1291" t="s">
        <v>2084</v>
      </c>
      <c r="C81" s="258"/>
      <c r="D81" s="258"/>
      <c r="E81" s="15"/>
      <c r="G81" s="4"/>
      <c r="H81" s="4">
        <f t="shared" si="4"/>
        <v>26</v>
      </c>
      <c r="I81" s="358"/>
    </row>
    <row r="82" spans="1:9" x14ac:dyDescent="0.25">
      <c r="A82" s="4">
        <f t="shared" si="2"/>
        <v>27</v>
      </c>
      <c r="B82" s="31" t="s">
        <v>47</v>
      </c>
      <c r="C82" s="258"/>
      <c r="D82" s="258"/>
      <c r="E82" s="16">
        <f>E151</f>
        <v>0</v>
      </c>
      <c r="G82" s="4" t="s">
        <v>1999</v>
      </c>
      <c r="H82" s="4">
        <f t="shared" si="4"/>
        <v>27</v>
      </c>
      <c r="I82" s="358"/>
    </row>
    <row r="83" spans="1:9" ht="18.75" x14ac:dyDescent="0.25">
      <c r="A83" s="4">
        <f t="shared" si="2"/>
        <v>28</v>
      </c>
      <c r="B83" s="32" t="s">
        <v>1748</v>
      </c>
      <c r="E83" s="1155">
        <f>IFERROR('Stmt AV'!F143,0)</f>
        <v>9.5186014302326788E-2</v>
      </c>
      <c r="G83" s="4" t="s">
        <v>1743</v>
      </c>
      <c r="H83" s="4">
        <f t="shared" si="4"/>
        <v>28</v>
      </c>
      <c r="I83" s="358"/>
    </row>
    <row r="84" spans="1:9" ht="16.5" thickBot="1" x14ac:dyDescent="0.3">
      <c r="A84" s="4">
        <f t="shared" si="2"/>
        <v>29</v>
      </c>
      <c r="B84" s="31" t="s">
        <v>1666</v>
      </c>
      <c r="E84" s="1199">
        <f>E82*E83</f>
        <v>0</v>
      </c>
      <c r="G84" s="4" t="s">
        <v>1667</v>
      </c>
      <c r="H84" s="4">
        <f t="shared" si="4"/>
        <v>29</v>
      </c>
      <c r="I84" s="358"/>
    </row>
    <row r="85" spans="1:9" ht="16.5" thickTop="1" x14ac:dyDescent="0.25">
      <c r="A85" s="4">
        <f t="shared" si="2"/>
        <v>30</v>
      </c>
      <c r="E85" s="1182"/>
      <c r="G85" s="4"/>
      <c r="H85" s="4">
        <f t="shared" si="4"/>
        <v>30</v>
      </c>
      <c r="I85" s="358"/>
    </row>
    <row r="86" spans="1:9" x14ac:dyDescent="0.25">
      <c r="A86" s="4">
        <f t="shared" si="2"/>
        <v>31</v>
      </c>
      <c r="B86" s="31" t="s">
        <v>47</v>
      </c>
      <c r="E86" s="1184">
        <f>E151</f>
        <v>0</v>
      </c>
      <c r="G86" s="4" t="s">
        <v>1999</v>
      </c>
      <c r="H86" s="4">
        <f t="shared" si="4"/>
        <v>31</v>
      </c>
      <c r="I86" s="358"/>
    </row>
    <row r="87" spans="1:9" ht="18.75" x14ac:dyDescent="0.25">
      <c r="A87" s="4">
        <f t="shared" si="2"/>
        <v>32</v>
      </c>
      <c r="B87" s="32" t="s">
        <v>1648</v>
      </c>
      <c r="E87" s="1155">
        <f>IFERROR('Stmt AV'!F183,0)</f>
        <v>0</v>
      </c>
      <c r="G87" s="4" t="s">
        <v>1745</v>
      </c>
      <c r="H87" s="4">
        <f t="shared" si="4"/>
        <v>32</v>
      </c>
      <c r="I87" s="358"/>
    </row>
    <row r="88" spans="1:9" x14ac:dyDescent="0.25">
      <c r="A88" s="4">
        <f t="shared" si="2"/>
        <v>33</v>
      </c>
      <c r="B88" s="31" t="s">
        <v>1668</v>
      </c>
      <c r="E88" s="1198">
        <f>E86*E87</f>
        <v>0</v>
      </c>
      <c r="G88" s="4" t="s">
        <v>1669</v>
      </c>
      <c r="H88" s="4">
        <f t="shared" si="4"/>
        <v>33</v>
      </c>
      <c r="I88" s="358"/>
    </row>
    <row r="89" spans="1:9" x14ac:dyDescent="0.25">
      <c r="A89" s="4">
        <f t="shared" si="2"/>
        <v>34</v>
      </c>
      <c r="E89" s="1182"/>
      <c r="G89" s="4"/>
      <c r="H89" s="4">
        <f t="shared" si="4"/>
        <v>34</v>
      </c>
      <c r="I89" s="358"/>
    </row>
    <row r="90" spans="1:9" ht="16.5" thickBot="1" x14ac:dyDescent="0.3">
      <c r="A90" s="4">
        <f t="shared" si="2"/>
        <v>35</v>
      </c>
      <c r="B90" s="5" t="s">
        <v>2085</v>
      </c>
      <c r="C90" s="258"/>
      <c r="D90" s="258"/>
      <c r="E90" s="14">
        <f>E84+E88</f>
        <v>0</v>
      </c>
      <c r="G90" s="4" t="s">
        <v>1670</v>
      </c>
      <c r="H90" s="4">
        <f t="shared" si="4"/>
        <v>35</v>
      </c>
      <c r="I90" s="358"/>
    </row>
    <row r="91" spans="1:9" ht="16.5" thickTop="1" x14ac:dyDescent="0.25">
      <c r="A91" s="4">
        <f t="shared" si="2"/>
        <v>36</v>
      </c>
      <c r="E91" s="1182"/>
      <c r="G91" s="4"/>
      <c r="H91" s="4">
        <f t="shared" si="4"/>
        <v>36</v>
      </c>
      <c r="I91" s="358"/>
    </row>
    <row r="92" spans="1:9" ht="19.5" thickBot="1" x14ac:dyDescent="0.3">
      <c r="A92" s="4">
        <f t="shared" si="2"/>
        <v>37</v>
      </c>
      <c r="B92" s="5" t="s">
        <v>2086</v>
      </c>
      <c r="E92" s="14">
        <f>E66+E79+E90</f>
        <v>0</v>
      </c>
      <c r="G92" s="4" t="s">
        <v>1671</v>
      </c>
      <c r="H92" s="4">
        <f t="shared" si="4"/>
        <v>37</v>
      </c>
      <c r="I92" s="358"/>
    </row>
    <row r="93" spans="1:9" ht="16.5" thickTop="1" x14ac:dyDescent="0.25">
      <c r="A93" s="4">
        <f t="shared" si="2"/>
        <v>38</v>
      </c>
      <c r="C93" s="258"/>
      <c r="D93" s="258"/>
      <c r="E93" s="15"/>
      <c r="G93" s="4"/>
      <c r="H93" s="4">
        <f t="shared" si="4"/>
        <v>38</v>
      </c>
      <c r="I93" s="358"/>
    </row>
    <row r="94" spans="1:9" ht="19.5" thickBot="1" x14ac:dyDescent="0.3">
      <c r="A94" s="4">
        <f t="shared" si="2"/>
        <v>39</v>
      </c>
      <c r="B94" s="33" t="s">
        <v>1718</v>
      </c>
      <c r="C94" s="258"/>
      <c r="D94" s="258"/>
      <c r="E94" s="14">
        <f>+E41+E92</f>
        <v>1056903.5659822936</v>
      </c>
      <c r="F94" s="1"/>
      <c r="G94" s="4" t="s">
        <v>2000</v>
      </c>
      <c r="H94" s="4">
        <f t="shared" si="4"/>
        <v>39</v>
      </c>
      <c r="I94" s="358"/>
    </row>
    <row r="95" spans="1:9" ht="16.5" thickTop="1" x14ac:dyDescent="0.25">
      <c r="A95" s="4"/>
      <c r="B95" s="33"/>
      <c r="C95" s="258"/>
      <c r="D95" s="258"/>
      <c r="E95" s="15"/>
      <c r="F95" s="1"/>
      <c r="G95" s="4"/>
    </row>
    <row r="96" spans="1:9" x14ac:dyDescent="0.25">
      <c r="A96" s="4"/>
      <c r="B96" s="33"/>
      <c r="C96" s="258"/>
      <c r="D96" s="258"/>
      <c r="E96" s="15"/>
      <c r="F96" s="1"/>
      <c r="G96" s="4"/>
    </row>
    <row r="97" spans="1:8" ht="18.75" x14ac:dyDescent="0.25">
      <c r="A97" s="253">
        <v>1</v>
      </c>
      <c r="B97" s="31" t="s">
        <v>33</v>
      </c>
      <c r="C97" s="258"/>
      <c r="D97" s="258"/>
      <c r="E97" s="15"/>
      <c r="G97" s="4"/>
    </row>
    <row r="98" spans="1:8" ht="18.75" x14ac:dyDescent="0.25">
      <c r="A98" s="253">
        <v>2</v>
      </c>
      <c r="B98" s="31" t="s">
        <v>52</v>
      </c>
      <c r="C98" s="258"/>
      <c r="D98" s="258"/>
      <c r="E98" s="19"/>
      <c r="F98" s="71"/>
      <c r="G98" s="4"/>
    </row>
    <row r="99" spans="1:8" ht="18.75" x14ac:dyDescent="0.25">
      <c r="A99" s="253">
        <v>3</v>
      </c>
      <c r="B99" s="5" t="s">
        <v>2087</v>
      </c>
      <c r="C99" s="258"/>
      <c r="D99" s="258"/>
      <c r="E99" s="19"/>
      <c r="F99" s="71"/>
      <c r="G99" s="4"/>
    </row>
    <row r="100" spans="1:8" ht="18.75" x14ac:dyDescent="0.25">
      <c r="A100" s="253">
        <v>4</v>
      </c>
      <c r="B100" s="5" t="s">
        <v>2088</v>
      </c>
      <c r="C100" s="258"/>
      <c r="D100" s="258"/>
      <c r="E100" s="15"/>
      <c r="G100" s="4"/>
    </row>
    <row r="101" spans="1:8" x14ac:dyDescent="0.25">
      <c r="C101" s="258"/>
      <c r="D101" s="258"/>
      <c r="E101" s="15"/>
      <c r="G101" s="4"/>
    </row>
    <row r="102" spans="1:8" x14ac:dyDescent="0.25">
      <c r="A102" s="4"/>
      <c r="C102" s="258"/>
      <c r="D102" s="258"/>
      <c r="E102" s="15"/>
      <c r="G102" s="4"/>
    </row>
    <row r="103" spans="1:8" x14ac:dyDescent="0.25">
      <c r="A103" s="4"/>
      <c r="B103" s="1294" t="s">
        <v>0</v>
      </c>
      <c r="C103" s="1295"/>
      <c r="D103" s="1295"/>
      <c r="E103" s="1295"/>
      <c r="F103" s="1295"/>
      <c r="G103" s="1295"/>
    </row>
    <row r="104" spans="1:8" x14ac:dyDescent="0.25">
      <c r="A104" s="4"/>
      <c r="B104" s="1294" t="s">
        <v>2</v>
      </c>
      <c r="C104" s="1295"/>
      <c r="D104" s="1295"/>
      <c r="E104" s="1295"/>
      <c r="F104" s="1295"/>
      <c r="G104" s="1295"/>
    </row>
    <row r="105" spans="1:8" ht="17.25" x14ac:dyDescent="0.25">
      <c r="A105" s="4" t="s">
        <v>1</v>
      </c>
      <c r="B105" s="1296" t="s">
        <v>2077</v>
      </c>
      <c r="C105" s="1297"/>
      <c r="D105" s="1297"/>
      <c r="E105" s="1297"/>
      <c r="F105" s="1297"/>
      <c r="G105" s="1297"/>
      <c r="H105" s="4" t="s">
        <v>1</v>
      </c>
    </row>
    <row r="106" spans="1:8" x14ac:dyDescent="0.25">
      <c r="A106" s="4"/>
      <c r="B106" s="1300" t="str">
        <f>B5</f>
        <v>For the Base Period &amp; True-Up Period Ending December 31, 2023</v>
      </c>
      <c r="C106" s="1301"/>
      <c r="D106" s="1301"/>
      <c r="E106" s="1301"/>
      <c r="F106" s="1301"/>
      <c r="G106" s="1301"/>
    </row>
    <row r="107" spans="1:8" x14ac:dyDescent="0.25">
      <c r="A107" s="4"/>
      <c r="B107" s="1299" t="s">
        <v>4</v>
      </c>
      <c r="C107" s="1295"/>
      <c r="D107" s="1295"/>
      <c r="E107" s="1295"/>
      <c r="F107" s="1295"/>
      <c r="G107" s="1295"/>
    </row>
    <row r="108" spans="1:8" x14ac:dyDescent="0.25">
      <c r="A108" s="4"/>
      <c r="B108" s="262"/>
      <c r="C108" s="1"/>
      <c r="D108" s="1"/>
      <c r="E108" s="1"/>
      <c r="F108" s="1"/>
      <c r="G108" s="1"/>
    </row>
    <row r="109" spans="1:8" x14ac:dyDescent="0.25">
      <c r="A109" s="4" t="s">
        <v>5</v>
      </c>
      <c r="E109" s="25"/>
      <c r="G109" s="4"/>
      <c r="H109" s="4" t="s">
        <v>5</v>
      </c>
    </row>
    <row r="110" spans="1:8" x14ac:dyDescent="0.25">
      <c r="A110" s="4" t="s">
        <v>6</v>
      </c>
      <c r="B110" s="1" t="s">
        <v>1</v>
      </c>
      <c r="E110" s="910" t="s">
        <v>7</v>
      </c>
      <c r="G110" s="849" t="s">
        <v>8</v>
      </c>
      <c r="H110" s="4" t="s">
        <v>6</v>
      </c>
    </row>
    <row r="111" spans="1:8" x14ac:dyDescent="0.25">
      <c r="A111" s="4"/>
      <c r="B111" s="248" t="s">
        <v>54</v>
      </c>
      <c r="C111" s="260"/>
      <c r="D111" s="260"/>
      <c r="E111" s="260"/>
      <c r="G111" s="4"/>
    </row>
    <row r="112" spans="1:8" x14ac:dyDescent="0.25">
      <c r="A112" s="4">
        <v>1</v>
      </c>
      <c r="B112" s="250" t="s">
        <v>55</v>
      </c>
      <c r="C112" s="260"/>
      <c r="D112" s="260"/>
      <c r="E112" s="260"/>
      <c r="G112" s="4"/>
      <c r="H112" s="4">
        <f>A112</f>
        <v>1</v>
      </c>
    </row>
    <row r="113" spans="1:10" x14ac:dyDescent="0.25">
      <c r="A113" s="4">
        <f t="shared" ref="A113:A151" si="5">A112+1</f>
        <v>2</v>
      </c>
      <c r="B113" s="32" t="s">
        <v>56</v>
      </c>
      <c r="C113" s="260"/>
      <c r="D113" s="260"/>
      <c r="E113" s="20">
        <f>E182</f>
        <v>6056558.2936077248</v>
      </c>
      <c r="F113" s="71"/>
      <c r="G113" s="4" t="s">
        <v>57</v>
      </c>
      <c r="H113" s="4">
        <f t="shared" ref="H113:H136" si="6">H112+1</f>
        <v>2</v>
      </c>
    </row>
    <row r="114" spans="1:10" x14ac:dyDescent="0.25">
      <c r="A114" s="4">
        <f t="shared" si="5"/>
        <v>3</v>
      </c>
      <c r="B114" s="32" t="s">
        <v>58</v>
      </c>
      <c r="C114" s="260"/>
      <c r="D114" s="260"/>
      <c r="E114" s="21">
        <f>E183</f>
        <v>8991.6155968346793</v>
      </c>
      <c r="F114" s="71"/>
      <c r="G114" s="4" t="s">
        <v>59</v>
      </c>
      <c r="H114" s="4">
        <f t="shared" si="6"/>
        <v>3</v>
      </c>
    </row>
    <row r="115" spans="1:10" x14ac:dyDescent="0.25">
      <c r="A115" s="4">
        <f t="shared" si="5"/>
        <v>4</v>
      </c>
      <c r="B115" s="32" t="s">
        <v>60</v>
      </c>
      <c r="C115" s="260"/>
      <c r="D115" s="260"/>
      <c r="E115" s="21">
        <f>E184</f>
        <v>66377.530681506847</v>
      </c>
      <c r="G115" s="4" t="s">
        <v>61</v>
      </c>
      <c r="H115" s="4">
        <f t="shared" si="6"/>
        <v>4</v>
      </c>
    </row>
    <row r="116" spans="1:10" x14ac:dyDescent="0.25">
      <c r="A116" s="4">
        <f t="shared" si="5"/>
        <v>5</v>
      </c>
      <c r="B116" s="32" t="s">
        <v>62</v>
      </c>
      <c r="C116" s="260"/>
      <c r="D116" s="260"/>
      <c r="E116" s="912">
        <f>E185</f>
        <v>193082.13193980302</v>
      </c>
      <c r="G116" s="4" t="s">
        <v>63</v>
      </c>
      <c r="H116" s="4">
        <f t="shared" si="6"/>
        <v>5</v>
      </c>
    </row>
    <row r="117" spans="1:10" x14ac:dyDescent="0.25">
      <c r="A117" s="4">
        <f t="shared" si="5"/>
        <v>6</v>
      </c>
      <c r="B117" s="32" t="s">
        <v>64</v>
      </c>
      <c r="C117" s="4"/>
      <c r="D117" s="4"/>
      <c r="E117" s="913">
        <f>SUM(E113:E116)</f>
        <v>6325009.5718258694</v>
      </c>
      <c r="F117" s="71"/>
      <c r="G117" s="4" t="s">
        <v>65</v>
      </c>
      <c r="H117" s="4">
        <f t="shared" si="6"/>
        <v>6</v>
      </c>
    </row>
    <row r="118" spans="1:10" x14ac:dyDescent="0.25">
      <c r="A118" s="4">
        <f t="shared" si="5"/>
        <v>7</v>
      </c>
      <c r="C118" s="4"/>
      <c r="D118" s="4"/>
      <c r="E118" s="11"/>
      <c r="G118" s="4"/>
      <c r="H118" s="4">
        <f t="shared" si="6"/>
        <v>7</v>
      </c>
    </row>
    <row r="119" spans="1:10" x14ac:dyDescent="0.25">
      <c r="A119" s="4">
        <f t="shared" si="5"/>
        <v>8</v>
      </c>
      <c r="B119" s="250" t="s">
        <v>66</v>
      </c>
      <c r="C119" s="4"/>
      <c r="D119" s="4"/>
      <c r="E119" s="11"/>
      <c r="G119" s="4"/>
      <c r="H119" s="4">
        <f t="shared" si="6"/>
        <v>8</v>
      </c>
    </row>
    <row r="120" spans="1:10" x14ac:dyDescent="0.25">
      <c r="A120" s="4">
        <f t="shared" si="5"/>
        <v>9</v>
      </c>
      <c r="B120" s="32" t="s">
        <v>67</v>
      </c>
      <c r="C120" s="4"/>
      <c r="D120" s="4"/>
      <c r="E120" s="22">
        <f>'Stmt AG'!E11</f>
        <v>0</v>
      </c>
      <c r="F120" s="71"/>
      <c r="G120" s="4" t="s">
        <v>68</v>
      </c>
      <c r="H120" s="4">
        <f t="shared" si="6"/>
        <v>9</v>
      </c>
    </row>
    <row r="121" spans="1:10" x14ac:dyDescent="0.25">
      <c r="A121" s="4">
        <f t="shared" si="5"/>
        <v>10</v>
      </c>
      <c r="B121" s="32" t="s">
        <v>69</v>
      </c>
      <c r="C121" s="4"/>
      <c r="D121" s="4"/>
      <c r="E121" s="1188">
        <f>'Stmt Misc.'!E12</f>
        <v>0</v>
      </c>
      <c r="G121" s="4" t="s">
        <v>70</v>
      </c>
      <c r="H121" s="4">
        <f t="shared" si="6"/>
        <v>10</v>
      </c>
    </row>
    <row r="122" spans="1:10" x14ac:dyDescent="0.25">
      <c r="A122" s="4">
        <f t="shared" si="5"/>
        <v>11</v>
      </c>
      <c r="B122" s="32" t="s">
        <v>71</v>
      </c>
      <c r="C122" s="4"/>
      <c r="D122" s="4"/>
      <c r="E122" s="1052">
        <f>SUM(E120:E121)</f>
        <v>0</v>
      </c>
      <c r="F122" s="71"/>
      <c r="G122" s="4" t="s">
        <v>72</v>
      </c>
      <c r="H122" s="4">
        <f t="shared" si="6"/>
        <v>11</v>
      </c>
    </row>
    <row r="123" spans="1:10" x14ac:dyDescent="0.25">
      <c r="A123" s="4">
        <f t="shared" si="5"/>
        <v>12</v>
      </c>
      <c r="B123" s="32"/>
      <c r="C123" s="4"/>
      <c r="D123" s="4"/>
      <c r="E123" s="15"/>
      <c r="G123" s="4"/>
      <c r="H123" s="4">
        <f t="shared" si="6"/>
        <v>12</v>
      </c>
    </row>
    <row r="124" spans="1:10" x14ac:dyDescent="0.25">
      <c r="A124" s="4">
        <f t="shared" si="5"/>
        <v>13</v>
      </c>
      <c r="B124" s="250" t="s">
        <v>73</v>
      </c>
      <c r="E124" s="11"/>
      <c r="G124" s="4"/>
      <c r="H124" s="4">
        <f t="shared" si="6"/>
        <v>13</v>
      </c>
    </row>
    <row r="125" spans="1:10" ht="18.75" x14ac:dyDescent="0.25">
      <c r="A125" s="4">
        <f t="shared" si="5"/>
        <v>14</v>
      </c>
      <c r="B125" s="31" t="s">
        <v>74</v>
      </c>
      <c r="C125" s="4"/>
      <c r="D125" s="4"/>
      <c r="E125" s="7">
        <f>'Stmt AF'!I17</f>
        <v>-1118185.2622200265</v>
      </c>
      <c r="G125" s="4" t="s">
        <v>75</v>
      </c>
      <c r="H125" s="4">
        <f t="shared" si="6"/>
        <v>14</v>
      </c>
      <c r="J125" s="869"/>
    </row>
    <row r="126" spans="1:10" x14ac:dyDescent="0.25">
      <c r="A126" s="4">
        <f t="shared" si="5"/>
        <v>15</v>
      </c>
      <c r="B126" s="31" t="s">
        <v>76</v>
      </c>
      <c r="C126" s="4"/>
      <c r="D126" s="4"/>
      <c r="E126" s="842">
        <f>'Stmt AF'!I21</f>
        <v>0</v>
      </c>
      <c r="G126" s="4" t="s">
        <v>77</v>
      </c>
      <c r="H126" s="4">
        <f t="shared" si="6"/>
        <v>15</v>
      </c>
    </row>
    <row r="127" spans="1:10" x14ac:dyDescent="0.25">
      <c r="A127" s="4">
        <f t="shared" si="5"/>
        <v>16</v>
      </c>
      <c r="B127" s="32" t="s">
        <v>78</v>
      </c>
      <c r="C127" s="4"/>
      <c r="D127" s="4"/>
      <c r="E127" s="913">
        <f>SUM(E125:E126)</f>
        <v>-1118185.2622200265</v>
      </c>
      <c r="G127" s="4" t="s">
        <v>79</v>
      </c>
      <c r="H127" s="4">
        <f t="shared" si="6"/>
        <v>16</v>
      </c>
    </row>
    <row r="128" spans="1:10" x14ac:dyDescent="0.25">
      <c r="A128" s="4">
        <f t="shared" si="5"/>
        <v>17</v>
      </c>
      <c r="C128" s="4"/>
      <c r="D128" s="4"/>
      <c r="E128" s="8"/>
      <c r="G128" s="4"/>
      <c r="H128" s="4">
        <f t="shared" si="6"/>
        <v>17</v>
      </c>
    </row>
    <row r="129" spans="1:10" x14ac:dyDescent="0.25">
      <c r="A129" s="4">
        <f t="shared" si="5"/>
        <v>18</v>
      </c>
      <c r="B129" s="250" t="s">
        <v>80</v>
      </c>
      <c r="C129" s="4"/>
      <c r="D129" s="4"/>
      <c r="E129" s="8"/>
      <c r="G129" s="4"/>
      <c r="H129" s="4">
        <f t="shared" si="6"/>
        <v>18</v>
      </c>
    </row>
    <row r="130" spans="1:10" x14ac:dyDescent="0.25">
      <c r="A130" s="4">
        <f t="shared" si="5"/>
        <v>19</v>
      </c>
      <c r="B130" s="32" t="s">
        <v>81</v>
      </c>
      <c r="C130" s="4"/>
      <c r="D130" s="4"/>
      <c r="E130" s="20">
        <f>'Stmt AL'!G15</f>
        <v>30331.018219510101</v>
      </c>
      <c r="F130" s="71"/>
      <c r="G130" s="4" t="s">
        <v>82</v>
      </c>
      <c r="H130" s="4">
        <f t="shared" si="6"/>
        <v>19</v>
      </c>
    </row>
    <row r="131" spans="1:10" x14ac:dyDescent="0.25">
      <c r="A131" s="4">
        <f t="shared" si="5"/>
        <v>20</v>
      </c>
      <c r="B131" s="32" t="s">
        <v>83</v>
      </c>
      <c r="C131" s="4"/>
      <c r="D131" s="4"/>
      <c r="E131" s="21">
        <f>'Stmt AL'!G21</f>
        <v>22909.667008822344</v>
      </c>
      <c r="F131" s="71"/>
      <c r="G131" s="4" t="s">
        <v>1951</v>
      </c>
      <c r="H131" s="4">
        <f t="shared" si="6"/>
        <v>20</v>
      </c>
    </row>
    <row r="132" spans="1:10" x14ac:dyDescent="0.25">
      <c r="A132" s="4">
        <f t="shared" si="5"/>
        <v>21</v>
      </c>
      <c r="B132" s="32" t="s">
        <v>84</v>
      </c>
      <c r="C132" s="4"/>
      <c r="D132" s="4"/>
      <c r="E132" s="912">
        <v>0</v>
      </c>
      <c r="F132" s="1"/>
      <c r="G132" s="4" t="s">
        <v>2001</v>
      </c>
      <c r="H132" s="4">
        <f t="shared" si="6"/>
        <v>21</v>
      </c>
    </row>
    <row r="133" spans="1:10" x14ac:dyDescent="0.25">
      <c r="A133" s="4">
        <f t="shared" si="5"/>
        <v>22</v>
      </c>
      <c r="B133" s="32" t="s">
        <v>85</v>
      </c>
      <c r="E133" s="913">
        <f>SUM(E130:E132)</f>
        <v>53240.685228332441</v>
      </c>
      <c r="F133" s="1"/>
      <c r="G133" s="4" t="s">
        <v>86</v>
      </c>
      <c r="H133" s="4">
        <f t="shared" si="6"/>
        <v>22</v>
      </c>
    </row>
    <row r="134" spans="1:10" x14ac:dyDescent="0.25">
      <c r="A134" s="4">
        <f t="shared" si="5"/>
        <v>23</v>
      </c>
      <c r="B134" s="32"/>
      <c r="E134" s="11"/>
      <c r="G134" s="4"/>
      <c r="H134" s="4">
        <f t="shared" si="6"/>
        <v>23</v>
      </c>
    </row>
    <row r="135" spans="1:10" x14ac:dyDescent="0.25">
      <c r="A135" s="4">
        <f t="shared" si="5"/>
        <v>24</v>
      </c>
      <c r="B135" s="32" t="s">
        <v>87</v>
      </c>
      <c r="E135" s="22">
        <f>'Stmt Misc.'!E14</f>
        <v>0</v>
      </c>
      <c r="G135" s="4" t="s">
        <v>88</v>
      </c>
      <c r="H135" s="4">
        <f t="shared" si="6"/>
        <v>24</v>
      </c>
    </row>
    <row r="136" spans="1:10" x14ac:dyDescent="0.25">
      <c r="A136" s="4">
        <f t="shared" si="5"/>
        <v>25</v>
      </c>
      <c r="B136" s="32" t="s">
        <v>89</v>
      </c>
      <c r="E136" s="1213">
        <f>'Stmt Misc.'!E16</f>
        <v>-11581.045271705818</v>
      </c>
      <c r="G136" s="4" t="s">
        <v>90</v>
      </c>
      <c r="H136" s="4">
        <f t="shared" si="6"/>
        <v>25</v>
      </c>
    </row>
    <row r="137" spans="1:10" x14ac:dyDescent="0.25">
      <c r="A137" s="4">
        <f t="shared" si="5"/>
        <v>26</v>
      </c>
      <c r="B137" s="31" t="s">
        <v>1885</v>
      </c>
      <c r="C137" s="255"/>
      <c r="D137" s="255"/>
      <c r="E137" s="1230">
        <f>'Stmt Misc.'!E20</f>
        <v>0</v>
      </c>
      <c r="F137" s="255"/>
      <c r="G137" s="4" t="s">
        <v>1884</v>
      </c>
      <c r="H137" s="4">
        <f t="shared" ref="H137" si="7">H136+1</f>
        <v>26</v>
      </c>
      <c r="I137" s="358"/>
      <c r="J137" s="255"/>
    </row>
    <row r="138" spans="1:10" x14ac:dyDescent="0.25">
      <c r="A138" s="4">
        <f t="shared" si="5"/>
        <v>27</v>
      </c>
      <c r="B138" s="32"/>
      <c r="E138" s="11"/>
      <c r="G138" s="4"/>
      <c r="H138" s="4">
        <f t="shared" ref="H138" si="8">H137+1</f>
        <v>27</v>
      </c>
      <c r="I138" s="358"/>
    </row>
    <row r="139" spans="1:10" ht="16.5" thickBot="1" x14ac:dyDescent="0.3">
      <c r="A139" s="4">
        <f t="shared" si="5"/>
        <v>28</v>
      </c>
      <c r="B139" s="32" t="s">
        <v>91</v>
      </c>
      <c r="C139" s="277"/>
      <c r="D139" s="277"/>
      <c r="E139" s="24">
        <f>E135+E133+E127+E122+E117+E136+E137</f>
        <v>5248483.9495624695</v>
      </c>
      <c r="F139" s="277"/>
      <c r="G139" s="4" t="s">
        <v>1938</v>
      </c>
      <c r="H139" s="4">
        <f t="shared" ref="H139" si="9">H138+1</f>
        <v>28</v>
      </c>
      <c r="I139" s="358"/>
      <c r="J139" s="35"/>
    </row>
    <row r="140" spans="1:10" ht="16.5" thickTop="1" x14ac:dyDescent="0.25">
      <c r="A140" s="4">
        <f t="shared" si="5"/>
        <v>29</v>
      </c>
      <c r="B140" s="32"/>
      <c r="E140" s="10"/>
      <c r="G140" s="4"/>
      <c r="H140" s="4">
        <f t="shared" ref="H140" si="10">H139+1</f>
        <v>29</v>
      </c>
      <c r="I140" s="358"/>
    </row>
    <row r="141" spans="1:10" ht="18.75" x14ac:dyDescent="0.25">
      <c r="A141" s="4">
        <f t="shared" si="5"/>
        <v>30</v>
      </c>
      <c r="B141" s="248" t="s">
        <v>93</v>
      </c>
      <c r="E141" s="10"/>
      <c r="G141" s="4"/>
      <c r="H141" s="4">
        <f t="shared" ref="H141" si="11">H140+1</f>
        <v>30</v>
      </c>
      <c r="I141" s="358"/>
    </row>
    <row r="142" spans="1:10" x14ac:dyDescent="0.25">
      <c r="A142" s="4">
        <f t="shared" si="5"/>
        <v>31</v>
      </c>
      <c r="B142" s="32" t="s">
        <v>94</v>
      </c>
      <c r="E142" s="7">
        <f>E191</f>
        <v>0</v>
      </c>
      <c r="G142" s="4" t="s">
        <v>95</v>
      </c>
      <c r="H142" s="4">
        <f t="shared" ref="H142" si="12">H141+1</f>
        <v>31</v>
      </c>
      <c r="I142" s="358"/>
    </row>
    <row r="143" spans="1:10" x14ac:dyDescent="0.25">
      <c r="A143" s="4">
        <f t="shared" si="5"/>
        <v>32</v>
      </c>
      <c r="B143" s="32" t="s">
        <v>96</v>
      </c>
      <c r="E143" s="9">
        <f>'Stmt AF'!I19</f>
        <v>0</v>
      </c>
      <c r="G143" s="4" t="s">
        <v>97</v>
      </c>
      <c r="H143" s="4">
        <f t="shared" ref="H143" si="13">H142+1</f>
        <v>32</v>
      </c>
      <c r="I143" s="358"/>
    </row>
    <row r="144" spans="1:10" ht="16.5" thickBot="1" x14ac:dyDescent="0.3">
      <c r="A144" s="4">
        <f t="shared" si="5"/>
        <v>33</v>
      </c>
      <c r="B144" s="31" t="s">
        <v>98</v>
      </c>
      <c r="E144" s="17">
        <f>SUM(E142:E143)</f>
        <v>0</v>
      </c>
      <c r="G144" s="4" t="s">
        <v>2003</v>
      </c>
      <c r="H144" s="4">
        <f t="shared" ref="H144" si="14">H143+1</f>
        <v>33</v>
      </c>
      <c r="I144" s="358"/>
    </row>
    <row r="145" spans="1:9" ht="16.5" thickTop="1" x14ac:dyDescent="0.25">
      <c r="A145" s="4">
        <f t="shared" si="5"/>
        <v>34</v>
      </c>
      <c r="B145" s="32"/>
      <c r="E145" s="10"/>
      <c r="G145" s="4"/>
      <c r="H145" s="4">
        <f t="shared" ref="H145" si="15">H144+1</f>
        <v>34</v>
      </c>
      <c r="I145" s="358"/>
    </row>
    <row r="146" spans="1:9" ht="18.75" x14ac:dyDescent="0.25">
      <c r="A146" s="4">
        <f t="shared" si="5"/>
        <v>35</v>
      </c>
      <c r="B146" s="248" t="s">
        <v>100</v>
      </c>
      <c r="E146" s="10"/>
      <c r="G146" s="4"/>
      <c r="H146" s="4">
        <f t="shared" ref="H146" si="16">H145+1</f>
        <v>35</v>
      </c>
      <c r="I146" s="358"/>
    </row>
    <row r="147" spans="1:9" x14ac:dyDescent="0.25">
      <c r="A147" s="4">
        <f t="shared" si="5"/>
        <v>36</v>
      </c>
      <c r="B147" s="32" t="s">
        <v>101</v>
      </c>
      <c r="E147" s="7">
        <f>'Stmt Misc.'!E18</f>
        <v>0</v>
      </c>
      <c r="G147" s="4" t="s">
        <v>102</v>
      </c>
      <c r="H147" s="4">
        <f t="shared" ref="H147" si="17">H146+1</f>
        <v>36</v>
      </c>
      <c r="I147" s="358"/>
    </row>
    <row r="148" spans="1:9" x14ac:dyDescent="0.25">
      <c r="A148" s="4">
        <f t="shared" si="5"/>
        <v>37</v>
      </c>
      <c r="B148" s="31" t="s">
        <v>103</v>
      </c>
      <c r="E148" s="842">
        <f>'Stmt AF'!I23</f>
        <v>0</v>
      </c>
      <c r="G148" s="4" t="s">
        <v>104</v>
      </c>
      <c r="H148" s="4">
        <f t="shared" ref="H148" si="18">H147+1</f>
        <v>37</v>
      </c>
      <c r="I148" s="358"/>
    </row>
    <row r="149" spans="1:9" ht="16.5" thickBot="1" x14ac:dyDescent="0.3">
      <c r="A149" s="4">
        <f t="shared" si="5"/>
        <v>38</v>
      </c>
      <c r="B149" s="31" t="s">
        <v>105</v>
      </c>
      <c r="E149" s="17">
        <f>SUM(E147:E148)</f>
        <v>0</v>
      </c>
      <c r="G149" s="4" t="s">
        <v>2002</v>
      </c>
      <c r="H149" s="4">
        <f t="shared" ref="H149" si="19">H148+1</f>
        <v>38</v>
      </c>
      <c r="I149" s="358"/>
    </row>
    <row r="150" spans="1:9" ht="16.5" thickTop="1" x14ac:dyDescent="0.25">
      <c r="A150" s="4">
        <f t="shared" si="5"/>
        <v>39</v>
      </c>
      <c r="B150" s="32"/>
      <c r="E150" s="10"/>
      <c r="G150" s="4"/>
      <c r="H150" s="4">
        <f t="shared" ref="H150" si="20">H149+1</f>
        <v>39</v>
      </c>
      <c r="I150" s="358"/>
    </row>
    <row r="151" spans="1:9" ht="19.5" thickBot="1" x14ac:dyDescent="0.3">
      <c r="A151" s="4">
        <f t="shared" si="5"/>
        <v>40</v>
      </c>
      <c r="B151" s="248" t="s">
        <v>107</v>
      </c>
      <c r="E151" s="1157">
        <f>'Stmt AM'!E11</f>
        <v>0</v>
      </c>
      <c r="G151" s="4" t="s">
        <v>108</v>
      </c>
      <c r="H151" s="4">
        <f t="shared" ref="H151" si="21">H150+1</f>
        <v>40</v>
      </c>
      <c r="I151" s="358"/>
    </row>
    <row r="152" spans="1:9" ht="16.5" thickTop="1" x14ac:dyDescent="0.25">
      <c r="A152" s="4"/>
      <c r="B152" s="32"/>
      <c r="E152" s="10"/>
      <c r="G152" s="4"/>
    </row>
    <row r="153" spans="1:9" x14ac:dyDescent="0.25">
      <c r="A153" s="4"/>
      <c r="B153" s="32"/>
      <c r="E153" s="10"/>
      <c r="G153" s="4"/>
    </row>
    <row r="154" spans="1:9" ht="18.75" x14ac:dyDescent="0.25">
      <c r="A154" s="253">
        <v>1</v>
      </c>
      <c r="B154" s="32" t="s">
        <v>109</v>
      </c>
      <c r="E154" s="10"/>
      <c r="G154" s="4"/>
    </row>
    <row r="155" spans="1:9" ht="18.75" x14ac:dyDescent="0.25">
      <c r="A155" s="253">
        <v>2</v>
      </c>
      <c r="B155" s="31" t="s">
        <v>52</v>
      </c>
      <c r="E155" s="10"/>
      <c r="G155" s="4"/>
    </row>
    <row r="156" spans="1:9" x14ac:dyDescent="0.25">
      <c r="A156" s="4"/>
      <c r="B156" s="1"/>
      <c r="E156" s="10"/>
      <c r="G156" s="4"/>
    </row>
    <row r="157" spans="1:9" x14ac:dyDescent="0.25">
      <c r="A157" s="4"/>
      <c r="B157" s="1"/>
      <c r="E157" s="10"/>
      <c r="G157" s="4"/>
    </row>
    <row r="158" spans="1:9" x14ac:dyDescent="0.25">
      <c r="A158" s="4"/>
      <c r="B158" s="1294" t="s">
        <v>0</v>
      </c>
      <c r="C158" s="1295"/>
      <c r="D158" s="1295"/>
      <c r="E158" s="1295"/>
      <c r="F158" s="1295"/>
      <c r="G158" s="1295"/>
    </row>
    <row r="159" spans="1:9" x14ac:dyDescent="0.25">
      <c r="A159" s="4" t="s">
        <v>1</v>
      </c>
      <c r="B159" s="1294" t="s">
        <v>2</v>
      </c>
      <c r="C159" s="1295"/>
      <c r="D159" s="1295"/>
      <c r="E159" s="1295"/>
      <c r="F159" s="1295"/>
      <c r="G159" s="1295"/>
    </row>
    <row r="160" spans="1:9" ht="17.25" x14ac:dyDescent="0.25">
      <c r="A160" s="4"/>
      <c r="B160" s="1296" t="s">
        <v>2077</v>
      </c>
      <c r="C160" s="1297"/>
      <c r="D160" s="1297"/>
      <c r="E160" s="1297"/>
      <c r="F160" s="1297"/>
      <c r="G160" s="1297"/>
    </row>
    <row r="161" spans="1:10" x14ac:dyDescent="0.25">
      <c r="A161" s="4"/>
      <c r="B161" s="1300" t="str">
        <f>B5</f>
        <v>For the Base Period &amp; True-Up Period Ending December 31, 2023</v>
      </c>
      <c r="C161" s="1301"/>
      <c r="D161" s="1301"/>
      <c r="E161" s="1301"/>
      <c r="F161" s="1301"/>
      <c r="G161" s="1301"/>
    </row>
    <row r="162" spans="1:10" x14ac:dyDescent="0.25">
      <c r="A162" s="4"/>
      <c r="B162" s="1299" t="s">
        <v>4</v>
      </c>
      <c r="C162" s="1295"/>
      <c r="D162" s="1295"/>
      <c r="E162" s="1295"/>
      <c r="F162" s="1295"/>
      <c r="G162" s="1295"/>
    </row>
    <row r="163" spans="1:10" x14ac:dyDescent="0.25">
      <c r="A163" s="4"/>
      <c r="B163" s="34"/>
    </row>
    <row r="164" spans="1:10" x14ac:dyDescent="0.25">
      <c r="A164" s="4" t="s">
        <v>5</v>
      </c>
      <c r="E164" s="25"/>
      <c r="G164" s="4"/>
      <c r="H164" s="4" t="s">
        <v>5</v>
      </c>
    </row>
    <row r="165" spans="1:10" x14ac:dyDescent="0.25">
      <c r="A165" s="4" t="s">
        <v>6</v>
      </c>
      <c r="B165" s="1" t="s">
        <v>1</v>
      </c>
      <c r="E165" s="910" t="s">
        <v>7</v>
      </c>
      <c r="G165" s="849" t="s">
        <v>8</v>
      </c>
      <c r="H165" s="4" t="s">
        <v>6</v>
      </c>
    </row>
    <row r="166" spans="1:10" x14ac:dyDescent="0.25">
      <c r="A166" s="4"/>
      <c r="B166" s="248" t="s">
        <v>110</v>
      </c>
      <c r="E166" s="25"/>
      <c r="G166" s="4"/>
    </row>
    <row r="167" spans="1:10" x14ac:dyDescent="0.25">
      <c r="A167" s="4">
        <v>1</v>
      </c>
      <c r="B167" s="250" t="s">
        <v>111</v>
      </c>
      <c r="E167" s="25"/>
      <c r="G167" s="4"/>
      <c r="H167" s="4">
        <f>A167</f>
        <v>1</v>
      </c>
    </row>
    <row r="168" spans="1:10" x14ac:dyDescent="0.25">
      <c r="A168" s="4">
        <f t="shared" ref="A168:A191" si="22">A167+1</f>
        <v>2</v>
      </c>
      <c r="B168" s="32" t="s">
        <v>56</v>
      </c>
      <c r="E168" s="7">
        <f>'Stmt AD'!I21</f>
        <v>7990057.3968355898</v>
      </c>
      <c r="F168" s="71"/>
      <c r="G168" s="4" t="s">
        <v>112</v>
      </c>
      <c r="H168" s="4">
        <f t="shared" ref="H168:H191" si="23">H167+1</f>
        <v>2</v>
      </c>
      <c r="J168" s="727"/>
    </row>
    <row r="169" spans="1:10" x14ac:dyDescent="0.25">
      <c r="A169" s="4">
        <f t="shared" si="22"/>
        <v>3</v>
      </c>
      <c r="B169" s="32" t="s">
        <v>113</v>
      </c>
      <c r="E169" s="9">
        <f>'Stmt AD'!I37</f>
        <v>23393.512758412278</v>
      </c>
      <c r="F169" s="71"/>
      <c r="G169" s="4" t="s">
        <v>114</v>
      </c>
      <c r="H169" s="4">
        <f t="shared" si="23"/>
        <v>3</v>
      </c>
      <c r="J169" s="252"/>
    </row>
    <row r="170" spans="1:10" x14ac:dyDescent="0.25">
      <c r="A170" s="4">
        <f t="shared" si="22"/>
        <v>4</v>
      </c>
      <c r="B170" s="32" t="s">
        <v>60</v>
      </c>
      <c r="E170" s="9">
        <f>'Stmt AD'!I39</f>
        <v>116603.02515903773</v>
      </c>
      <c r="F170" s="1"/>
      <c r="G170" s="4" t="s">
        <v>115</v>
      </c>
      <c r="H170" s="4">
        <f t="shared" si="23"/>
        <v>4</v>
      </c>
    </row>
    <row r="171" spans="1:10" x14ac:dyDescent="0.25">
      <c r="A171" s="4">
        <f t="shared" si="22"/>
        <v>5</v>
      </c>
      <c r="B171" s="32" t="s">
        <v>62</v>
      </c>
      <c r="C171" s="4"/>
      <c r="D171" s="4"/>
      <c r="E171" s="842">
        <f>'Stmt AD'!I41</f>
        <v>330920.32543917262</v>
      </c>
      <c r="F171" s="1"/>
      <c r="G171" s="4" t="s">
        <v>116</v>
      </c>
      <c r="H171" s="4">
        <f t="shared" si="23"/>
        <v>5</v>
      </c>
    </row>
    <row r="172" spans="1:10" x14ac:dyDescent="0.25">
      <c r="A172" s="4">
        <f t="shared" si="22"/>
        <v>6</v>
      </c>
      <c r="B172" s="32" t="s">
        <v>117</v>
      </c>
      <c r="E172" s="913">
        <f>SUM(E168:E171)</f>
        <v>8460974.2601922117</v>
      </c>
      <c r="F172" s="71"/>
      <c r="G172" s="4" t="s">
        <v>65</v>
      </c>
      <c r="H172" s="4">
        <f t="shared" si="23"/>
        <v>6</v>
      </c>
      <c r="J172" s="252"/>
    </row>
    <row r="173" spans="1:10" x14ac:dyDescent="0.25">
      <c r="A173" s="4">
        <f t="shared" si="22"/>
        <v>7</v>
      </c>
      <c r="C173" s="4"/>
      <c r="D173" s="4"/>
      <c r="E173" s="25"/>
      <c r="G173" s="4"/>
      <c r="H173" s="4">
        <f t="shared" si="23"/>
        <v>7</v>
      </c>
    </row>
    <row r="174" spans="1:10" x14ac:dyDescent="0.25">
      <c r="A174" s="4">
        <f t="shared" si="22"/>
        <v>8</v>
      </c>
      <c r="B174" s="251" t="s">
        <v>118</v>
      </c>
      <c r="E174" s="25"/>
      <c r="G174" s="4"/>
      <c r="H174" s="4">
        <f t="shared" si="23"/>
        <v>8</v>
      </c>
    </row>
    <row r="175" spans="1:10" x14ac:dyDescent="0.25">
      <c r="A175" s="4">
        <f t="shared" si="22"/>
        <v>9</v>
      </c>
      <c r="B175" s="31" t="s">
        <v>119</v>
      </c>
      <c r="E175" s="7">
        <f>'Stmt AE'!I11</f>
        <v>1933499.1032278647</v>
      </c>
      <c r="F175" s="71"/>
      <c r="G175" s="4" t="s">
        <v>120</v>
      </c>
      <c r="H175" s="4">
        <f t="shared" si="23"/>
        <v>9</v>
      </c>
    </row>
    <row r="176" spans="1:10" x14ac:dyDescent="0.25">
      <c r="A176" s="4">
        <f t="shared" si="22"/>
        <v>10</v>
      </c>
      <c r="B176" s="31" t="s">
        <v>121</v>
      </c>
      <c r="E176" s="9">
        <f>'Stmt AE'!I21</f>
        <v>14401.897161577599</v>
      </c>
      <c r="F176" s="71"/>
      <c r="G176" s="4" t="s">
        <v>122</v>
      </c>
      <c r="H176" s="4">
        <f t="shared" si="23"/>
        <v>10</v>
      </c>
    </row>
    <row r="177" spans="1:8" x14ac:dyDescent="0.25">
      <c r="A177" s="4">
        <f t="shared" si="22"/>
        <v>11</v>
      </c>
      <c r="B177" s="31" t="s">
        <v>123</v>
      </c>
      <c r="E177" s="9">
        <f>'Stmt AE'!I23</f>
        <v>50225.49447753089</v>
      </c>
      <c r="F177" s="1"/>
      <c r="G177" s="4" t="s">
        <v>124</v>
      </c>
      <c r="H177" s="4">
        <f t="shared" si="23"/>
        <v>11</v>
      </c>
    </row>
    <row r="178" spans="1:8" x14ac:dyDescent="0.25">
      <c r="A178" s="4">
        <f t="shared" si="22"/>
        <v>12</v>
      </c>
      <c r="B178" s="31" t="s">
        <v>125</v>
      </c>
      <c r="E178" s="842">
        <f>'Stmt AE'!I25</f>
        <v>137838.1934993696</v>
      </c>
      <c r="F178" s="1"/>
      <c r="G178" s="4" t="s">
        <v>126</v>
      </c>
      <c r="H178" s="4">
        <f t="shared" si="23"/>
        <v>12</v>
      </c>
    </row>
    <row r="179" spans="1:8" x14ac:dyDescent="0.25">
      <c r="A179" s="4">
        <f t="shared" si="22"/>
        <v>13</v>
      </c>
      <c r="B179" s="252" t="s">
        <v>127</v>
      </c>
      <c r="C179" s="252"/>
      <c r="D179" s="252"/>
      <c r="E179" s="913">
        <f>SUM(E175:E178)</f>
        <v>2135964.6883663428</v>
      </c>
      <c r="F179" s="71"/>
      <c r="G179" s="4" t="s">
        <v>128</v>
      </c>
      <c r="H179" s="4">
        <f t="shared" si="23"/>
        <v>13</v>
      </c>
    </row>
    <row r="180" spans="1:8" x14ac:dyDescent="0.25">
      <c r="A180" s="4">
        <f t="shared" si="22"/>
        <v>14</v>
      </c>
      <c r="B180" s="252"/>
      <c r="C180" s="252"/>
      <c r="D180" s="252"/>
      <c r="E180" s="8"/>
      <c r="G180" s="4"/>
      <c r="H180" s="4">
        <f t="shared" si="23"/>
        <v>14</v>
      </c>
    </row>
    <row r="181" spans="1:8" x14ac:dyDescent="0.25">
      <c r="A181" s="4">
        <f t="shared" si="22"/>
        <v>15</v>
      </c>
      <c r="B181" s="250" t="s">
        <v>55</v>
      </c>
      <c r="C181" s="252"/>
      <c r="D181" s="252"/>
      <c r="E181" s="8"/>
      <c r="G181" s="4"/>
      <c r="H181" s="4">
        <f t="shared" si="23"/>
        <v>15</v>
      </c>
    </row>
    <row r="182" spans="1:8" x14ac:dyDescent="0.25">
      <c r="A182" s="4">
        <f t="shared" si="22"/>
        <v>16</v>
      </c>
      <c r="B182" s="32" t="s">
        <v>56</v>
      </c>
      <c r="E182" s="10">
        <f>+E168-E175</f>
        <v>6056558.2936077248</v>
      </c>
      <c r="F182" s="71"/>
      <c r="G182" s="4" t="s">
        <v>1673</v>
      </c>
      <c r="H182" s="4">
        <f t="shared" si="23"/>
        <v>16</v>
      </c>
    </row>
    <row r="183" spans="1:8" x14ac:dyDescent="0.25">
      <c r="A183" s="4">
        <f t="shared" si="22"/>
        <v>17</v>
      </c>
      <c r="B183" s="32" t="s">
        <v>58</v>
      </c>
      <c r="E183" s="8">
        <f>+E169-E176</f>
        <v>8991.6155968346793</v>
      </c>
      <c r="F183" s="71"/>
      <c r="G183" s="4" t="s">
        <v>1674</v>
      </c>
      <c r="H183" s="4">
        <f t="shared" si="23"/>
        <v>17</v>
      </c>
    </row>
    <row r="184" spans="1:8" x14ac:dyDescent="0.25">
      <c r="A184" s="4">
        <f t="shared" si="22"/>
        <v>18</v>
      </c>
      <c r="B184" s="32" t="s">
        <v>60</v>
      </c>
      <c r="E184" s="8">
        <f>+E170-E177</f>
        <v>66377.530681506847</v>
      </c>
      <c r="G184" s="4" t="s">
        <v>1675</v>
      </c>
      <c r="H184" s="4">
        <f t="shared" si="23"/>
        <v>18</v>
      </c>
    </row>
    <row r="185" spans="1:8" x14ac:dyDescent="0.25">
      <c r="A185" s="4">
        <f t="shared" si="22"/>
        <v>19</v>
      </c>
      <c r="B185" s="32" t="s">
        <v>62</v>
      </c>
      <c r="E185" s="914">
        <f>+E171-E178</f>
        <v>193082.13193980302</v>
      </c>
      <c r="G185" s="4" t="s">
        <v>1676</v>
      </c>
      <c r="H185" s="4">
        <f t="shared" si="23"/>
        <v>19</v>
      </c>
    </row>
    <row r="186" spans="1:8" ht="16.5" thickBot="1" x14ac:dyDescent="0.3">
      <c r="A186" s="4">
        <f t="shared" si="22"/>
        <v>20</v>
      </c>
      <c r="B186" s="31" t="s">
        <v>64</v>
      </c>
      <c r="E186" s="17">
        <f>SUM(E182:E185)</f>
        <v>6325009.5718258694</v>
      </c>
      <c r="F186" s="71"/>
      <c r="G186" s="4" t="s">
        <v>129</v>
      </c>
      <c r="H186" s="4">
        <f t="shared" si="23"/>
        <v>20</v>
      </c>
    </row>
    <row r="187" spans="1:8" ht="16.5" thickTop="1" x14ac:dyDescent="0.25">
      <c r="A187" s="4">
        <f t="shared" si="22"/>
        <v>21</v>
      </c>
      <c r="E187" s="10"/>
      <c r="G187" s="4"/>
      <c r="H187" s="4">
        <f t="shared" si="23"/>
        <v>21</v>
      </c>
    </row>
    <row r="188" spans="1:8" ht="18.75" x14ac:dyDescent="0.25">
      <c r="A188" s="4">
        <f t="shared" si="22"/>
        <v>22</v>
      </c>
      <c r="B188" s="248" t="s">
        <v>130</v>
      </c>
      <c r="E188" s="10"/>
      <c r="G188" s="4"/>
      <c r="H188" s="4">
        <f t="shared" si="23"/>
        <v>22</v>
      </c>
    </row>
    <row r="189" spans="1:8" x14ac:dyDescent="0.25">
      <c r="A189" s="4">
        <f t="shared" si="22"/>
        <v>23</v>
      </c>
      <c r="B189" s="32" t="s">
        <v>131</v>
      </c>
      <c r="E189" s="7">
        <f>'Stmt AD'!I23</f>
        <v>0</v>
      </c>
      <c r="G189" s="4" t="s">
        <v>132</v>
      </c>
      <c r="H189" s="4">
        <f t="shared" si="23"/>
        <v>23</v>
      </c>
    </row>
    <row r="190" spans="1:8" x14ac:dyDescent="0.25">
      <c r="A190" s="4">
        <f t="shared" si="22"/>
        <v>24</v>
      </c>
      <c r="B190" s="31" t="s">
        <v>133</v>
      </c>
      <c r="E190" s="842">
        <f>'Stmt AE'!I29</f>
        <v>0</v>
      </c>
      <c r="G190" s="4" t="s">
        <v>134</v>
      </c>
      <c r="H190" s="4">
        <f t="shared" si="23"/>
        <v>24</v>
      </c>
    </row>
    <row r="191" spans="1:8" ht="16.5" thickBot="1" x14ac:dyDescent="0.3">
      <c r="A191" s="4">
        <f t="shared" si="22"/>
        <v>25</v>
      </c>
      <c r="B191" s="32" t="s">
        <v>135</v>
      </c>
      <c r="E191" s="24">
        <f>E189-E190</f>
        <v>0</v>
      </c>
      <c r="G191" s="4" t="s">
        <v>1677</v>
      </c>
      <c r="H191" s="4">
        <f t="shared" si="23"/>
        <v>25</v>
      </c>
    </row>
    <row r="192" spans="1:8" ht="16.5" thickTop="1" x14ac:dyDescent="0.25">
      <c r="A192" s="4"/>
      <c r="B192" s="32"/>
      <c r="E192" s="10"/>
      <c r="G192" s="4"/>
    </row>
    <row r="193" spans="1:9" x14ac:dyDescent="0.25">
      <c r="A193" s="4"/>
      <c r="B193" s="32"/>
      <c r="E193" s="10"/>
      <c r="G193" s="4"/>
    </row>
    <row r="194" spans="1:9" ht="18.75" x14ac:dyDescent="0.25">
      <c r="A194" s="253">
        <v>1</v>
      </c>
      <c r="B194" s="31" t="s">
        <v>136</v>
      </c>
      <c r="E194" s="10"/>
      <c r="G194" s="4"/>
    </row>
    <row r="195" spans="1:9" x14ac:dyDescent="0.25">
      <c r="A195" s="4"/>
      <c r="E195" s="10"/>
      <c r="G195" s="4"/>
    </row>
    <row r="196" spans="1:9" x14ac:dyDescent="0.25">
      <c r="A196" s="71"/>
      <c r="E196" s="10"/>
      <c r="G196" s="4"/>
    </row>
    <row r="197" spans="1:9" x14ac:dyDescent="0.25">
      <c r="A197" s="4"/>
      <c r="B197" s="1294" t="s">
        <v>0</v>
      </c>
      <c r="C197" s="1295"/>
      <c r="D197" s="1295"/>
      <c r="E197" s="1295"/>
      <c r="F197" s="1295"/>
      <c r="G197" s="1295"/>
    </row>
    <row r="198" spans="1:9" x14ac:dyDescent="0.25">
      <c r="A198" s="4"/>
      <c r="B198" s="1294" t="s">
        <v>2</v>
      </c>
      <c r="C198" s="1295"/>
      <c r="D198" s="1295"/>
      <c r="E198" s="1295"/>
      <c r="F198" s="1295"/>
      <c r="G198" s="1295"/>
    </row>
    <row r="199" spans="1:9" ht="17.25" x14ac:dyDescent="0.25">
      <c r="A199" s="4"/>
      <c r="B199" s="1296" t="s">
        <v>2089</v>
      </c>
      <c r="C199" s="1297"/>
      <c r="D199" s="1297"/>
      <c r="E199" s="1297"/>
      <c r="F199" s="1297"/>
      <c r="G199" s="1297"/>
    </row>
    <row r="200" spans="1:9" x14ac:dyDescent="0.25">
      <c r="A200" s="4"/>
      <c r="B200" s="1298" t="s">
        <v>1727</v>
      </c>
      <c r="C200" s="1302"/>
      <c r="D200" s="1302"/>
      <c r="E200" s="1302"/>
      <c r="F200" s="1302"/>
      <c r="G200" s="1302"/>
    </row>
    <row r="201" spans="1:9" x14ac:dyDescent="0.25">
      <c r="A201" s="4"/>
      <c r="B201" s="1299" t="s">
        <v>4</v>
      </c>
      <c r="C201" s="1295"/>
      <c r="D201" s="1295"/>
      <c r="E201" s="1295"/>
      <c r="F201" s="1295"/>
      <c r="G201" s="1295"/>
    </row>
    <row r="202" spans="1:9" x14ac:dyDescent="0.25">
      <c r="A202" s="4"/>
      <c r="B202" s="262"/>
      <c r="C202" s="1"/>
      <c r="D202" s="1"/>
      <c r="E202" s="1"/>
      <c r="F202" s="1"/>
      <c r="G202" s="1"/>
    </row>
    <row r="203" spans="1:9" x14ac:dyDescent="0.25">
      <c r="A203" s="4" t="s">
        <v>5</v>
      </c>
      <c r="E203" s="25"/>
      <c r="G203" s="4"/>
      <c r="H203" s="4" t="s">
        <v>5</v>
      </c>
    </row>
    <row r="204" spans="1:9" x14ac:dyDescent="0.25">
      <c r="A204" s="4" t="s">
        <v>6</v>
      </c>
      <c r="B204" s="1" t="s">
        <v>1</v>
      </c>
      <c r="E204" s="910" t="s">
        <v>7</v>
      </c>
      <c r="G204" s="849" t="s">
        <v>8</v>
      </c>
      <c r="H204" s="4" t="s">
        <v>6</v>
      </c>
    </row>
    <row r="205" spans="1:9" x14ac:dyDescent="0.25">
      <c r="A205" s="4"/>
      <c r="B205" s="33" t="s">
        <v>137</v>
      </c>
      <c r="E205" s="261"/>
      <c r="G205" s="4"/>
    </row>
    <row r="206" spans="1:9" ht="17.25" x14ac:dyDescent="0.25">
      <c r="A206" s="4"/>
      <c r="B206" s="33" t="s">
        <v>138</v>
      </c>
      <c r="E206" s="13"/>
      <c r="G206" s="4"/>
    </row>
    <row r="207" spans="1:9" x14ac:dyDescent="0.25">
      <c r="A207" s="4"/>
      <c r="B207" s="33" t="s">
        <v>139</v>
      </c>
      <c r="E207" s="13"/>
      <c r="G207" s="4"/>
    </row>
    <row r="208" spans="1:9" x14ac:dyDescent="0.25">
      <c r="A208" s="4">
        <v>1</v>
      </c>
      <c r="B208" s="604" t="s">
        <v>23</v>
      </c>
      <c r="C208" s="838"/>
      <c r="D208" s="838"/>
      <c r="E208" s="1109">
        <f>E139</f>
        <v>5248483.9495624695</v>
      </c>
      <c r="F208" s="1106"/>
      <c r="G208" s="626" t="s">
        <v>1993</v>
      </c>
      <c r="H208" s="4">
        <v>1</v>
      </c>
      <c r="I208" s="358"/>
    </row>
    <row r="209" spans="1:10" x14ac:dyDescent="0.25">
      <c r="A209" s="4">
        <f>A208+1</f>
        <v>2</v>
      </c>
      <c r="B209" s="604" t="s">
        <v>1691</v>
      </c>
      <c r="C209" s="838"/>
      <c r="D209" s="838"/>
      <c r="E209" s="1189">
        <f>-E127</f>
        <v>1118185.2622200265</v>
      </c>
      <c r="F209" s="1106"/>
      <c r="G209" s="626" t="s">
        <v>1763</v>
      </c>
      <c r="H209" s="4">
        <f>H208+1</f>
        <v>2</v>
      </c>
      <c r="I209" s="358"/>
    </row>
    <row r="210" spans="1:10" x14ac:dyDescent="0.25">
      <c r="A210" s="4">
        <f>A209+1</f>
        <v>3</v>
      </c>
      <c r="B210" s="604" t="s">
        <v>1697</v>
      </c>
      <c r="C210" s="838"/>
      <c r="D210" s="838"/>
      <c r="E210" s="1158">
        <f>'Stmt AF'!I25</f>
        <v>-682584.54025826952</v>
      </c>
      <c r="F210" s="1110"/>
      <c r="G210" s="4" t="s">
        <v>1714</v>
      </c>
      <c r="H210" s="4">
        <f t="shared" ref="H210:H211" si="24">H209+1</f>
        <v>3</v>
      </c>
      <c r="I210" s="358"/>
    </row>
    <row r="211" spans="1:10" x14ac:dyDescent="0.25">
      <c r="A211" s="4">
        <f t="shared" ref="A211:A239" si="25">A210+1</f>
        <v>4</v>
      </c>
      <c r="B211" s="604" t="s">
        <v>1722</v>
      </c>
      <c r="C211" s="838"/>
      <c r="D211" s="838"/>
      <c r="E211" s="1117">
        <f>SUM(E208:E210)</f>
        <v>5684084.6715242267</v>
      </c>
      <c r="F211" s="1106"/>
      <c r="G211" s="626" t="s">
        <v>454</v>
      </c>
      <c r="H211" s="4">
        <f t="shared" si="24"/>
        <v>4</v>
      </c>
      <c r="I211" s="358"/>
    </row>
    <row r="212" spans="1:10" x14ac:dyDescent="0.25">
      <c r="A212" s="4">
        <f t="shared" si="25"/>
        <v>5</v>
      </c>
      <c r="B212" s="604"/>
      <c r="C212" s="838"/>
      <c r="D212" s="838"/>
      <c r="E212" s="1111"/>
      <c r="F212" s="1106"/>
      <c r="G212" s="626"/>
      <c r="H212" s="4">
        <f t="shared" ref="H212:H239" si="26">H211+1</f>
        <v>5</v>
      </c>
      <c r="I212" s="358"/>
    </row>
    <row r="213" spans="1:10" ht="18.75" x14ac:dyDescent="0.25">
      <c r="A213" s="4">
        <f t="shared" si="25"/>
        <v>6</v>
      </c>
      <c r="B213" s="32" t="s">
        <v>1571</v>
      </c>
      <c r="C213" s="838"/>
      <c r="D213" s="838"/>
      <c r="E213" s="1123">
        <f>IFERROR('Stmt AV'!F143,0)</f>
        <v>9.5186014302326788E-2</v>
      </c>
      <c r="F213" s="838"/>
      <c r="G213" s="626" t="s">
        <v>1743</v>
      </c>
      <c r="H213" s="4">
        <f t="shared" si="26"/>
        <v>6</v>
      </c>
      <c r="I213" s="358"/>
    </row>
    <row r="214" spans="1:10" x14ac:dyDescent="0.25">
      <c r="A214" s="4">
        <f t="shared" si="25"/>
        <v>7</v>
      </c>
      <c r="B214" s="32"/>
      <c r="C214" s="838"/>
      <c r="D214" s="838"/>
      <c r="E214" s="1116"/>
      <c r="F214" s="838"/>
      <c r="G214" s="626"/>
      <c r="H214" s="4">
        <f t="shared" si="26"/>
        <v>7</v>
      </c>
      <c r="I214" s="358"/>
    </row>
    <row r="215" spans="1:10" x14ac:dyDescent="0.25">
      <c r="A215" s="4">
        <f t="shared" si="25"/>
        <v>8</v>
      </c>
      <c r="B215" s="604" t="s">
        <v>1547</v>
      </c>
      <c r="C215" s="838"/>
      <c r="D215" s="838"/>
      <c r="E215" s="1111">
        <f>E211*E213</f>
        <v>541045.36483934149</v>
      </c>
      <c r="F215" s="1106"/>
      <c r="G215" s="626" t="s">
        <v>1699</v>
      </c>
      <c r="H215" s="4">
        <f t="shared" si="26"/>
        <v>8</v>
      </c>
      <c r="I215" s="358"/>
    </row>
    <row r="216" spans="1:10" x14ac:dyDescent="0.25">
      <c r="A216" s="4">
        <f t="shared" si="25"/>
        <v>9</v>
      </c>
      <c r="B216" s="31" t="s">
        <v>1548</v>
      </c>
      <c r="C216" s="838"/>
      <c r="D216" s="838"/>
      <c r="E216" s="1189">
        <f>E29+E33</f>
        <v>499582.26828858582</v>
      </c>
      <c r="F216" s="838"/>
      <c r="G216" s="626" t="s">
        <v>1749</v>
      </c>
      <c r="H216" s="4">
        <f t="shared" si="26"/>
        <v>9</v>
      </c>
      <c r="I216" s="358"/>
    </row>
    <row r="217" spans="1:10" x14ac:dyDescent="0.25">
      <c r="A217" s="4">
        <f t="shared" si="25"/>
        <v>10</v>
      </c>
      <c r="B217" s="604" t="s">
        <v>1698</v>
      </c>
      <c r="C217" s="838"/>
      <c r="D217" s="838"/>
      <c r="E217" s="1117">
        <f>E215-E216</f>
        <v>41463.096550755668</v>
      </c>
      <c r="F217" s="1110"/>
      <c r="G217" s="626" t="s">
        <v>1700</v>
      </c>
      <c r="H217" s="4">
        <f t="shared" si="26"/>
        <v>10</v>
      </c>
      <c r="I217" s="358"/>
    </row>
    <row r="218" spans="1:10" x14ac:dyDescent="0.25">
      <c r="A218" s="4">
        <f t="shared" si="25"/>
        <v>11</v>
      </c>
      <c r="B218" s="33"/>
      <c r="E218" s="13"/>
      <c r="G218" s="4"/>
      <c r="H218" s="4">
        <f t="shared" si="26"/>
        <v>11</v>
      </c>
      <c r="I218" s="358"/>
    </row>
    <row r="219" spans="1:10" ht="18.75" x14ac:dyDescent="0.25">
      <c r="A219" s="4">
        <f t="shared" si="25"/>
        <v>12</v>
      </c>
      <c r="B219" s="31" t="s">
        <v>140</v>
      </c>
      <c r="E219" s="7">
        <f>E41</f>
        <v>1056903.5659822936</v>
      </c>
      <c r="F219" s="218"/>
      <c r="G219" s="4" t="s">
        <v>1965</v>
      </c>
      <c r="H219" s="4">
        <f t="shared" si="26"/>
        <v>12</v>
      </c>
      <c r="I219" s="358"/>
    </row>
    <row r="220" spans="1:10" x14ac:dyDescent="0.25">
      <c r="A220" s="4">
        <f t="shared" si="25"/>
        <v>13</v>
      </c>
      <c r="B220" s="31" t="s">
        <v>1932</v>
      </c>
      <c r="E220" s="8">
        <f>(-E11)*0.6</f>
        <v>-64911.79532037118</v>
      </c>
      <c r="F220" s="71"/>
      <c r="G220" s="4" t="s">
        <v>1916</v>
      </c>
      <c r="H220" s="4">
        <f t="shared" si="26"/>
        <v>13</v>
      </c>
      <c r="I220" s="358"/>
    </row>
    <row r="221" spans="1:10" x14ac:dyDescent="0.25">
      <c r="A221" s="4">
        <f t="shared" si="25"/>
        <v>14</v>
      </c>
      <c r="B221" s="31" t="s">
        <v>1933</v>
      </c>
      <c r="E221" s="8">
        <f>(-E13)*0.6</f>
        <v>-64058.357732589131</v>
      </c>
      <c r="F221" s="218"/>
      <c r="G221" s="4" t="s">
        <v>1917</v>
      </c>
      <c r="H221" s="4">
        <f t="shared" si="26"/>
        <v>14</v>
      </c>
      <c r="I221" s="358"/>
    </row>
    <row r="222" spans="1:10" x14ac:dyDescent="0.25">
      <c r="A222" s="4">
        <f t="shared" si="25"/>
        <v>15</v>
      </c>
      <c r="B222" s="32" t="s">
        <v>12</v>
      </c>
      <c r="E222" s="8">
        <f>-E15</f>
        <v>0</v>
      </c>
      <c r="G222" s="4" t="s">
        <v>141</v>
      </c>
      <c r="H222" s="4">
        <f t="shared" si="26"/>
        <v>15</v>
      </c>
      <c r="I222" s="358"/>
    </row>
    <row r="223" spans="1:10" x14ac:dyDescent="0.25">
      <c r="A223" s="4">
        <f t="shared" si="25"/>
        <v>16</v>
      </c>
      <c r="B223" s="31" t="s">
        <v>25</v>
      </c>
      <c r="E223" s="8">
        <f>-E35</f>
        <v>-1304.0991895338727</v>
      </c>
      <c r="G223" s="4" t="s">
        <v>1765</v>
      </c>
      <c r="H223" s="4">
        <f t="shared" si="26"/>
        <v>16</v>
      </c>
      <c r="I223" s="358"/>
      <c r="J223" s="32"/>
    </row>
    <row r="224" spans="1:10" x14ac:dyDescent="0.25">
      <c r="A224" s="4">
        <f t="shared" si="25"/>
        <v>17</v>
      </c>
      <c r="B224" s="249" t="s">
        <v>31</v>
      </c>
      <c r="E224" s="11">
        <f>-E39</f>
        <v>0</v>
      </c>
      <c r="G224" s="4" t="s">
        <v>2004</v>
      </c>
      <c r="H224" s="4">
        <f t="shared" si="26"/>
        <v>17</v>
      </c>
      <c r="I224" s="358"/>
    </row>
    <row r="225" spans="1:10" x14ac:dyDescent="0.25">
      <c r="A225" s="4">
        <f t="shared" si="25"/>
        <v>18</v>
      </c>
      <c r="B225" s="604" t="s">
        <v>1698</v>
      </c>
      <c r="E225" s="23">
        <f>E217</f>
        <v>41463.096550755668</v>
      </c>
      <c r="G225" s="1112" t="s">
        <v>1701</v>
      </c>
      <c r="H225" s="4">
        <f t="shared" si="26"/>
        <v>18</v>
      </c>
      <c r="I225" s="358"/>
    </row>
    <row r="226" spans="1:10" ht="18.75" x14ac:dyDescent="0.25">
      <c r="A226" s="4">
        <f t="shared" si="25"/>
        <v>19</v>
      </c>
      <c r="B226" s="31" t="s">
        <v>142</v>
      </c>
      <c r="E226" s="913">
        <f>SUM(E219:E225)</f>
        <v>968092.4102905551</v>
      </c>
      <c r="F226" s="218"/>
      <c r="G226" s="4" t="s">
        <v>1702</v>
      </c>
      <c r="H226" s="4">
        <f t="shared" si="26"/>
        <v>19</v>
      </c>
      <c r="I226" s="358"/>
    </row>
    <row r="227" spans="1:10" x14ac:dyDescent="0.25">
      <c r="A227" s="4">
        <f t="shared" si="25"/>
        <v>20</v>
      </c>
      <c r="E227" s="8"/>
      <c r="G227" s="4"/>
      <c r="H227" s="4">
        <f t="shared" si="26"/>
        <v>20</v>
      </c>
      <c r="I227" s="358"/>
    </row>
    <row r="228" spans="1:10" x14ac:dyDescent="0.25">
      <c r="A228" s="4">
        <f t="shared" si="25"/>
        <v>21</v>
      </c>
      <c r="B228" s="32" t="s">
        <v>144</v>
      </c>
      <c r="E228" s="844">
        <f>E186</f>
        <v>6325009.5718258694</v>
      </c>
      <c r="F228" s="71"/>
      <c r="G228" s="4" t="s">
        <v>1764</v>
      </c>
      <c r="H228" s="4">
        <f t="shared" si="26"/>
        <v>21</v>
      </c>
      <c r="I228" s="358"/>
    </row>
    <row r="229" spans="1:10" x14ac:dyDescent="0.25">
      <c r="A229" s="4">
        <f t="shared" si="25"/>
        <v>22</v>
      </c>
      <c r="E229" s="13"/>
      <c r="G229" s="4"/>
      <c r="H229" s="4">
        <f t="shared" si="26"/>
        <v>22</v>
      </c>
      <c r="I229" s="358"/>
    </row>
    <row r="230" spans="1:10" ht="18.75" x14ac:dyDescent="0.25">
      <c r="A230" s="4">
        <f t="shared" si="25"/>
        <v>23</v>
      </c>
      <c r="B230" s="31" t="s">
        <v>145</v>
      </c>
      <c r="E230" s="26">
        <f>IFERROR(E226/E228,0)</f>
        <v>0.15305785695611074</v>
      </c>
      <c r="F230" s="218"/>
      <c r="G230" s="4" t="s">
        <v>1703</v>
      </c>
      <c r="H230" s="4">
        <f t="shared" si="26"/>
        <v>23</v>
      </c>
      <c r="I230" s="358"/>
    </row>
    <row r="231" spans="1:10" x14ac:dyDescent="0.25">
      <c r="A231" s="4">
        <f t="shared" si="25"/>
        <v>24</v>
      </c>
      <c r="E231" s="27"/>
      <c r="G231" s="4"/>
      <c r="H231" s="4">
        <f t="shared" si="26"/>
        <v>24</v>
      </c>
      <c r="I231" s="358"/>
    </row>
    <row r="232" spans="1:10" ht="31.5" x14ac:dyDescent="0.25">
      <c r="A232" s="4">
        <f t="shared" si="25"/>
        <v>25</v>
      </c>
      <c r="B232" s="31" t="s">
        <v>146</v>
      </c>
      <c r="E232" s="915">
        <f>'Summary of HV-LV Splits'!I15</f>
        <v>537446.34945190302</v>
      </c>
      <c r="F232" s="218"/>
      <c r="G232" s="91" t="s">
        <v>147</v>
      </c>
      <c r="H232" s="4">
        <f t="shared" si="26"/>
        <v>25</v>
      </c>
      <c r="I232" s="358"/>
    </row>
    <row r="233" spans="1:10" x14ac:dyDescent="0.25">
      <c r="A233" s="4">
        <f t="shared" si="25"/>
        <v>26</v>
      </c>
      <c r="E233" s="35"/>
      <c r="F233" s="218"/>
      <c r="G233" s="91"/>
      <c r="H233" s="4">
        <f t="shared" si="26"/>
        <v>26</v>
      </c>
      <c r="I233" s="358"/>
    </row>
    <row r="234" spans="1:10" x14ac:dyDescent="0.25">
      <c r="A234" s="4">
        <f t="shared" si="25"/>
        <v>27</v>
      </c>
      <c r="B234" s="31" t="s">
        <v>148</v>
      </c>
      <c r="E234" s="916">
        <f>'AJ-1B'!F48</f>
        <v>2.877E-2</v>
      </c>
      <c r="F234" s="218"/>
      <c r="G234" s="91" t="s">
        <v>2014</v>
      </c>
      <c r="H234" s="4">
        <f t="shared" si="26"/>
        <v>27</v>
      </c>
      <c r="I234" s="358"/>
    </row>
    <row r="235" spans="1:10" x14ac:dyDescent="0.25">
      <c r="A235" s="4">
        <f t="shared" si="25"/>
        <v>28</v>
      </c>
      <c r="B235" s="31" t="s">
        <v>149</v>
      </c>
      <c r="E235" s="1118">
        <f>E232*E234</f>
        <v>15462.33147373125</v>
      </c>
      <c r="F235" s="218"/>
      <c r="G235" s="91" t="s">
        <v>1589</v>
      </c>
      <c r="H235" s="4">
        <f t="shared" si="26"/>
        <v>28</v>
      </c>
      <c r="I235" s="358"/>
    </row>
    <row r="236" spans="1:10" x14ac:dyDescent="0.25">
      <c r="A236" s="4">
        <f t="shared" si="25"/>
        <v>29</v>
      </c>
      <c r="E236" s="35"/>
      <c r="F236" s="218"/>
      <c r="G236" s="602" t="s">
        <v>150</v>
      </c>
      <c r="H236" s="4">
        <f t="shared" si="26"/>
        <v>29</v>
      </c>
      <c r="I236" s="358"/>
    </row>
    <row r="237" spans="1:10" x14ac:dyDescent="0.25">
      <c r="A237" s="4">
        <f t="shared" si="25"/>
        <v>30</v>
      </c>
      <c r="B237" s="31" t="s">
        <v>151</v>
      </c>
      <c r="E237" s="917">
        <f>E232-E235</f>
        <v>521984.01797817176</v>
      </c>
      <c r="F237" s="218"/>
      <c r="G237" s="91" t="s">
        <v>1704</v>
      </c>
      <c r="H237" s="4">
        <f t="shared" si="26"/>
        <v>30</v>
      </c>
      <c r="I237" s="358"/>
    </row>
    <row r="238" spans="1:10" x14ac:dyDescent="0.25">
      <c r="A238" s="4">
        <f t="shared" si="25"/>
        <v>31</v>
      </c>
      <c r="B238" s="251"/>
      <c r="E238" s="27"/>
      <c r="G238" s="4"/>
      <c r="H238" s="4">
        <f t="shared" si="26"/>
        <v>31</v>
      </c>
      <c r="I238" s="358"/>
    </row>
    <row r="239" spans="1:10" ht="16.5" thickBot="1" x14ac:dyDescent="0.3">
      <c r="A239" s="4">
        <f t="shared" si="25"/>
        <v>32</v>
      </c>
      <c r="B239" s="31" t="s">
        <v>152</v>
      </c>
      <c r="E239" s="24">
        <f>E230*E237</f>
        <v>79893.755157078951</v>
      </c>
      <c r="F239" s="218"/>
      <c r="G239" s="4" t="s">
        <v>1705</v>
      </c>
      <c r="H239" s="4">
        <f t="shared" si="26"/>
        <v>32</v>
      </c>
      <c r="I239" s="358"/>
      <c r="J239" s="10"/>
    </row>
    <row r="240" spans="1:10" ht="16.5" thickTop="1" x14ac:dyDescent="0.25">
      <c r="A240" s="4"/>
      <c r="E240" s="10"/>
      <c r="G240" s="4"/>
    </row>
    <row r="241" spans="1:9" x14ac:dyDescent="0.25">
      <c r="A241" s="4"/>
      <c r="B241" s="1"/>
      <c r="E241" s="27"/>
      <c r="G241" s="4"/>
    </row>
    <row r="242" spans="1:9" x14ac:dyDescent="0.25">
      <c r="A242" s="4"/>
      <c r="B242" s="1294" t="s">
        <v>0</v>
      </c>
      <c r="C242" s="1295"/>
      <c r="D242" s="1295"/>
      <c r="E242" s="1295"/>
      <c r="F242" s="1295"/>
      <c r="G242" s="1295"/>
    </row>
    <row r="243" spans="1:9" x14ac:dyDescent="0.25">
      <c r="A243" s="4" t="s">
        <v>1</v>
      </c>
      <c r="B243" s="1294" t="s">
        <v>2</v>
      </c>
      <c r="C243" s="1295"/>
      <c r="D243" s="1295"/>
      <c r="E243" s="1295"/>
      <c r="F243" s="1295"/>
      <c r="G243" s="1295"/>
    </row>
    <row r="244" spans="1:9" ht="17.25" x14ac:dyDescent="0.25">
      <c r="A244" s="4"/>
      <c r="B244" s="1296" t="s">
        <v>2089</v>
      </c>
      <c r="C244" s="1297"/>
      <c r="D244" s="1297"/>
      <c r="E244" s="1297"/>
      <c r="F244" s="1297"/>
      <c r="G244" s="1297"/>
    </row>
    <row r="245" spans="1:9" x14ac:dyDescent="0.25">
      <c r="A245" s="4"/>
      <c r="B245" s="1300" t="str">
        <f>B200</f>
        <v>For the Forecast Period January 1, 2024 - December 31, 2025</v>
      </c>
      <c r="C245" s="1301"/>
      <c r="D245" s="1301"/>
      <c r="E245" s="1301"/>
      <c r="F245" s="1301"/>
      <c r="G245" s="1301"/>
    </row>
    <row r="246" spans="1:9" x14ac:dyDescent="0.25">
      <c r="A246" s="4"/>
      <c r="B246" s="1299" t="s">
        <v>4</v>
      </c>
      <c r="C246" s="1295"/>
      <c r="D246" s="1295"/>
      <c r="E246" s="1295"/>
      <c r="F246" s="1295"/>
      <c r="G246" s="1295"/>
    </row>
    <row r="247" spans="1:9" x14ac:dyDescent="0.25">
      <c r="A247" s="4"/>
      <c r="B247" s="262"/>
      <c r="C247" s="1"/>
      <c r="D247" s="1"/>
      <c r="E247" s="1"/>
      <c r="F247" s="1"/>
      <c r="G247" s="1"/>
    </row>
    <row r="248" spans="1:9" x14ac:dyDescent="0.25">
      <c r="A248" s="4" t="s">
        <v>5</v>
      </c>
      <c r="E248" s="25"/>
      <c r="G248" s="4"/>
      <c r="H248" s="4" t="s">
        <v>5</v>
      </c>
    </row>
    <row r="249" spans="1:9" x14ac:dyDescent="0.25">
      <c r="A249" s="4" t="s">
        <v>6</v>
      </c>
      <c r="B249" s="1" t="s">
        <v>1</v>
      </c>
      <c r="E249" s="910" t="s">
        <v>7</v>
      </c>
      <c r="G249" s="849" t="s">
        <v>8</v>
      </c>
      <c r="H249" s="4" t="s">
        <v>6</v>
      </c>
    </row>
    <row r="250" spans="1:9" x14ac:dyDescent="0.25">
      <c r="A250" s="4"/>
      <c r="B250" s="33" t="s">
        <v>1593</v>
      </c>
      <c r="E250" s="46"/>
      <c r="G250" s="4"/>
    </row>
    <row r="251" spans="1:9" ht="17.25" x14ac:dyDescent="0.25">
      <c r="A251" s="4"/>
      <c r="B251" s="33" t="s">
        <v>153</v>
      </c>
      <c r="E251" s="27"/>
      <c r="G251" s="4"/>
    </row>
    <row r="252" spans="1:9" x14ac:dyDescent="0.25">
      <c r="A252" s="4"/>
      <c r="B252" s="33" t="s">
        <v>154</v>
      </c>
      <c r="E252" s="27"/>
      <c r="G252" s="4"/>
    </row>
    <row r="253" spans="1:9" x14ac:dyDescent="0.25">
      <c r="A253" s="4">
        <v>1</v>
      </c>
      <c r="B253" s="604" t="s">
        <v>23</v>
      </c>
      <c r="C253" s="838"/>
      <c r="D253" s="838"/>
      <c r="E253" s="1109">
        <f>E139</f>
        <v>5248483.9495624695</v>
      </c>
      <c r="F253" s="1106"/>
      <c r="G253" s="626" t="s">
        <v>1993</v>
      </c>
      <c r="H253" s="4">
        <v>1</v>
      </c>
      <c r="I253" s="358"/>
    </row>
    <row r="254" spans="1:9" x14ac:dyDescent="0.25">
      <c r="A254" s="4">
        <f>A253+1</f>
        <v>2</v>
      </c>
      <c r="B254" s="604" t="s">
        <v>1691</v>
      </c>
      <c r="C254" s="838"/>
      <c r="D254" s="838"/>
      <c r="E254" s="1174">
        <f>-E127</f>
        <v>1118185.2622200265</v>
      </c>
      <c r="F254" s="1110"/>
      <c r="G254" s="626" t="s">
        <v>1763</v>
      </c>
      <c r="H254" s="4">
        <f>H253+1</f>
        <v>2</v>
      </c>
      <c r="I254" s="358"/>
    </row>
    <row r="255" spans="1:9" x14ac:dyDescent="0.25">
      <c r="A255" s="4">
        <f t="shared" ref="A255:A258" si="27">A254+1</f>
        <v>3</v>
      </c>
      <c r="B255" s="604" t="s">
        <v>1697</v>
      </c>
      <c r="C255" s="838"/>
      <c r="D255" s="838"/>
      <c r="E255" s="1158">
        <f>'Stmt AF'!I25</f>
        <v>-682584.54025826952</v>
      </c>
      <c r="F255" s="1110"/>
      <c r="G255" s="4" t="s">
        <v>1714</v>
      </c>
      <c r="H255" s="4">
        <f t="shared" ref="H255:H259" si="28">H254+1</f>
        <v>3</v>
      </c>
      <c r="I255" s="358"/>
    </row>
    <row r="256" spans="1:9" x14ac:dyDescent="0.25">
      <c r="A256" s="4">
        <f t="shared" si="27"/>
        <v>4</v>
      </c>
      <c r="B256" s="604" t="s">
        <v>1721</v>
      </c>
      <c r="C256" s="838"/>
      <c r="D256" s="838"/>
      <c r="E256" s="1117">
        <f>SUM(E253:E255)</f>
        <v>5684084.6715242267</v>
      </c>
      <c r="F256" s="1106"/>
      <c r="G256" s="626" t="s">
        <v>454</v>
      </c>
      <c r="H256" s="4">
        <f t="shared" si="28"/>
        <v>4</v>
      </c>
      <c r="I256" s="358"/>
    </row>
    <row r="257" spans="1:10" x14ac:dyDescent="0.25">
      <c r="A257" s="4">
        <f t="shared" si="27"/>
        <v>5</v>
      </c>
      <c r="B257" s="604"/>
      <c r="C257" s="838"/>
      <c r="D257" s="838"/>
      <c r="E257" s="1111"/>
      <c r="F257" s="1106"/>
      <c r="G257" s="626"/>
      <c r="H257" s="4">
        <f t="shared" si="28"/>
        <v>5</v>
      </c>
      <c r="I257" s="358"/>
    </row>
    <row r="258" spans="1:10" ht="18.75" x14ac:dyDescent="0.25">
      <c r="A258" s="4">
        <f t="shared" si="27"/>
        <v>6</v>
      </c>
      <c r="B258" s="32" t="s">
        <v>1719</v>
      </c>
      <c r="C258" s="838"/>
      <c r="D258" s="838"/>
      <c r="E258" s="1123">
        <f>IFERROR('Stmt AV'!F143,0)</f>
        <v>9.5186014302326788E-2</v>
      </c>
      <c r="F258" s="838"/>
      <c r="G258" s="626" t="s">
        <v>1743</v>
      </c>
      <c r="H258" s="4">
        <f t="shared" si="28"/>
        <v>6</v>
      </c>
      <c r="I258" s="358"/>
    </row>
    <row r="259" spans="1:10" x14ac:dyDescent="0.25">
      <c r="A259" s="4">
        <f t="shared" ref="A259:A299" si="29">A258+1</f>
        <v>7</v>
      </c>
      <c r="B259" s="32"/>
      <c r="C259" s="838"/>
      <c r="D259" s="838"/>
      <c r="E259" s="1116"/>
      <c r="F259" s="838"/>
      <c r="G259" s="626"/>
      <c r="H259" s="4">
        <f t="shared" si="28"/>
        <v>7</v>
      </c>
      <c r="I259" s="358"/>
    </row>
    <row r="260" spans="1:10" x14ac:dyDescent="0.25">
      <c r="A260" s="4">
        <f t="shared" si="29"/>
        <v>8</v>
      </c>
      <c r="B260" s="604" t="s">
        <v>1547</v>
      </c>
      <c r="C260" s="838"/>
      <c r="D260" s="838"/>
      <c r="E260" s="1111">
        <f>E256*E258</f>
        <v>541045.36483934149</v>
      </c>
      <c r="F260" s="1106"/>
      <c r="G260" s="626" t="s">
        <v>1699</v>
      </c>
      <c r="H260" s="4">
        <f t="shared" ref="H260:H299" si="30">H259+1</f>
        <v>8</v>
      </c>
      <c r="I260" s="358"/>
    </row>
    <row r="261" spans="1:10" x14ac:dyDescent="0.25">
      <c r="A261" s="4">
        <f t="shared" si="29"/>
        <v>9</v>
      </c>
      <c r="B261" s="31" t="s">
        <v>1548</v>
      </c>
      <c r="C261" s="838"/>
      <c r="D261" s="838"/>
      <c r="E261" s="1189">
        <f>E29+E33</f>
        <v>499582.26828858582</v>
      </c>
      <c r="F261" s="838"/>
      <c r="G261" s="626" t="s">
        <v>1749</v>
      </c>
      <c r="H261" s="4">
        <f t="shared" si="30"/>
        <v>9</v>
      </c>
      <c r="I261" s="358"/>
    </row>
    <row r="262" spans="1:10" x14ac:dyDescent="0.25">
      <c r="A262" s="4">
        <f t="shared" si="29"/>
        <v>10</v>
      </c>
      <c r="B262" s="604" t="s">
        <v>1698</v>
      </c>
      <c r="C262" s="838"/>
      <c r="D262" s="838"/>
      <c r="E262" s="1117">
        <f>E260-E261</f>
        <v>41463.096550755668</v>
      </c>
      <c r="F262" s="1110"/>
      <c r="G262" s="626" t="s">
        <v>1700</v>
      </c>
      <c r="H262" s="4">
        <f t="shared" si="30"/>
        <v>10</v>
      </c>
      <c r="I262" s="358"/>
    </row>
    <row r="263" spans="1:10" x14ac:dyDescent="0.25">
      <c r="A263" s="4">
        <f t="shared" si="29"/>
        <v>11</v>
      </c>
      <c r="B263" s="902"/>
      <c r="C263" s="1103"/>
      <c r="D263" s="1103"/>
      <c r="E263" s="1111"/>
      <c r="F263" s="1105"/>
      <c r="G263" s="1104"/>
      <c r="H263" s="4">
        <f t="shared" si="30"/>
        <v>11</v>
      </c>
      <c r="I263" s="358"/>
    </row>
    <row r="264" spans="1:10" ht="18.75" x14ac:dyDescent="0.25">
      <c r="A264" s="4">
        <f t="shared" si="29"/>
        <v>12</v>
      </c>
      <c r="B264" s="31" t="s">
        <v>155</v>
      </c>
      <c r="E264" s="10">
        <f>E41+E66</f>
        <v>1056903.5659822936</v>
      </c>
      <c r="F264" s="218"/>
      <c r="G264" s="4" t="s">
        <v>2005</v>
      </c>
      <c r="H264" s="4">
        <f t="shared" si="30"/>
        <v>12</v>
      </c>
      <c r="I264" s="358"/>
    </row>
    <row r="265" spans="1:10" x14ac:dyDescent="0.25">
      <c r="A265" s="4">
        <f t="shared" si="29"/>
        <v>13</v>
      </c>
      <c r="B265" s="31" t="s">
        <v>1932</v>
      </c>
      <c r="E265" s="8">
        <f>(-E11)*0.6</f>
        <v>-64911.79532037118</v>
      </c>
      <c r="F265" s="41"/>
      <c r="G265" s="4" t="s">
        <v>1916</v>
      </c>
      <c r="H265" s="4">
        <f t="shared" si="30"/>
        <v>13</v>
      </c>
      <c r="I265" s="358"/>
    </row>
    <row r="266" spans="1:10" x14ac:dyDescent="0.25">
      <c r="A266" s="4">
        <f t="shared" si="29"/>
        <v>14</v>
      </c>
      <c r="B266" s="31" t="s">
        <v>1933</v>
      </c>
      <c r="E266" s="8">
        <f>(-E13*0.6)</f>
        <v>-64058.357732589131</v>
      </c>
      <c r="F266" s="4"/>
      <c r="G266" s="4" t="s">
        <v>1917</v>
      </c>
      <c r="H266" s="4">
        <f t="shared" si="30"/>
        <v>14</v>
      </c>
      <c r="I266" s="358"/>
    </row>
    <row r="267" spans="1:10" x14ac:dyDescent="0.25">
      <c r="A267" s="4">
        <f t="shared" si="29"/>
        <v>15</v>
      </c>
      <c r="B267" s="32" t="s">
        <v>12</v>
      </c>
      <c r="E267" s="8">
        <f>-E15</f>
        <v>0</v>
      </c>
      <c r="G267" s="4" t="s">
        <v>141</v>
      </c>
      <c r="H267" s="4">
        <f t="shared" si="30"/>
        <v>15</v>
      </c>
      <c r="I267" s="358"/>
    </row>
    <row r="268" spans="1:10" x14ac:dyDescent="0.25">
      <c r="A268" s="4">
        <f t="shared" si="29"/>
        <v>16</v>
      </c>
      <c r="B268" s="31" t="s">
        <v>25</v>
      </c>
      <c r="E268" s="8">
        <f>-E35</f>
        <v>-1304.0991895338727</v>
      </c>
      <c r="G268" s="4" t="s">
        <v>1765</v>
      </c>
      <c r="H268" s="4">
        <f t="shared" si="30"/>
        <v>16</v>
      </c>
      <c r="I268" s="358"/>
      <c r="J268" s="32"/>
    </row>
    <row r="269" spans="1:10" x14ac:dyDescent="0.25">
      <c r="A269" s="4">
        <f t="shared" si="29"/>
        <v>17</v>
      </c>
      <c r="B269" s="249" t="s">
        <v>31</v>
      </c>
      <c r="E269" s="11">
        <f>-E39</f>
        <v>0</v>
      </c>
      <c r="G269" s="4" t="s">
        <v>2004</v>
      </c>
      <c r="H269" s="4">
        <f t="shared" si="30"/>
        <v>17</v>
      </c>
      <c r="I269" s="358"/>
    </row>
    <row r="270" spans="1:10" x14ac:dyDescent="0.25">
      <c r="A270" s="4">
        <f t="shared" si="29"/>
        <v>18</v>
      </c>
      <c r="B270" s="604" t="s">
        <v>1698</v>
      </c>
      <c r="E270" s="9">
        <f>E262</f>
        <v>41463.096550755668</v>
      </c>
      <c r="G270" s="1112" t="s">
        <v>1701</v>
      </c>
      <c r="H270" s="4">
        <f t="shared" si="30"/>
        <v>18</v>
      </c>
      <c r="I270" s="358"/>
    </row>
    <row r="271" spans="1:10" ht="18.75" x14ac:dyDescent="0.25">
      <c r="A271" s="4">
        <f t="shared" si="29"/>
        <v>19</v>
      </c>
      <c r="B271" s="31" t="s">
        <v>156</v>
      </c>
      <c r="E271" s="913">
        <f>SUM(E264:E270)</f>
        <v>968092.4102905551</v>
      </c>
      <c r="F271" s="218"/>
      <c r="G271" s="4" t="s">
        <v>1702</v>
      </c>
      <c r="H271" s="4">
        <f t="shared" si="30"/>
        <v>19</v>
      </c>
      <c r="I271" s="358"/>
    </row>
    <row r="272" spans="1:10" x14ac:dyDescent="0.25">
      <c r="A272" s="4">
        <f t="shared" si="29"/>
        <v>20</v>
      </c>
      <c r="E272" s="27"/>
      <c r="G272" s="4"/>
      <c r="H272" s="4">
        <f t="shared" si="30"/>
        <v>20</v>
      </c>
      <c r="I272" s="358"/>
    </row>
    <row r="273" spans="1:10" x14ac:dyDescent="0.25">
      <c r="A273" s="4">
        <f t="shared" si="29"/>
        <v>21</v>
      </c>
      <c r="B273" s="32" t="s">
        <v>157</v>
      </c>
      <c r="E273" s="1186">
        <f>+E186+E191</f>
        <v>6325009.5718258694</v>
      </c>
      <c r="F273" s="71"/>
      <c r="G273" s="4" t="s">
        <v>158</v>
      </c>
      <c r="H273" s="4">
        <f t="shared" si="30"/>
        <v>21</v>
      </c>
      <c r="I273" s="358"/>
    </row>
    <row r="274" spans="1:10" x14ac:dyDescent="0.25">
      <c r="A274" s="4">
        <f t="shared" si="29"/>
        <v>22</v>
      </c>
      <c r="E274" s="13"/>
      <c r="G274" s="4"/>
      <c r="H274" s="4">
        <f t="shared" si="30"/>
        <v>22</v>
      </c>
      <c r="I274" s="358"/>
    </row>
    <row r="275" spans="1:10" ht="18.75" x14ac:dyDescent="0.25">
      <c r="A275" s="4">
        <f t="shared" si="29"/>
        <v>23</v>
      </c>
      <c r="B275" s="31" t="s">
        <v>1720</v>
      </c>
      <c r="E275" s="26">
        <f>IFERROR(E271/E273,0)</f>
        <v>0.15305785695611074</v>
      </c>
      <c r="F275" s="218"/>
      <c r="G275" s="4" t="s">
        <v>1703</v>
      </c>
      <c r="H275" s="4">
        <f t="shared" si="30"/>
        <v>23</v>
      </c>
      <c r="I275" s="358"/>
    </row>
    <row r="276" spans="1:10" x14ac:dyDescent="0.25">
      <c r="A276" s="4">
        <f t="shared" si="29"/>
        <v>24</v>
      </c>
      <c r="E276" s="27"/>
      <c r="G276" s="4"/>
      <c r="H276" s="4">
        <f t="shared" si="30"/>
        <v>24</v>
      </c>
      <c r="I276" s="358"/>
    </row>
    <row r="277" spans="1:10" ht="31.5" x14ac:dyDescent="0.25">
      <c r="A277" s="4">
        <f t="shared" si="29"/>
        <v>25</v>
      </c>
      <c r="B277" s="31" t="s">
        <v>159</v>
      </c>
      <c r="E277" s="915">
        <f>'Summary of HV-LV Splits'!I18</f>
        <v>0</v>
      </c>
      <c r="G277" s="91" t="s">
        <v>160</v>
      </c>
      <c r="H277" s="4">
        <f t="shared" si="30"/>
        <v>25</v>
      </c>
      <c r="I277" s="358"/>
    </row>
    <row r="278" spans="1:10" x14ac:dyDescent="0.25">
      <c r="A278" s="4">
        <f t="shared" si="29"/>
        <v>26</v>
      </c>
      <c r="E278" s="35"/>
      <c r="G278" s="91"/>
      <c r="H278" s="4">
        <f t="shared" si="30"/>
        <v>26</v>
      </c>
      <c r="I278" s="358"/>
    </row>
    <row r="279" spans="1:10" x14ac:dyDescent="0.25">
      <c r="A279" s="4">
        <f t="shared" si="29"/>
        <v>27</v>
      </c>
      <c r="B279" s="31" t="s">
        <v>148</v>
      </c>
      <c r="E279" s="918">
        <f>E234</f>
        <v>2.877E-2</v>
      </c>
      <c r="G279" s="91" t="s">
        <v>1706</v>
      </c>
      <c r="H279" s="4">
        <f t="shared" si="30"/>
        <v>27</v>
      </c>
      <c r="I279" s="358"/>
    </row>
    <row r="280" spans="1:10" x14ac:dyDescent="0.25">
      <c r="A280" s="4">
        <f t="shared" si="29"/>
        <v>28</v>
      </c>
      <c r="B280" s="31" t="s">
        <v>149</v>
      </c>
      <c r="E280" s="1118">
        <f>E277*E279</f>
        <v>0</v>
      </c>
      <c r="G280" s="91" t="s">
        <v>1589</v>
      </c>
      <c r="H280" s="4">
        <f t="shared" si="30"/>
        <v>28</v>
      </c>
      <c r="I280" s="358"/>
    </row>
    <row r="281" spans="1:10" x14ac:dyDescent="0.25">
      <c r="A281" s="4">
        <f t="shared" si="29"/>
        <v>29</v>
      </c>
      <c r="E281" s="35"/>
      <c r="G281" s="602" t="s">
        <v>150</v>
      </c>
      <c r="H281" s="4">
        <f t="shared" si="30"/>
        <v>29</v>
      </c>
      <c r="I281" s="358"/>
    </row>
    <row r="282" spans="1:10" x14ac:dyDescent="0.25">
      <c r="A282" s="4">
        <f t="shared" si="29"/>
        <v>30</v>
      </c>
      <c r="B282" s="31" t="s">
        <v>151</v>
      </c>
      <c r="E282" s="917">
        <f>E277-E280</f>
        <v>0</v>
      </c>
      <c r="G282" s="91" t="s">
        <v>1704</v>
      </c>
      <c r="H282" s="4">
        <f t="shared" si="30"/>
        <v>30</v>
      </c>
      <c r="I282" s="358"/>
    </row>
    <row r="283" spans="1:10" x14ac:dyDescent="0.25">
      <c r="A283" s="4">
        <f t="shared" si="29"/>
        <v>31</v>
      </c>
      <c r="B283" s="251"/>
      <c r="E283" s="27"/>
      <c r="G283" s="4"/>
      <c r="H283" s="4">
        <f t="shared" si="30"/>
        <v>31</v>
      </c>
      <c r="I283" s="358"/>
    </row>
    <row r="284" spans="1:10" ht="19.5" thickBot="1" x14ac:dyDescent="0.3">
      <c r="A284" s="4">
        <f t="shared" si="29"/>
        <v>32</v>
      </c>
      <c r="B284" s="31" t="s">
        <v>161</v>
      </c>
      <c r="E284" s="24">
        <f>E275*E282</f>
        <v>0</v>
      </c>
      <c r="G284" s="4" t="s">
        <v>1705</v>
      </c>
      <c r="H284" s="4">
        <f t="shared" si="30"/>
        <v>32</v>
      </c>
      <c r="I284" s="358"/>
    </row>
    <row r="285" spans="1:10" ht="16.5" thickTop="1" x14ac:dyDescent="0.25">
      <c r="A285" s="4">
        <f t="shared" si="29"/>
        <v>33</v>
      </c>
      <c r="E285" s="10"/>
      <c r="G285" s="4"/>
      <c r="H285" s="4">
        <f t="shared" si="30"/>
        <v>33</v>
      </c>
      <c r="I285" s="358"/>
      <c r="J285" s="35"/>
    </row>
    <row r="286" spans="1:10" x14ac:dyDescent="0.25">
      <c r="A286" s="4">
        <f t="shared" si="29"/>
        <v>34</v>
      </c>
      <c r="B286" s="33" t="s">
        <v>162</v>
      </c>
      <c r="E286" s="10"/>
      <c r="G286" s="4"/>
      <c r="H286" s="4">
        <f t="shared" si="30"/>
        <v>34</v>
      </c>
      <c r="I286" s="358"/>
      <c r="J286" s="35"/>
    </row>
    <row r="287" spans="1:10" ht="31.5" x14ac:dyDescent="0.25">
      <c r="A287" s="4">
        <f t="shared" si="29"/>
        <v>35</v>
      </c>
      <c r="B287" s="31" t="s">
        <v>163</v>
      </c>
      <c r="E287" s="28">
        <f>'Summary of HV-LV Splits'!I20+'Summary of HV-LV Splits'!I22</f>
        <v>0</v>
      </c>
      <c r="G287" s="91" t="s">
        <v>164</v>
      </c>
      <c r="H287" s="4">
        <f t="shared" si="30"/>
        <v>35</v>
      </c>
      <c r="I287" s="358"/>
    </row>
    <row r="288" spans="1:10" x14ac:dyDescent="0.25">
      <c r="A288" s="4">
        <f t="shared" si="29"/>
        <v>36</v>
      </c>
      <c r="E288" s="35"/>
      <c r="G288" s="91"/>
      <c r="H288" s="4">
        <f t="shared" si="30"/>
        <v>36</v>
      </c>
      <c r="I288" s="358"/>
    </row>
    <row r="289" spans="1:10" ht="18.75" x14ac:dyDescent="0.25">
      <c r="A289" s="4">
        <f t="shared" si="29"/>
        <v>37</v>
      </c>
      <c r="B289" s="31" t="s">
        <v>1719</v>
      </c>
      <c r="E289" s="868">
        <f>IFERROR('Stmt AV'!F143,0)</f>
        <v>9.5186014302326788E-2</v>
      </c>
      <c r="F289" s="218"/>
      <c r="G289" s="4" t="s">
        <v>1743</v>
      </c>
      <c r="H289" s="4">
        <f t="shared" si="30"/>
        <v>37</v>
      </c>
      <c r="I289" s="358"/>
      <c r="J289" s="35"/>
    </row>
    <row r="290" spans="1:10" x14ac:dyDescent="0.25">
      <c r="A290" s="4">
        <f t="shared" si="29"/>
        <v>38</v>
      </c>
      <c r="E290" s="10"/>
      <c r="G290" s="4"/>
      <c r="H290" s="4">
        <f t="shared" si="30"/>
        <v>38</v>
      </c>
      <c r="I290" s="358"/>
      <c r="J290" s="35"/>
    </row>
    <row r="291" spans="1:10" ht="16.5" thickBot="1" x14ac:dyDescent="0.3">
      <c r="A291" s="4">
        <f t="shared" si="29"/>
        <v>39</v>
      </c>
      <c r="B291" s="31" t="s">
        <v>1579</v>
      </c>
      <c r="E291" s="24">
        <f>E287*E289</f>
        <v>0</v>
      </c>
      <c r="G291" s="4" t="s">
        <v>1707</v>
      </c>
      <c r="H291" s="4">
        <f t="shared" si="30"/>
        <v>39</v>
      </c>
      <c r="I291" s="358"/>
      <c r="J291" s="35"/>
    </row>
    <row r="292" spans="1:10" ht="16.5" thickTop="1" x14ac:dyDescent="0.25">
      <c r="A292" s="4">
        <f t="shared" si="29"/>
        <v>40</v>
      </c>
      <c r="E292" s="10"/>
      <c r="G292" s="4"/>
      <c r="H292" s="4">
        <f t="shared" si="30"/>
        <v>40</v>
      </c>
      <c r="I292" s="358"/>
      <c r="J292" s="35"/>
    </row>
    <row r="293" spans="1:10" ht="31.5" x14ac:dyDescent="0.25">
      <c r="A293" s="4">
        <f t="shared" si="29"/>
        <v>41</v>
      </c>
      <c r="B293" s="31" t="s">
        <v>163</v>
      </c>
      <c r="E293" s="28">
        <f>'Summary of HV-LV Splits'!I20+'Summary of HV-LV Splits'!I22</f>
        <v>0</v>
      </c>
      <c r="G293" s="91" t="s">
        <v>164</v>
      </c>
      <c r="H293" s="4">
        <f t="shared" si="30"/>
        <v>41</v>
      </c>
      <c r="I293" s="358"/>
      <c r="J293" s="35"/>
    </row>
    <row r="294" spans="1:10" x14ac:dyDescent="0.25">
      <c r="A294" s="4">
        <f t="shared" si="29"/>
        <v>42</v>
      </c>
      <c r="E294" s="10"/>
      <c r="G294" s="4"/>
      <c r="H294" s="4">
        <f t="shared" si="30"/>
        <v>42</v>
      </c>
      <c r="I294" s="358"/>
      <c r="J294" s="35"/>
    </row>
    <row r="295" spans="1:10" ht="18.75" x14ac:dyDescent="0.25">
      <c r="A295" s="4">
        <f t="shared" si="29"/>
        <v>43</v>
      </c>
      <c r="B295" s="31" t="s">
        <v>1648</v>
      </c>
      <c r="E295" s="1155">
        <f>IFERROR('Stmt AV'!F183,0)</f>
        <v>0</v>
      </c>
      <c r="G295" s="4" t="s">
        <v>1745</v>
      </c>
      <c r="H295" s="4">
        <f t="shared" si="30"/>
        <v>43</v>
      </c>
      <c r="I295" s="358"/>
      <c r="J295" s="35"/>
    </row>
    <row r="296" spans="1:10" x14ac:dyDescent="0.25">
      <c r="A296" s="4">
        <f t="shared" si="29"/>
        <v>44</v>
      </c>
      <c r="E296" s="10"/>
      <c r="G296" s="4"/>
      <c r="H296" s="4">
        <f t="shared" si="30"/>
        <v>44</v>
      </c>
      <c r="I296" s="358"/>
      <c r="J296" s="35"/>
    </row>
    <row r="297" spans="1:10" ht="16.5" thickBot="1" x14ac:dyDescent="0.3">
      <c r="A297" s="4">
        <f t="shared" si="29"/>
        <v>45</v>
      </c>
      <c r="B297" s="31" t="s">
        <v>1751</v>
      </c>
      <c r="E297" s="24">
        <f>E293*E295</f>
        <v>0</v>
      </c>
      <c r="G297" s="4" t="s">
        <v>1753</v>
      </c>
      <c r="H297" s="4">
        <f t="shared" si="30"/>
        <v>45</v>
      </c>
      <c r="I297" s="358"/>
      <c r="J297" s="35"/>
    </row>
    <row r="298" spans="1:10" ht="16.5" thickTop="1" x14ac:dyDescent="0.25">
      <c r="A298" s="4">
        <f t="shared" si="29"/>
        <v>46</v>
      </c>
      <c r="E298" s="10"/>
      <c r="G298" s="4"/>
      <c r="H298" s="4">
        <f t="shared" si="30"/>
        <v>46</v>
      </c>
      <c r="J298" s="35"/>
    </row>
    <row r="299" spans="1:10" ht="16.5" thickBot="1" x14ac:dyDescent="0.3">
      <c r="A299" s="4">
        <f t="shared" si="29"/>
        <v>47</v>
      </c>
      <c r="B299" s="31" t="s">
        <v>1752</v>
      </c>
      <c r="E299" s="24">
        <f>E291+E297</f>
        <v>0</v>
      </c>
      <c r="G299" s="4" t="s">
        <v>1754</v>
      </c>
      <c r="H299" s="4">
        <f t="shared" si="30"/>
        <v>47</v>
      </c>
      <c r="J299" s="35"/>
    </row>
    <row r="300" spans="1:10" ht="16.5" thickTop="1" x14ac:dyDescent="0.25">
      <c r="A300" s="4"/>
      <c r="E300" s="10"/>
      <c r="G300" s="4"/>
      <c r="J300" s="35"/>
    </row>
    <row r="301" spans="1:10" x14ac:dyDescent="0.25">
      <c r="A301" s="4"/>
      <c r="E301" s="10"/>
      <c r="G301" s="4"/>
      <c r="J301" s="35"/>
    </row>
    <row r="302" spans="1:10" ht="18.75" x14ac:dyDescent="0.25">
      <c r="A302" s="266">
        <v>1</v>
      </c>
      <c r="B302" s="31" t="s">
        <v>1750</v>
      </c>
      <c r="E302" s="10"/>
      <c r="G302" s="4"/>
      <c r="J302" s="35"/>
    </row>
    <row r="303" spans="1:10" ht="18.75" x14ac:dyDescent="0.25">
      <c r="A303" s="253">
        <v>2</v>
      </c>
      <c r="B303" s="31" t="s">
        <v>165</v>
      </c>
      <c r="E303" s="10"/>
      <c r="G303" s="4"/>
      <c r="J303" s="35"/>
    </row>
    <row r="304" spans="1:10" x14ac:dyDescent="0.25">
      <c r="A304" s="4"/>
      <c r="E304" s="10"/>
      <c r="G304" s="4"/>
      <c r="J304" s="35"/>
    </row>
    <row r="305" spans="1:10" x14ac:dyDescent="0.25">
      <c r="A305" s="4"/>
      <c r="E305" s="10"/>
      <c r="G305" s="4"/>
      <c r="J305" s="35"/>
    </row>
    <row r="306" spans="1:10" x14ac:dyDescent="0.25">
      <c r="A306" s="4"/>
      <c r="B306" s="1294" t="s">
        <v>0</v>
      </c>
      <c r="C306" s="1295"/>
      <c r="D306" s="1295"/>
      <c r="E306" s="1295"/>
      <c r="F306" s="1295"/>
      <c r="G306" s="1295"/>
      <c r="J306" s="35"/>
    </row>
    <row r="307" spans="1:10" x14ac:dyDescent="0.25">
      <c r="A307" s="4"/>
      <c r="B307" s="1294" t="s">
        <v>2</v>
      </c>
      <c r="C307" s="1295"/>
      <c r="D307" s="1295"/>
      <c r="E307" s="1295"/>
      <c r="F307" s="1295"/>
      <c r="G307" s="1295"/>
      <c r="J307" s="35"/>
    </row>
    <row r="308" spans="1:10" ht="17.25" x14ac:dyDescent="0.25">
      <c r="A308" s="4"/>
      <c r="B308" s="1296" t="s">
        <v>2090</v>
      </c>
      <c r="C308" s="1297"/>
      <c r="D308" s="1297"/>
      <c r="E308" s="1297"/>
      <c r="F308" s="1297"/>
      <c r="G308" s="1297"/>
      <c r="J308" s="35"/>
    </row>
    <row r="309" spans="1:10" x14ac:dyDescent="0.25">
      <c r="A309" s="4"/>
      <c r="B309" s="1298" t="s">
        <v>1581</v>
      </c>
      <c r="C309" s="1303"/>
      <c r="D309" s="1303"/>
      <c r="E309" s="1303"/>
      <c r="F309" s="1303"/>
      <c r="G309" s="1303"/>
    </row>
    <row r="310" spans="1:10" x14ac:dyDescent="0.25">
      <c r="A310" s="4"/>
      <c r="B310" s="1299" t="s">
        <v>4</v>
      </c>
      <c r="C310" s="1295"/>
      <c r="D310" s="1295"/>
      <c r="E310" s="1295"/>
      <c r="F310" s="1295"/>
      <c r="G310" s="1295"/>
    </row>
    <row r="311" spans="1:10" x14ac:dyDescent="0.25">
      <c r="A311" s="4"/>
      <c r="B311" s="34"/>
      <c r="J311" s="35"/>
    </row>
    <row r="312" spans="1:10" x14ac:dyDescent="0.25">
      <c r="A312" s="4" t="s">
        <v>5</v>
      </c>
      <c r="E312" s="25"/>
      <c r="G312" s="4"/>
      <c r="H312" s="4" t="s">
        <v>5</v>
      </c>
      <c r="J312" s="35"/>
    </row>
    <row r="313" spans="1:10" x14ac:dyDescent="0.25">
      <c r="A313" s="4" t="s">
        <v>6</v>
      </c>
      <c r="B313" s="1" t="s">
        <v>1</v>
      </c>
      <c r="E313" s="910" t="s">
        <v>7</v>
      </c>
      <c r="G313" s="849" t="s">
        <v>8</v>
      </c>
      <c r="H313" s="4" t="s">
        <v>6</v>
      </c>
      <c r="J313" s="35"/>
    </row>
    <row r="314" spans="1:10" x14ac:dyDescent="0.25">
      <c r="A314" s="4"/>
      <c r="E314" s="261"/>
      <c r="G314" s="218"/>
      <c r="J314" s="35"/>
    </row>
    <row r="315" spans="1:10" ht="17.25" x14ac:dyDescent="0.25">
      <c r="A315" s="4"/>
      <c r="B315" s="1291" t="s">
        <v>2091</v>
      </c>
      <c r="G315" s="4"/>
      <c r="J315" s="35"/>
    </row>
    <row r="316" spans="1:10" x14ac:dyDescent="0.25">
      <c r="A316" s="4">
        <v>1</v>
      </c>
      <c r="B316" s="1291"/>
      <c r="G316" s="4"/>
      <c r="H316" s="4">
        <f>A316</f>
        <v>1</v>
      </c>
      <c r="J316" s="35"/>
    </row>
    <row r="317" spans="1:10" ht="18.75" x14ac:dyDescent="0.25">
      <c r="A317" s="4">
        <f t="shared" ref="A317:A340" si="31">A316+1</f>
        <v>2</v>
      </c>
      <c r="B317" s="5" t="s">
        <v>2092</v>
      </c>
      <c r="C317" s="31" t="s">
        <v>1</v>
      </c>
      <c r="E317" s="7">
        <f>E41</f>
        <v>1056903.5659822936</v>
      </c>
      <c r="F317" s="218"/>
      <c r="G317" s="4" t="s">
        <v>1965</v>
      </c>
      <c r="H317" s="4">
        <f t="shared" ref="H317:H337" si="32">H316+1</f>
        <v>2</v>
      </c>
      <c r="J317" s="35"/>
    </row>
    <row r="318" spans="1:10" x14ac:dyDescent="0.25">
      <c r="A318" s="4">
        <f t="shared" si="31"/>
        <v>3</v>
      </c>
      <c r="B318" s="5"/>
      <c r="E318" s="29"/>
      <c r="G318" s="4"/>
      <c r="H318" s="4">
        <f t="shared" si="32"/>
        <v>3</v>
      </c>
    </row>
    <row r="319" spans="1:10" ht="18.75" x14ac:dyDescent="0.25">
      <c r="A319" s="4">
        <f t="shared" si="31"/>
        <v>4</v>
      </c>
      <c r="B319" s="5" t="s">
        <v>2093</v>
      </c>
      <c r="E319" s="9">
        <f>E92</f>
        <v>0</v>
      </c>
      <c r="G319" s="4" t="s">
        <v>1758</v>
      </c>
      <c r="H319" s="4">
        <f t="shared" si="32"/>
        <v>4</v>
      </c>
    </row>
    <row r="320" spans="1:10" x14ac:dyDescent="0.25">
      <c r="A320" s="4">
        <f t="shared" si="31"/>
        <v>5</v>
      </c>
      <c r="B320" s="5"/>
      <c r="E320" s="8"/>
      <c r="G320" s="4"/>
      <c r="H320" s="4">
        <f t="shared" si="32"/>
        <v>5</v>
      </c>
    </row>
    <row r="321" spans="1:10" x14ac:dyDescent="0.25">
      <c r="A321" s="4">
        <f t="shared" si="31"/>
        <v>6</v>
      </c>
      <c r="B321" s="5" t="s">
        <v>2094</v>
      </c>
      <c r="C321" s="450"/>
      <c r="E321" s="9">
        <f>+'TO5 True-up'!M34</f>
        <v>-7626.3363147774007</v>
      </c>
      <c r="F321" s="218"/>
      <c r="G321" s="4" t="s">
        <v>1966</v>
      </c>
      <c r="H321" s="4">
        <f t="shared" si="32"/>
        <v>6</v>
      </c>
    </row>
    <row r="322" spans="1:10" x14ac:dyDescent="0.25">
      <c r="A322" s="4">
        <f t="shared" si="31"/>
        <v>7</v>
      </c>
      <c r="B322" s="5"/>
      <c r="E322" s="6"/>
      <c r="G322" s="4"/>
      <c r="H322" s="4">
        <f t="shared" si="32"/>
        <v>7</v>
      </c>
    </row>
    <row r="323" spans="1:10" x14ac:dyDescent="0.25">
      <c r="A323" s="4">
        <f t="shared" si="31"/>
        <v>8</v>
      </c>
      <c r="B323" s="5" t="s">
        <v>2095</v>
      </c>
      <c r="E323" s="12">
        <f>'Interest TU CY'!D31</f>
        <v>-10045.56530986856</v>
      </c>
      <c r="G323" s="4" t="s">
        <v>166</v>
      </c>
      <c r="H323" s="4">
        <f t="shared" si="32"/>
        <v>8</v>
      </c>
    </row>
    <row r="324" spans="1:10" x14ac:dyDescent="0.25">
      <c r="A324" s="4">
        <f t="shared" si="31"/>
        <v>9</v>
      </c>
      <c r="B324" s="5"/>
      <c r="E324" s="6"/>
      <c r="G324" s="4"/>
      <c r="H324" s="4">
        <f t="shared" si="32"/>
        <v>9</v>
      </c>
    </row>
    <row r="325" spans="1:10" x14ac:dyDescent="0.25">
      <c r="A325" s="4">
        <f>A324+1</f>
        <v>10</v>
      </c>
      <c r="B325" s="5" t="s">
        <v>167</v>
      </c>
      <c r="E325" s="9">
        <f>E239</f>
        <v>79893.755157078951</v>
      </c>
      <c r="F325" s="218"/>
      <c r="G325" s="4" t="s">
        <v>1709</v>
      </c>
      <c r="H325" s="4">
        <f t="shared" si="32"/>
        <v>10</v>
      </c>
    </row>
    <row r="326" spans="1:10" x14ac:dyDescent="0.25">
      <c r="A326" s="4">
        <f t="shared" si="31"/>
        <v>11</v>
      </c>
      <c r="B326" s="5"/>
      <c r="E326" s="6"/>
      <c r="G326" s="4"/>
      <c r="H326" s="4">
        <f t="shared" si="32"/>
        <v>11</v>
      </c>
    </row>
    <row r="327" spans="1:10" ht="18.75" x14ac:dyDescent="0.25">
      <c r="A327" s="4">
        <f t="shared" si="31"/>
        <v>12</v>
      </c>
      <c r="B327" s="5" t="s">
        <v>2096</v>
      </c>
      <c r="E327" s="9">
        <f>E284</f>
        <v>0</v>
      </c>
      <c r="G327" s="4" t="s">
        <v>1710</v>
      </c>
      <c r="H327" s="4">
        <f t="shared" si="32"/>
        <v>12</v>
      </c>
    </row>
    <row r="328" spans="1:10" x14ac:dyDescent="0.25">
      <c r="A328" s="4">
        <f t="shared" si="31"/>
        <v>13</v>
      </c>
      <c r="B328" s="5"/>
      <c r="E328" s="6"/>
      <c r="G328" s="4"/>
      <c r="H328" s="4">
        <f t="shared" si="32"/>
        <v>13</v>
      </c>
    </row>
    <row r="329" spans="1:10" x14ac:dyDescent="0.25">
      <c r="A329" s="4">
        <f t="shared" si="31"/>
        <v>14</v>
      </c>
      <c r="B329" s="5" t="s">
        <v>168</v>
      </c>
      <c r="E329" s="842">
        <f>E299</f>
        <v>0</v>
      </c>
      <c r="G329" s="4" t="s">
        <v>1759</v>
      </c>
      <c r="H329" s="4">
        <f t="shared" si="32"/>
        <v>14</v>
      </c>
    </row>
    <row r="330" spans="1:10" x14ac:dyDescent="0.25">
      <c r="A330" s="4">
        <f t="shared" si="31"/>
        <v>15</v>
      </c>
      <c r="B330" s="5"/>
      <c r="E330" s="6"/>
      <c r="G330" s="4"/>
      <c r="H330" s="4">
        <f t="shared" si="32"/>
        <v>15</v>
      </c>
    </row>
    <row r="331" spans="1:10" ht="17.25" x14ac:dyDescent="0.25">
      <c r="A331" s="4">
        <f t="shared" si="31"/>
        <v>16</v>
      </c>
      <c r="B331" s="1291" t="s">
        <v>2097</v>
      </c>
      <c r="C331" s="35"/>
      <c r="E331" s="10">
        <f>E317+E319+E321+E323+E325+E327+E329</f>
        <v>1119125.4195147266</v>
      </c>
      <c r="F331" s="218"/>
      <c r="G331" s="4" t="s">
        <v>169</v>
      </c>
      <c r="H331" s="4">
        <f t="shared" si="32"/>
        <v>16</v>
      </c>
    </row>
    <row r="332" spans="1:10" x14ac:dyDescent="0.25">
      <c r="A332" s="4">
        <f t="shared" si="31"/>
        <v>17</v>
      </c>
      <c r="B332" s="5"/>
      <c r="E332" s="6"/>
      <c r="G332" s="4"/>
      <c r="H332" s="4">
        <f t="shared" si="32"/>
        <v>17</v>
      </c>
    </row>
    <row r="333" spans="1:10" ht="18.75" x14ac:dyDescent="0.25">
      <c r="A333" s="4">
        <f t="shared" si="31"/>
        <v>18</v>
      </c>
      <c r="B333" s="342" t="s">
        <v>170</v>
      </c>
      <c r="C333" s="30">
        <v>1.0207000000000001E-2</v>
      </c>
      <c r="D333" s="253">
        <v>1</v>
      </c>
      <c r="E333" s="1120">
        <f>$E$331*C333</f>
        <v>11422.913156986815</v>
      </c>
      <c r="F333" s="218"/>
      <c r="G333" s="4" t="s">
        <v>171</v>
      </c>
      <c r="H333" s="4">
        <f t="shared" si="32"/>
        <v>18</v>
      </c>
    </row>
    <row r="334" spans="1:10" ht="18.75" x14ac:dyDescent="0.25">
      <c r="A334" s="4">
        <f t="shared" si="31"/>
        <v>19</v>
      </c>
      <c r="B334" s="342" t="s">
        <v>172</v>
      </c>
      <c r="C334" s="30">
        <v>2.0500000000000002E-3</v>
      </c>
      <c r="D334" s="253">
        <v>1</v>
      </c>
      <c r="E334" s="914">
        <f>$E$331*C334</f>
        <v>2294.2071100051899</v>
      </c>
      <c r="F334" s="218"/>
      <c r="G334" s="4" t="s">
        <v>173</v>
      </c>
      <c r="H334" s="4">
        <f t="shared" si="32"/>
        <v>19</v>
      </c>
    </row>
    <row r="335" spans="1:10" x14ac:dyDescent="0.25">
      <c r="A335" s="4">
        <f t="shared" si="31"/>
        <v>20</v>
      </c>
      <c r="B335" s="5"/>
      <c r="E335" s="8"/>
      <c r="G335" s="4"/>
      <c r="H335" s="4">
        <f t="shared" si="32"/>
        <v>20</v>
      </c>
      <c r="J335" s="899"/>
    </row>
    <row r="336" spans="1:10" ht="17.25" x14ac:dyDescent="0.25">
      <c r="A336" s="4">
        <f t="shared" si="31"/>
        <v>21</v>
      </c>
      <c r="B336" s="1291" t="s">
        <v>2098</v>
      </c>
      <c r="C336" s="35"/>
      <c r="E336" s="10">
        <f>SUM(E331:E334)</f>
        <v>1132842.5397817185</v>
      </c>
      <c r="F336" s="218"/>
      <c r="G336" s="4" t="s">
        <v>129</v>
      </c>
      <c r="H336" s="4">
        <f t="shared" si="32"/>
        <v>21</v>
      </c>
      <c r="J336" s="873"/>
    </row>
    <row r="337" spans="1:10" x14ac:dyDescent="0.25">
      <c r="A337" s="4">
        <f t="shared" si="31"/>
        <v>22</v>
      </c>
      <c r="B337" s="439"/>
      <c r="E337" s="252"/>
      <c r="G337" s="4"/>
      <c r="H337" s="4">
        <f t="shared" si="32"/>
        <v>22</v>
      </c>
      <c r="J337" s="873"/>
    </row>
    <row r="338" spans="1:10" ht="17.25" x14ac:dyDescent="0.25">
      <c r="A338" s="4">
        <f t="shared" si="31"/>
        <v>23</v>
      </c>
      <c r="B338" s="1291" t="s">
        <v>2099</v>
      </c>
      <c r="E338" s="1119">
        <v>3619.7198040372623</v>
      </c>
      <c r="G338" s="91" t="s">
        <v>174</v>
      </c>
      <c r="H338" s="4">
        <f t="shared" ref="H338" si="33">H337+1</f>
        <v>23</v>
      </c>
      <c r="I338" s="358"/>
      <c r="J338" s="873"/>
    </row>
    <row r="339" spans="1:10" x14ac:dyDescent="0.25">
      <c r="A339" s="4">
        <f t="shared" si="31"/>
        <v>24</v>
      </c>
      <c r="B339" s="5" t="s">
        <v>1</v>
      </c>
      <c r="H339" s="4">
        <f t="shared" ref="H339" si="34">H338+1</f>
        <v>24</v>
      </c>
      <c r="I339" s="358"/>
      <c r="J339" s="873"/>
    </row>
    <row r="340" spans="1:10" ht="18" thickBot="1" x14ac:dyDescent="0.3">
      <c r="A340" s="4">
        <f t="shared" si="31"/>
        <v>25</v>
      </c>
      <c r="B340" s="1291" t="s">
        <v>2100</v>
      </c>
      <c r="E340" s="37">
        <f>E336+E338</f>
        <v>1136462.2595857559</v>
      </c>
      <c r="G340" s="4" t="s">
        <v>1967</v>
      </c>
      <c r="H340" s="4">
        <f t="shared" ref="H340" si="35">H339+1</f>
        <v>25</v>
      </c>
      <c r="I340" s="358"/>
      <c r="J340" s="873"/>
    </row>
    <row r="341" spans="1:10" ht="16.5" thickTop="1" x14ac:dyDescent="0.25"/>
    <row r="343" spans="1:10" ht="18.75" x14ac:dyDescent="0.25">
      <c r="A343" s="253">
        <v>1</v>
      </c>
      <c r="B343" s="31" t="s">
        <v>1930</v>
      </c>
    </row>
    <row r="345" spans="1:10" x14ac:dyDescent="0.25">
      <c r="B345" s="1" t="s">
        <v>2053</v>
      </c>
    </row>
    <row r="346" spans="1:10" ht="31.5" x14ac:dyDescent="0.25">
      <c r="B346" s="1283" t="s">
        <v>2054</v>
      </c>
    </row>
    <row r="347" spans="1:10" ht="31.5" x14ac:dyDescent="0.25">
      <c r="B347" s="1284" t="s">
        <v>2055</v>
      </c>
    </row>
    <row r="348" spans="1:10" x14ac:dyDescent="0.25">
      <c r="B348" s="1285" t="s">
        <v>2056</v>
      </c>
      <c r="E348" s="1206"/>
    </row>
    <row r="349" spans="1:10" ht="31.5" x14ac:dyDescent="0.25">
      <c r="B349" s="724" t="s">
        <v>2072</v>
      </c>
    </row>
    <row r="350" spans="1:10" x14ac:dyDescent="0.25">
      <c r="E350" s="35"/>
    </row>
  </sheetData>
  <mergeCells count="35">
    <mergeCell ref="B310:G310"/>
    <mergeCell ref="B200:G200"/>
    <mergeCell ref="B201:G201"/>
    <mergeCell ref="B242:G242"/>
    <mergeCell ref="B243:G243"/>
    <mergeCell ref="B244:G244"/>
    <mergeCell ref="B245:G245"/>
    <mergeCell ref="B246:G246"/>
    <mergeCell ref="B306:G306"/>
    <mergeCell ref="B307:G307"/>
    <mergeCell ref="B308:G308"/>
    <mergeCell ref="B309:G309"/>
    <mergeCell ref="B199:G199"/>
    <mergeCell ref="B104:G104"/>
    <mergeCell ref="B105:G105"/>
    <mergeCell ref="B106:G106"/>
    <mergeCell ref="B107:G107"/>
    <mergeCell ref="B158:G158"/>
    <mergeCell ref="B159:G159"/>
    <mergeCell ref="B160:G160"/>
    <mergeCell ref="B161:G161"/>
    <mergeCell ref="B162:G162"/>
    <mergeCell ref="B197:G197"/>
    <mergeCell ref="B198:G198"/>
    <mergeCell ref="B103:G103"/>
    <mergeCell ref="B2:G2"/>
    <mergeCell ref="B3:G3"/>
    <mergeCell ref="B4:G4"/>
    <mergeCell ref="B5:G5"/>
    <mergeCell ref="B6:G6"/>
    <mergeCell ref="B47:G47"/>
    <mergeCell ref="B48:G48"/>
    <mergeCell ref="B49:G49"/>
    <mergeCell ref="B50:G50"/>
    <mergeCell ref="B51:G51"/>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5" max="7" man="1"/>
    <brk id="101" max="7" man="1"/>
    <brk id="156" max="7" man="1"/>
    <brk id="195" max="7" man="1"/>
    <brk id="240" max="7" man="1"/>
    <brk id="304"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workbookViewId="0"/>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5" width="11.7109375" style="31" bestFit="1" customWidth="1"/>
    <col min="16" max="16" width="13.28515625" style="31" customWidth="1"/>
    <col min="17" max="16384" width="9.28515625" style="31"/>
  </cols>
  <sheetData>
    <row r="2" spans="1:14" s="1" customFormat="1" x14ac:dyDescent="0.25">
      <c r="A2" s="218"/>
      <c r="B2" s="1294" t="s">
        <v>0</v>
      </c>
      <c r="C2" s="1294"/>
      <c r="D2" s="1294"/>
      <c r="E2" s="1294"/>
      <c r="F2" s="1294"/>
      <c r="G2" s="1294"/>
      <c r="H2" s="1294"/>
      <c r="I2" s="1294"/>
      <c r="J2" s="1294"/>
      <c r="K2" s="1294"/>
      <c r="L2" s="1294"/>
      <c r="M2" s="218"/>
      <c r="N2" s="218"/>
    </row>
    <row r="3" spans="1:14" s="1" customFormat="1" x14ac:dyDescent="0.25">
      <c r="A3" s="218"/>
      <c r="B3" s="1294" t="s">
        <v>291</v>
      </c>
      <c r="C3" s="1294"/>
      <c r="D3" s="1294"/>
      <c r="E3" s="1294"/>
      <c r="F3" s="1294"/>
      <c r="G3" s="1294"/>
      <c r="H3" s="1294"/>
      <c r="I3" s="1294"/>
      <c r="J3" s="1294"/>
      <c r="K3" s="1294"/>
      <c r="L3" s="1294"/>
      <c r="M3" s="218"/>
      <c r="N3" s="218"/>
    </row>
    <row r="4" spans="1:14" x14ac:dyDescent="0.25">
      <c r="B4" s="1294" t="s">
        <v>292</v>
      </c>
      <c r="C4" s="1294"/>
      <c r="D4" s="1294"/>
      <c r="E4" s="1294"/>
      <c r="F4" s="1294"/>
      <c r="G4" s="1294"/>
      <c r="H4" s="1294"/>
      <c r="I4" s="1294"/>
      <c r="J4" s="1294"/>
      <c r="K4" s="1294"/>
      <c r="L4" s="1294"/>
    </row>
    <row r="5" spans="1:14" x14ac:dyDescent="0.25">
      <c r="B5" s="1299" t="s">
        <v>1559</v>
      </c>
      <c r="C5" s="1299"/>
      <c r="D5" s="1299"/>
      <c r="E5" s="1299"/>
      <c r="F5" s="1299"/>
      <c r="G5" s="1299"/>
      <c r="H5" s="1299"/>
      <c r="I5" s="1299"/>
      <c r="J5" s="1299"/>
      <c r="K5" s="1299"/>
      <c r="L5" s="1299"/>
    </row>
    <row r="6" spans="1:14" x14ac:dyDescent="0.25">
      <c r="B6" s="1299" t="s">
        <v>4</v>
      </c>
      <c r="C6" s="1294"/>
      <c r="D6" s="1294"/>
      <c r="E6" s="1294"/>
      <c r="F6" s="1294"/>
      <c r="G6" s="1294"/>
      <c r="H6" s="1294"/>
      <c r="I6" s="1294"/>
      <c r="J6" s="1294"/>
      <c r="K6" s="1294"/>
      <c r="L6" s="1294"/>
    </row>
    <row r="7" spans="1:14" x14ac:dyDescent="0.25">
      <c r="C7" s="267"/>
      <c r="D7" s="268"/>
      <c r="E7" s="294"/>
      <c r="F7" s="294"/>
      <c r="G7" s="294"/>
      <c r="H7" s="294"/>
      <c r="I7" s="294"/>
      <c r="J7" s="294"/>
    </row>
    <row r="8" spans="1:14" s="218" customFormat="1" x14ac:dyDescent="0.25">
      <c r="B8" s="928"/>
      <c r="C8" s="946"/>
      <c r="D8" s="947" t="s">
        <v>293</v>
      </c>
      <c r="E8" s="947" t="s">
        <v>294</v>
      </c>
      <c r="F8" s="947" t="s">
        <v>295</v>
      </c>
      <c r="G8" s="947" t="s">
        <v>296</v>
      </c>
      <c r="H8" s="947" t="s">
        <v>297</v>
      </c>
      <c r="I8" s="947" t="s">
        <v>298</v>
      </c>
      <c r="J8" s="947" t="s">
        <v>299</v>
      </c>
      <c r="K8" s="947" t="s">
        <v>300</v>
      </c>
      <c r="L8" s="928"/>
      <c r="M8" s="218" t="s">
        <v>1</v>
      </c>
    </row>
    <row r="9" spans="1:14" x14ac:dyDescent="0.25">
      <c r="B9" s="948"/>
      <c r="C9" s="929"/>
      <c r="D9" s="295"/>
      <c r="E9" s="295"/>
      <c r="F9" s="295"/>
      <c r="G9" s="295"/>
      <c r="H9" s="295"/>
      <c r="I9" s="295"/>
      <c r="J9" s="295"/>
      <c r="K9" s="296" t="s">
        <v>177</v>
      </c>
      <c r="L9" s="948"/>
      <c r="M9" s="4" t="s">
        <v>1</v>
      </c>
    </row>
    <row r="10" spans="1:14" x14ac:dyDescent="0.25">
      <c r="B10" s="297"/>
      <c r="C10" s="234"/>
      <c r="D10" s="295"/>
      <c r="E10" s="295" t="s">
        <v>301</v>
      </c>
      <c r="F10" s="295" t="s">
        <v>285</v>
      </c>
      <c r="G10" s="295" t="s">
        <v>290</v>
      </c>
      <c r="H10" s="295" t="s">
        <v>290</v>
      </c>
      <c r="I10" s="295" t="s">
        <v>290</v>
      </c>
      <c r="J10" s="295" t="s">
        <v>290</v>
      </c>
      <c r="K10" s="295" t="s">
        <v>290</v>
      </c>
      <c r="L10" s="935"/>
      <c r="M10" s="4" t="s">
        <v>1</v>
      </c>
    </row>
    <row r="11" spans="1:14" x14ac:dyDescent="0.25">
      <c r="B11" s="298"/>
      <c r="C11" s="278"/>
      <c r="D11" s="299" t="s">
        <v>177</v>
      </c>
      <c r="E11" s="295" t="s">
        <v>302</v>
      </c>
      <c r="F11" s="295" t="s">
        <v>302</v>
      </c>
      <c r="G11" s="295" t="s">
        <v>302</v>
      </c>
      <c r="H11" s="295" t="s">
        <v>302</v>
      </c>
      <c r="I11" s="295" t="s">
        <v>302</v>
      </c>
      <c r="J11" s="295" t="s">
        <v>302</v>
      </c>
      <c r="K11" s="295" t="s">
        <v>286</v>
      </c>
      <c r="L11" s="270"/>
    </row>
    <row r="12" spans="1:14" x14ac:dyDescent="0.25">
      <c r="A12" s="4" t="s">
        <v>5</v>
      </c>
      <c r="B12" s="298"/>
      <c r="C12" s="270"/>
      <c r="D12" s="299" t="s">
        <v>290</v>
      </c>
      <c r="E12" s="295" t="s">
        <v>303</v>
      </c>
      <c r="F12" s="300" t="s">
        <v>303</v>
      </c>
      <c r="G12" s="295" t="s">
        <v>303</v>
      </c>
      <c r="H12" s="295" t="s">
        <v>303</v>
      </c>
      <c r="I12" s="295" t="s">
        <v>303</v>
      </c>
      <c r="J12" s="295" t="s">
        <v>303</v>
      </c>
      <c r="K12" s="295" t="s">
        <v>304</v>
      </c>
      <c r="L12" s="270"/>
      <c r="M12" s="4" t="s">
        <v>5</v>
      </c>
    </row>
    <row r="13" spans="1:14" x14ac:dyDescent="0.25">
      <c r="A13" s="4" t="s">
        <v>6</v>
      </c>
      <c r="B13" s="275" t="s">
        <v>305</v>
      </c>
      <c r="C13" s="275" t="s">
        <v>306</v>
      </c>
      <c r="D13" s="301" t="s">
        <v>302</v>
      </c>
      <c r="E13" s="301" t="s">
        <v>307</v>
      </c>
      <c r="F13" s="301" t="s">
        <v>308</v>
      </c>
      <c r="G13" s="301" t="s">
        <v>309</v>
      </c>
      <c r="H13" s="301" t="s">
        <v>310</v>
      </c>
      <c r="I13" s="301" t="s">
        <v>279</v>
      </c>
      <c r="J13" s="949" t="s">
        <v>311</v>
      </c>
      <c r="K13" s="275" t="s">
        <v>312</v>
      </c>
      <c r="L13" s="275" t="s">
        <v>8</v>
      </c>
      <c r="M13" s="4" t="s">
        <v>6</v>
      </c>
    </row>
    <row r="14" spans="1:14" x14ac:dyDescent="0.25">
      <c r="B14" s="935"/>
      <c r="C14" s="234" t="s">
        <v>313</v>
      </c>
      <c r="D14" s="234"/>
      <c r="E14" s="234"/>
      <c r="F14" s="234"/>
      <c r="G14" s="234"/>
      <c r="H14" s="234"/>
      <c r="I14" s="234"/>
      <c r="J14" s="234"/>
      <c r="K14" s="62"/>
      <c r="L14" s="935"/>
    </row>
    <row r="15" spans="1:14" x14ac:dyDescent="0.25">
      <c r="A15" s="4">
        <v>1</v>
      </c>
      <c r="B15" s="950">
        <v>303</v>
      </c>
      <c r="C15" s="234" t="s">
        <v>314</v>
      </c>
      <c r="D15" s="232">
        <v>0</v>
      </c>
      <c r="E15" s="232">
        <v>0</v>
      </c>
      <c r="F15" s="232">
        <v>0</v>
      </c>
      <c r="G15" s="232">
        <v>0</v>
      </c>
      <c r="H15" s="232">
        <v>0</v>
      </c>
      <c r="I15" s="232">
        <v>0</v>
      </c>
      <c r="J15" s="232">
        <v>0</v>
      </c>
      <c r="K15" s="58">
        <f>SUM(D15:J15)</f>
        <v>0</v>
      </c>
      <c r="L15" s="935" t="s">
        <v>258</v>
      </c>
      <c r="M15" s="4">
        <f>A15</f>
        <v>1</v>
      </c>
    </row>
    <row r="16" spans="1:14" x14ac:dyDescent="0.25">
      <c r="A16" s="4">
        <f t="shared" ref="A16:A38" si="0">A15+1</f>
        <v>2</v>
      </c>
      <c r="B16" s="935">
        <v>310.10000000000002</v>
      </c>
      <c r="C16" s="234" t="s">
        <v>315</v>
      </c>
      <c r="D16" s="233">
        <v>0</v>
      </c>
      <c r="E16" s="233">
        <v>0</v>
      </c>
      <c r="F16" s="233">
        <v>0</v>
      </c>
      <c r="G16" s="233">
        <v>0</v>
      </c>
      <c r="H16" s="233">
        <v>0</v>
      </c>
      <c r="I16" s="233">
        <v>0</v>
      </c>
      <c r="J16" s="233">
        <v>0</v>
      </c>
      <c r="K16" s="52">
        <f>SUM(D16:J16)</f>
        <v>0</v>
      </c>
      <c r="L16" s="935" t="s">
        <v>258</v>
      </c>
      <c r="M16" s="4">
        <f>M15+1</f>
        <v>2</v>
      </c>
    </row>
    <row r="17" spans="1:14" x14ac:dyDescent="0.25">
      <c r="A17" s="4">
        <f t="shared" si="0"/>
        <v>3</v>
      </c>
      <c r="B17" s="950">
        <v>340</v>
      </c>
      <c r="C17" s="951" t="s">
        <v>316</v>
      </c>
      <c r="D17" s="233">
        <v>0</v>
      </c>
      <c r="E17" s="233">
        <v>4.5990200000000003</v>
      </c>
      <c r="F17" s="233">
        <v>0</v>
      </c>
      <c r="G17" s="233">
        <v>0</v>
      </c>
      <c r="H17" s="233">
        <v>0</v>
      </c>
      <c r="I17" s="233">
        <v>0</v>
      </c>
      <c r="J17" s="233">
        <v>0</v>
      </c>
      <c r="K17" s="52">
        <f>SUM(D17:J17)</f>
        <v>4.5990200000000003</v>
      </c>
      <c r="L17" s="935" t="s">
        <v>258</v>
      </c>
      <c r="M17" s="4">
        <f t="shared" ref="M17:M38" si="1">M16+1</f>
        <v>3</v>
      </c>
    </row>
    <row r="18" spans="1:14" x14ac:dyDescent="0.25">
      <c r="A18" s="4">
        <f t="shared" si="0"/>
        <v>4</v>
      </c>
      <c r="B18" s="950">
        <v>360</v>
      </c>
      <c r="C18" s="951" t="s">
        <v>316</v>
      </c>
      <c r="D18" s="233">
        <v>0</v>
      </c>
      <c r="E18" s="233">
        <v>0</v>
      </c>
      <c r="F18" s="233">
        <v>3626.3653199999999</v>
      </c>
      <c r="G18" s="233">
        <v>0</v>
      </c>
      <c r="H18" s="233">
        <v>0</v>
      </c>
      <c r="I18" s="233">
        <v>0</v>
      </c>
      <c r="J18" s="233">
        <v>0</v>
      </c>
      <c r="K18" s="52">
        <f>SUM(D18:J18)</f>
        <v>3626.3653199999999</v>
      </c>
      <c r="L18" s="935" t="s">
        <v>258</v>
      </c>
      <c r="M18" s="4">
        <f t="shared" si="1"/>
        <v>4</v>
      </c>
    </row>
    <row r="19" spans="1:14" x14ac:dyDescent="0.25">
      <c r="A19" s="4">
        <f t="shared" si="0"/>
        <v>5</v>
      </c>
      <c r="B19" s="950">
        <v>361</v>
      </c>
      <c r="C19" s="234" t="s">
        <v>317</v>
      </c>
      <c r="D19" s="233">
        <v>0</v>
      </c>
      <c r="E19" s="233">
        <v>0</v>
      </c>
      <c r="F19" s="233">
        <v>1496.2538400000001</v>
      </c>
      <c r="G19" s="233">
        <v>0</v>
      </c>
      <c r="H19" s="233">
        <v>0</v>
      </c>
      <c r="I19" s="233">
        <v>0</v>
      </c>
      <c r="J19" s="233">
        <v>0</v>
      </c>
      <c r="K19" s="52">
        <f>SUM(D19:J19)</f>
        <v>1496.2538400000001</v>
      </c>
      <c r="L19" s="935" t="s">
        <v>258</v>
      </c>
      <c r="M19" s="4">
        <f t="shared" si="1"/>
        <v>5</v>
      </c>
    </row>
    <row r="20" spans="1:14" x14ac:dyDescent="0.25">
      <c r="A20" s="4">
        <f t="shared" si="0"/>
        <v>6</v>
      </c>
      <c r="B20" s="935"/>
      <c r="C20" s="234"/>
      <c r="D20" s="234"/>
      <c r="E20" s="234"/>
      <c r="F20" s="234"/>
      <c r="G20" s="234"/>
      <c r="H20" s="234"/>
      <c r="I20" s="234"/>
      <c r="J20" s="234"/>
      <c r="K20" s="62"/>
      <c r="L20" s="935"/>
      <c r="M20" s="4">
        <f t="shared" si="1"/>
        <v>6</v>
      </c>
    </row>
    <row r="21" spans="1:14" s="1" customFormat="1" x14ac:dyDescent="0.25">
      <c r="A21" s="4">
        <f t="shared" si="0"/>
        <v>7</v>
      </c>
      <c r="B21" s="952" t="s">
        <v>318</v>
      </c>
      <c r="C21" s="953" t="s">
        <v>319</v>
      </c>
      <c r="D21" s="954">
        <f t="shared" ref="D21:K21" si="2">SUM(D15:D20)</f>
        <v>0</v>
      </c>
      <c r="E21" s="954">
        <f t="shared" si="2"/>
        <v>4.5990200000000003</v>
      </c>
      <c r="F21" s="954">
        <f t="shared" si="2"/>
        <v>5122.6191600000002</v>
      </c>
      <c r="G21" s="954">
        <f t="shared" si="2"/>
        <v>0</v>
      </c>
      <c r="H21" s="954">
        <f t="shared" si="2"/>
        <v>0</v>
      </c>
      <c r="I21" s="954">
        <f t="shared" si="2"/>
        <v>0</v>
      </c>
      <c r="J21" s="954">
        <f t="shared" si="2"/>
        <v>0</v>
      </c>
      <c r="K21" s="236">
        <f t="shared" si="2"/>
        <v>5127.2181799999998</v>
      </c>
      <c r="L21" s="955" t="s">
        <v>14</v>
      </c>
      <c r="M21" s="4">
        <f t="shared" si="1"/>
        <v>7</v>
      </c>
      <c r="N21" s="4"/>
    </row>
    <row r="22" spans="1:14" x14ac:dyDescent="0.25">
      <c r="A22" s="4">
        <f t="shared" si="0"/>
        <v>8</v>
      </c>
      <c r="B22" s="935"/>
      <c r="C22" s="234"/>
      <c r="D22" s="233"/>
      <c r="E22" s="233"/>
      <c r="F22" s="233"/>
      <c r="G22" s="233"/>
      <c r="H22" s="233"/>
      <c r="I22" s="233"/>
      <c r="J22" s="233"/>
      <c r="K22" s="62"/>
      <c r="L22" s="935"/>
      <c r="M22" s="4">
        <f t="shared" si="1"/>
        <v>8</v>
      </c>
    </row>
    <row r="23" spans="1:14" x14ac:dyDescent="0.25">
      <c r="A23" s="4">
        <f t="shared" si="0"/>
        <v>9</v>
      </c>
      <c r="B23" s="950">
        <v>350</v>
      </c>
      <c r="C23" s="234" t="s">
        <v>316</v>
      </c>
      <c r="D23" s="956">
        <v>256898.14848999999</v>
      </c>
      <c r="E23" s="232">
        <v>0</v>
      </c>
      <c r="F23" s="232">
        <v>0</v>
      </c>
      <c r="G23" s="232">
        <v>0</v>
      </c>
      <c r="H23" s="232">
        <v>0</v>
      </c>
      <c r="I23" s="232">
        <v>0</v>
      </c>
      <c r="J23" s="232">
        <v>-13536.05595</v>
      </c>
      <c r="K23" s="58">
        <f t="shared" ref="K23:K34" si="3">SUM(D23:J23)</f>
        <v>243362.09253999998</v>
      </c>
      <c r="L23" s="935" t="s">
        <v>258</v>
      </c>
      <c r="M23" s="4">
        <f t="shared" si="1"/>
        <v>9</v>
      </c>
    </row>
    <row r="24" spans="1:14" x14ac:dyDescent="0.25">
      <c r="A24" s="4">
        <f t="shared" si="0"/>
        <v>10</v>
      </c>
      <c r="B24" s="950">
        <v>351.1</v>
      </c>
      <c r="C24" s="234" t="s">
        <v>1544</v>
      </c>
      <c r="D24" s="233">
        <v>0</v>
      </c>
      <c r="E24" s="233">
        <v>0</v>
      </c>
      <c r="F24" s="233">
        <v>0</v>
      </c>
      <c r="G24" s="233">
        <v>0</v>
      </c>
      <c r="H24" s="233">
        <v>0</v>
      </c>
      <c r="I24" s="233">
        <v>0</v>
      </c>
      <c r="J24" s="233">
        <v>0</v>
      </c>
      <c r="K24" s="52">
        <f t="shared" si="3"/>
        <v>0</v>
      </c>
      <c r="L24" s="935" t="s">
        <v>258</v>
      </c>
      <c r="M24" s="4">
        <f t="shared" si="1"/>
        <v>10</v>
      </c>
      <c r="N24" s="358"/>
    </row>
    <row r="25" spans="1:14" x14ac:dyDescent="0.25">
      <c r="A25" s="4">
        <f t="shared" si="0"/>
        <v>11</v>
      </c>
      <c r="B25" s="950">
        <v>351.2</v>
      </c>
      <c r="C25" s="234" t="s">
        <v>1545</v>
      </c>
      <c r="D25" s="233">
        <v>0</v>
      </c>
      <c r="E25" s="233">
        <v>0</v>
      </c>
      <c r="F25" s="233">
        <v>0</v>
      </c>
      <c r="G25" s="233">
        <v>0</v>
      </c>
      <c r="H25" s="233">
        <v>0</v>
      </c>
      <c r="I25" s="233">
        <v>0</v>
      </c>
      <c r="J25" s="233">
        <v>0</v>
      </c>
      <c r="K25" s="52">
        <f t="shared" si="3"/>
        <v>0</v>
      </c>
      <c r="L25" s="935" t="s">
        <v>258</v>
      </c>
      <c r="M25" s="4">
        <f t="shared" si="1"/>
        <v>11</v>
      </c>
      <c r="N25" s="358"/>
    </row>
    <row r="26" spans="1:14" x14ac:dyDescent="0.25">
      <c r="A26" s="4">
        <f t="shared" si="0"/>
        <v>12</v>
      </c>
      <c r="B26" s="950">
        <v>351.3</v>
      </c>
      <c r="C26" s="234" t="s">
        <v>1546</v>
      </c>
      <c r="D26" s="233">
        <v>0</v>
      </c>
      <c r="E26" s="233">
        <v>0</v>
      </c>
      <c r="F26" s="233">
        <v>0</v>
      </c>
      <c r="G26" s="233">
        <v>0</v>
      </c>
      <c r="H26" s="233">
        <v>0</v>
      </c>
      <c r="I26" s="233">
        <v>0</v>
      </c>
      <c r="J26" s="233">
        <v>0</v>
      </c>
      <c r="K26" s="52">
        <f t="shared" si="3"/>
        <v>0</v>
      </c>
      <c r="L26" s="935" t="s">
        <v>258</v>
      </c>
      <c r="M26" s="4">
        <f t="shared" si="1"/>
        <v>12</v>
      </c>
      <c r="N26" s="358"/>
    </row>
    <row r="27" spans="1:14" x14ac:dyDescent="0.25">
      <c r="A27" s="4">
        <f t="shared" si="0"/>
        <v>13</v>
      </c>
      <c r="B27" s="950">
        <v>352</v>
      </c>
      <c r="C27" s="234" t="s">
        <v>317</v>
      </c>
      <c r="D27" s="957">
        <v>818920.32406999997</v>
      </c>
      <c r="E27" s="233">
        <v>0</v>
      </c>
      <c r="F27" s="233">
        <v>0</v>
      </c>
      <c r="G27" s="233">
        <v>-1928.27782</v>
      </c>
      <c r="H27" s="233">
        <v>0</v>
      </c>
      <c r="I27" s="233">
        <v>0</v>
      </c>
      <c r="J27" s="233">
        <v>-112635.03347000001</v>
      </c>
      <c r="K27" s="52">
        <f t="shared" si="3"/>
        <v>704357.01277999999</v>
      </c>
      <c r="L27" s="935" t="s">
        <v>258</v>
      </c>
      <c r="M27" s="4">
        <f t="shared" si="1"/>
        <v>13</v>
      </c>
      <c r="N27" s="358"/>
    </row>
    <row r="28" spans="1:14" x14ac:dyDescent="0.25">
      <c r="A28" s="4">
        <f t="shared" si="0"/>
        <v>14</v>
      </c>
      <c r="B28" s="950">
        <v>353</v>
      </c>
      <c r="C28" s="234" t="s">
        <v>320</v>
      </c>
      <c r="D28" s="957">
        <v>2277735.1889599999</v>
      </c>
      <c r="E28" s="233">
        <v>0</v>
      </c>
      <c r="F28" s="233">
        <v>0</v>
      </c>
      <c r="G28" s="233">
        <v>-12009.877780000001</v>
      </c>
      <c r="H28" s="233">
        <v>-1420.3928800000001</v>
      </c>
      <c r="I28" s="233">
        <v>0</v>
      </c>
      <c r="J28" s="233">
        <v>-2429.9854399999999</v>
      </c>
      <c r="K28" s="52">
        <f t="shared" si="3"/>
        <v>2261874.9328599996</v>
      </c>
      <c r="L28" s="935" t="s">
        <v>258</v>
      </c>
      <c r="M28" s="4">
        <f t="shared" si="1"/>
        <v>14</v>
      </c>
      <c r="N28" s="358"/>
    </row>
    <row r="29" spans="1:14" x14ac:dyDescent="0.25">
      <c r="A29" s="4">
        <f t="shared" si="0"/>
        <v>15</v>
      </c>
      <c r="B29" s="950">
        <v>354</v>
      </c>
      <c r="C29" s="234" t="s">
        <v>321</v>
      </c>
      <c r="D29" s="957">
        <v>930804.89881000004</v>
      </c>
      <c r="E29" s="233">
        <v>0</v>
      </c>
      <c r="F29" s="233">
        <v>0</v>
      </c>
      <c r="G29" s="233">
        <v>0</v>
      </c>
      <c r="H29" s="233">
        <v>0</v>
      </c>
      <c r="I29" s="233">
        <v>0</v>
      </c>
      <c r="J29" s="233">
        <v>0</v>
      </c>
      <c r="K29" s="52">
        <f t="shared" si="3"/>
        <v>930804.89881000004</v>
      </c>
      <c r="L29" s="935" t="s">
        <v>258</v>
      </c>
      <c r="M29" s="4">
        <f t="shared" si="1"/>
        <v>15</v>
      </c>
      <c r="N29" s="358"/>
    </row>
    <row r="30" spans="1:14" x14ac:dyDescent="0.25">
      <c r="A30" s="4">
        <f t="shared" si="0"/>
        <v>16</v>
      </c>
      <c r="B30" s="950">
        <v>355</v>
      </c>
      <c r="C30" s="234" t="s">
        <v>322</v>
      </c>
      <c r="D30" s="957">
        <v>1080815.14552</v>
      </c>
      <c r="E30" s="233">
        <v>0</v>
      </c>
      <c r="F30" s="233">
        <v>0</v>
      </c>
      <c r="G30" s="233">
        <v>0</v>
      </c>
      <c r="H30" s="233">
        <v>0</v>
      </c>
      <c r="I30" s="233">
        <v>0</v>
      </c>
      <c r="J30" s="233">
        <v>0</v>
      </c>
      <c r="K30" s="52">
        <f t="shared" si="3"/>
        <v>1080815.14552</v>
      </c>
      <c r="L30" s="935" t="s">
        <v>258</v>
      </c>
      <c r="M30" s="4">
        <f t="shared" si="1"/>
        <v>16</v>
      </c>
      <c r="N30" s="358"/>
    </row>
    <row r="31" spans="1:14" x14ac:dyDescent="0.25">
      <c r="A31" s="4">
        <f t="shared" si="0"/>
        <v>17</v>
      </c>
      <c r="B31" s="950">
        <v>356</v>
      </c>
      <c r="C31" s="234" t="s">
        <v>323</v>
      </c>
      <c r="D31" s="957">
        <v>940375.96794999996</v>
      </c>
      <c r="E31" s="233">
        <v>0</v>
      </c>
      <c r="F31" s="233">
        <v>0</v>
      </c>
      <c r="G31" s="233">
        <v>0</v>
      </c>
      <c r="H31" s="233">
        <v>0</v>
      </c>
      <c r="I31" s="233">
        <v>0</v>
      </c>
      <c r="J31" s="233">
        <v>0</v>
      </c>
      <c r="K31" s="52">
        <f t="shared" si="3"/>
        <v>940375.96794999996</v>
      </c>
      <c r="L31" s="935" t="s">
        <v>258</v>
      </c>
      <c r="M31" s="4">
        <f t="shared" si="1"/>
        <v>17</v>
      </c>
      <c r="N31" s="358"/>
    </row>
    <row r="32" spans="1:14" x14ac:dyDescent="0.25">
      <c r="A32" s="4">
        <f t="shared" si="0"/>
        <v>18</v>
      </c>
      <c r="B32" s="950">
        <v>357</v>
      </c>
      <c r="C32" s="234" t="s">
        <v>324</v>
      </c>
      <c r="D32" s="957">
        <v>635069.28517000005</v>
      </c>
      <c r="E32" s="233">
        <v>0</v>
      </c>
      <c r="F32" s="233">
        <v>0</v>
      </c>
      <c r="G32" s="233">
        <v>0</v>
      </c>
      <c r="H32" s="233">
        <v>0</v>
      </c>
      <c r="I32" s="233">
        <v>0</v>
      </c>
      <c r="J32" s="233">
        <v>0</v>
      </c>
      <c r="K32" s="52">
        <f t="shared" si="3"/>
        <v>635069.28517000005</v>
      </c>
      <c r="L32" s="935" t="s">
        <v>258</v>
      </c>
      <c r="M32" s="4">
        <f t="shared" si="1"/>
        <v>18</v>
      </c>
      <c r="N32" s="358"/>
    </row>
    <row r="33" spans="1:14" x14ac:dyDescent="0.25">
      <c r="A33" s="4">
        <f t="shared" si="0"/>
        <v>19</v>
      </c>
      <c r="B33" s="950">
        <v>358</v>
      </c>
      <c r="C33" s="234" t="s">
        <v>325</v>
      </c>
      <c r="D33" s="957">
        <v>611501.32154999999</v>
      </c>
      <c r="E33" s="233">
        <v>0</v>
      </c>
      <c r="F33" s="233">
        <v>0</v>
      </c>
      <c r="G33" s="233">
        <v>-1726.37997</v>
      </c>
      <c r="H33" s="233">
        <v>0</v>
      </c>
      <c r="I33" s="233">
        <v>0</v>
      </c>
      <c r="J33" s="233">
        <v>0</v>
      </c>
      <c r="K33" s="52">
        <f t="shared" si="3"/>
        <v>609774.94157999998</v>
      </c>
      <c r="L33" s="935" t="s">
        <v>258</v>
      </c>
      <c r="M33" s="4">
        <f t="shared" si="1"/>
        <v>19</v>
      </c>
      <c r="N33" s="358"/>
    </row>
    <row r="34" spans="1:14" x14ac:dyDescent="0.25">
      <c r="A34" s="4">
        <f t="shared" si="0"/>
        <v>20</v>
      </c>
      <c r="B34" s="950">
        <v>359</v>
      </c>
      <c r="C34" s="234" t="s">
        <v>326</v>
      </c>
      <c r="D34" s="957">
        <v>391358.77490999998</v>
      </c>
      <c r="E34" s="233">
        <v>0</v>
      </c>
      <c r="F34" s="233">
        <v>0</v>
      </c>
      <c r="G34" s="233">
        <v>0</v>
      </c>
      <c r="H34" s="233">
        <v>0</v>
      </c>
      <c r="I34" s="233">
        <v>0</v>
      </c>
      <c r="J34" s="233">
        <v>0</v>
      </c>
      <c r="K34" s="52">
        <f t="shared" si="3"/>
        <v>391358.77490999998</v>
      </c>
      <c r="L34" s="935" t="s">
        <v>258</v>
      </c>
      <c r="M34" s="4">
        <f t="shared" si="1"/>
        <v>20</v>
      </c>
      <c r="N34" s="358"/>
    </row>
    <row r="35" spans="1:14" x14ac:dyDescent="0.25">
      <c r="A35" s="4">
        <f t="shared" si="0"/>
        <v>21</v>
      </c>
      <c r="B35" s="950"/>
      <c r="C35" s="234"/>
      <c r="D35" s="233"/>
      <c r="F35" s="94"/>
      <c r="G35" s="94"/>
      <c r="H35" s="94"/>
      <c r="I35" s="94"/>
      <c r="J35" s="233"/>
      <c r="K35" s="53"/>
      <c r="L35" s="950"/>
      <c r="M35" s="4">
        <f t="shared" si="1"/>
        <v>21</v>
      </c>
      <c r="N35" s="358"/>
    </row>
    <row r="36" spans="1:14" x14ac:dyDescent="0.25">
      <c r="A36" s="4">
        <f t="shared" si="0"/>
        <v>22</v>
      </c>
      <c r="B36" s="958" t="s">
        <v>318</v>
      </c>
      <c r="C36" s="953" t="s">
        <v>289</v>
      </c>
      <c r="D36" s="954">
        <f>SUM(D23:D35)</f>
        <v>7943479.0554299997</v>
      </c>
      <c r="E36" s="954">
        <f>SUM(E23:E35)</f>
        <v>0</v>
      </c>
      <c r="F36" s="954">
        <f>SUM(F23:F35)</f>
        <v>0</v>
      </c>
      <c r="G36" s="954">
        <f t="shared" ref="G36:H36" si="4">SUM(G23:G35)</f>
        <v>-15664.53557</v>
      </c>
      <c r="H36" s="954">
        <f t="shared" si="4"/>
        <v>-1420.3928800000001</v>
      </c>
      <c r="I36" s="954">
        <f>SUM(I23:I35)</f>
        <v>0</v>
      </c>
      <c r="J36" s="954">
        <f>SUM(J23:J35)</f>
        <v>-128601.07486000001</v>
      </c>
      <c r="K36" s="236">
        <f>SUM(K23:K35)</f>
        <v>7797793.0521200001</v>
      </c>
      <c r="L36" s="959" t="s">
        <v>1557</v>
      </c>
      <c r="M36" s="4">
        <f t="shared" si="1"/>
        <v>22</v>
      </c>
      <c r="N36" s="358"/>
    </row>
    <row r="37" spans="1:14" x14ac:dyDescent="0.25">
      <c r="A37" s="4">
        <f t="shared" si="0"/>
        <v>23</v>
      </c>
      <c r="B37" s="297"/>
      <c r="D37" s="31"/>
      <c r="K37" s="6"/>
      <c r="L37" s="302"/>
      <c r="M37" s="4">
        <f t="shared" si="1"/>
        <v>23</v>
      </c>
      <c r="N37" s="358"/>
    </row>
    <row r="38" spans="1:14" x14ac:dyDescent="0.25">
      <c r="A38" s="4">
        <f t="shared" si="0"/>
        <v>24</v>
      </c>
      <c r="B38" s="303" t="s">
        <v>327</v>
      </c>
      <c r="C38" s="960"/>
      <c r="D38" s="576">
        <f t="shared" ref="D38:K38" si="5">D36+D21</f>
        <v>7943479.0554299997</v>
      </c>
      <c r="E38" s="576">
        <f t="shared" si="5"/>
        <v>4.5990200000000003</v>
      </c>
      <c r="F38" s="576">
        <f t="shared" si="5"/>
        <v>5122.6191600000002</v>
      </c>
      <c r="G38" s="576">
        <f t="shared" si="5"/>
        <v>-15664.53557</v>
      </c>
      <c r="H38" s="576">
        <f t="shared" si="5"/>
        <v>-1420.3928800000001</v>
      </c>
      <c r="I38" s="576">
        <f t="shared" si="5"/>
        <v>0</v>
      </c>
      <c r="J38" s="576">
        <f t="shared" si="5"/>
        <v>-128601.07486000001</v>
      </c>
      <c r="K38" s="63">
        <f t="shared" si="5"/>
        <v>7802920.2703</v>
      </c>
      <c r="L38" s="955" t="s">
        <v>1558</v>
      </c>
      <c r="M38" s="4">
        <f t="shared" si="1"/>
        <v>24</v>
      </c>
      <c r="N38" s="358"/>
    </row>
    <row r="39" spans="1:14" x14ac:dyDescent="0.25">
      <c r="D39" s="31"/>
    </row>
    <row r="40" spans="1:14" x14ac:dyDescent="0.25">
      <c r="D40" s="31"/>
    </row>
    <row r="41" spans="1:14" x14ac:dyDescent="0.25">
      <c r="B41" s="32" t="s">
        <v>328</v>
      </c>
      <c r="D41" s="31"/>
    </row>
    <row r="42" spans="1:14" x14ac:dyDescent="0.25">
      <c r="D42" s="31"/>
      <c r="K42" s="6"/>
      <c r="L42" s="6"/>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workbookViewId="0"/>
  </sheetViews>
  <sheetFormatPr defaultColWidth="9.28515625" defaultRowHeight="15.75" x14ac:dyDescent="0.25"/>
  <cols>
    <col min="1" max="1" width="5.28515625" style="4" customWidth="1"/>
    <col min="2" max="2" width="11.28515625" style="4" customWidth="1"/>
    <col min="3" max="3" width="32.42578125" style="31" customWidth="1"/>
    <col min="4" max="10" width="18.5703125" style="6" customWidth="1"/>
    <col min="11" max="11" width="18.5703125" style="31" customWidth="1"/>
    <col min="12" max="12" width="24" style="31" customWidth="1"/>
    <col min="13" max="14" width="5.28515625" style="4" customWidth="1"/>
    <col min="15" max="16384" width="9.28515625" style="31"/>
  </cols>
  <sheetData>
    <row r="2" spans="1:16" s="1" customFormat="1" x14ac:dyDescent="0.25">
      <c r="A2" s="218"/>
      <c r="B2" s="1294" t="s">
        <v>0</v>
      </c>
      <c r="C2" s="1294"/>
      <c r="D2" s="1294"/>
      <c r="E2" s="1294"/>
      <c r="F2" s="1294"/>
      <c r="G2" s="1294"/>
      <c r="H2" s="1294"/>
      <c r="I2" s="1294"/>
      <c r="J2" s="1294"/>
      <c r="K2" s="1294"/>
      <c r="L2" s="1294"/>
      <c r="M2" s="218"/>
      <c r="N2" s="218"/>
      <c r="P2"/>
    </row>
    <row r="3" spans="1:16" s="1" customFormat="1" x14ac:dyDescent="0.25">
      <c r="A3" s="218"/>
      <c r="B3" s="1294" t="s">
        <v>291</v>
      </c>
      <c r="C3" s="1294"/>
      <c r="D3" s="1294"/>
      <c r="E3" s="1294"/>
      <c r="F3" s="1294"/>
      <c r="G3" s="1294"/>
      <c r="H3" s="1294"/>
      <c r="I3" s="1294"/>
      <c r="J3" s="1294"/>
      <c r="K3" s="1294"/>
      <c r="L3" s="1294"/>
      <c r="M3" s="218"/>
      <c r="N3" s="218"/>
    </row>
    <row r="4" spans="1:16" x14ac:dyDescent="0.25">
      <c r="B4" s="1294" t="s">
        <v>292</v>
      </c>
      <c r="C4" s="1294"/>
      <c r="D4" s="1294"/>
      <c r="E4" s="1294"/>
      <c r="F4" s="1294"/>
      <c r="G4" s="1294"/>
      <c r="H4" s="1294"/>
      <c r="I4" s="1294"/>
      <c r="J4" s="1294"/>
      <c r="K4" s="1294"/>
      <c r="L4" s="1294"/>
    </row>
    <row r="5" spans="1:16" x14ac:dyDescent="0.25">
      <c r="B5" s="1299" t="s">
        <v>1560</v>
      </c>
      <c r="C5" s="1299"/>
      <c r="D5" s="1299"/>
      <c r="E5" s="1299"/>
      <c r="F5" s="1299"/>
      <c r="G5" s="1299"/>
      <c r="H5" s="1299"/>
      <c r="I5" s="1299"/>
      <c r="J5" s="1299"/>
      <c r="K5" s="1299"/>
      <c r="L5" s="1299"/>
    </row>
    <row r="6" spans="1:16" x14ac:dyDescent="0.25">
      <c r="B6" s="1299" t="s">
        <v>4</v>
      </c>
      <c r="C6" s="1294"/>
      <c r="D6" s="1294"/>
      <c r="E6" s="1294"/>
      <c r="F6" s="1294"/>
      <c r="G6" s="1294"/>
      <c r="H6" s="1294"/>
      <c r="I6" s="1294"/>
      <c r="J6" s="1294"/>
      <c r="K6" s="1294"/>
      <c r="L6" s="1294"/>
    </row>
    <row r="7" spans="1:16" x14ac:dyDescent="0.25">
      <c r="C7" s="267"/>
      <c r="D7" s="268"/>
      <c r="E7" s="294"/>
      <c r="F7" s="294"/>
      <c r="G7" s="294"/>
      <c r="H7" s="294"/>
      <c r="I7" s="294"/>
      <c r="J7" s="294"/>
    </row>
    <row r="8" spans="1:16" s="218" customFormat="1" x14ac:dyDescent="0.25">
      <c r="B8" s="928"/>
      <c r="C8" s="946"/>
      <c r="D8" s="947" t="s">
        <v>293</v>
      </c>
      <c r="E8" s="947" t="s">
        <v>294</v>
      </c>
      <c r="F8" s="947" t="s">
        <v>295</v>
      </c>
      <c r="G8" s="947" t="s">
        <v>296</v>
      </c>
      <c r="H8" s="947" t="s">
        <v>297</v>
      </c>
      <c r="I8" s="947" t="s">
        <v>298</v>
      </c>
      <c r="J8" s="961" t="s">
        <v>299</v>
      </c>
      <c r="K8" s="961" t="s">
        <v>300</v>
      </c>
      <c r="L8" s="928"/>
      <c r="M8" s="218" t="s">
        <v>1</v>
      </c>
    </row>
    <row r="9" spans="1:16" x14ac:dyDescent="0.25">
      <c r="B9" s="948"/>
      <c r="C9" s="929"/>
      <c r="D9" s="295"/>
      <c r="E9" s="295"/>
      <c r="F9" s="295"/>
      <c r="G9" s="295"/>
      <c r="H9" s="295"/>
      <c r="I9" s="295"/>
      <c r="J9" s="304"/>
      <c r="K9" s="305" t="s">
        <v>177</v>
      </c>
      <c r="L9" s="948"/>
      <c r="M9" s="4" t="s">
        <v>1</v>
      </c>
    </row>
    <row r="10" spans="1:16" x14ac:dyDescent="0.25">
      <c r="B10" s="948"/>
      <c r="C10" s="929"/>
      <c r="D10" s="295"/>
      <c r="E10" s="295" t="s">
        <v>301</v>
      </c>
      <c r="F10" s="295" t="s">
        <v>285</v>
      </c>
      <c r="G10" s="295" t="s">
        <v>290</v>
      </c>
      <c r="H10" s="295" t="s">
        <v>290</v>
      </c>
      <c r="I10" s="295" t="s">
        <v>290</v>
      </c>
      <c r="J10" s="304" t="s">
        <v>290</v>
      </c>
      <c r="K10" s="304" t="s">
        <v>290</v>
      </c>
      <c r="L10" s="935"/>
      <c r="M10" s="4" t="s">
        <v>1</v>
      </c>
    </row>
    <row r="11" spans="1:16" x14ac:dyDescent="0.25">
      <c r="B11" s="297"/>
      <c r="C11" s="234"/>
      <c r="D11" s="299" t="s">
        <v>177</v>
      </c>
      <c r="E11" s="295" t="s">
        <v>302</v>
      </c>
      <c r="F11" s="295" t="s">
        <v>302</v>
      </c>
      <c r="G11" s="295" t="s">
        <v>302</v>
      </c>
      <c r="H11" s="295" t="s">
        <v>302</v>
      </c>
      <c r="I11" s="295" t="s">
        <v>302</v>
      </c>
      <c r="J11" s="304" t="s">
        <v>302</v>
      </c>
      <c r="K11" s="304" t="s">
        <v>286</v>
      </c>
      <c r="L11" s="270"/>
    </row>
    <row r="12" spans="1:16" x14ac:dyDescent="0.25">
      <c r="A12" s="4" t="s">
        <v>5</v>
      </c>
      <c r="B12" s="298"/>
      <c r="C12" s="278"/>
      <c r="D12" s="299" t="s">
        <v>290</v>
      </c>
      <c r="E12" s="295" t="s">
        <v>303</v>
      </c>
      <c r="F12" s="295" t="s">
        <v>303</v>
      </c>
      <c r="G12" s="295" t="s">
        <v>303</v>
      </c>
      <c r="H12" s="295" t="s">
        <v>303</v>
      </c>
      <c r="I12" s="295" t="s">
        <v>303</v>
      </c>
      <c r="J12" s="304" t="s">
        <v>303</v>
      </c>
      <c r="K12" s="304" t="s">
        <v>304</v>
      </c>
      <c r="L12" s="270"/>
      <c r="M12" s="4" t="s">
        <v>5</v>
      </c>
    </row>
    <row r="13" spans="1:16" x14ac:dyDescent="0.25">
      <c r="A13" s="4" t="s">
        <v>6</v>
      </c>
      <c r="B13" s="306" t="s">
        <v>305</v>
      </c>
      <c r="C13" s="275" t="s">
        <v>306</v>
      </c>
      <c r="D13" s="307" t="s">
        <v>302</v>
      </c>
      <c r="E13" s="301" t="s">
        <v>307</v>
      </c>
      <c r="F13" s="301" t="s">
        <v>308</v>
      </c>
      <c r="G13" s="301" t="s">
        <v>309</v>
      </c>
      <c r="H13" s="301" t="s">
        <v>310</v>
      </c>
      <c r="I13" s="301" t="s">
        <v>279</v>
      </c>
      <c r="J13" s="308" t="s">
        <v>311</v>
      </c>
      <c r="K13" s="309" t="s">
        <v>312</v>
      </c>
      <c r="L13" s="275" t="s">
        <v>8</v>
      </c>
      <c r="M13" s="4" t="s">
        <v>6</v>
      </c>
    </row>
    <row r="14" spans="1:16" x14ac:dyDescent="0.25">
      <c r="B14" s="935"/>
      <c r="C14" s="234" t="s">
        <v>313</v>
      </c>
      <c r="D14" s="234"/>
      <c r="E14" s="234"/>
      <c r="F14" s="234"/>
      <c r="G14" s="234"/>
      <c r="H14" s="234"/>
      <c r="I14" s="234"/>
      <c r="J14" s="234"/>
      <c r="K14" s="62"/>
      <c r="L14" s="935"/>
    </row>
    <row r="15" spans="1:16" x14ac:dyDescent="0.25">
      <c r="A15" s="4">
        <v>1</v>
      </c>
      <c r="B15" s="950">
        <v>303</v>
      </c>
      <c r="C15" s="234" t="s">
        <v>314</v>
      </c>
      <c r="D15" s="232">
        <v>0</v>
      </c>
      <c r="E15" s="232">
        <v>0</v>
      </c>
      <c r="F15" s="232">
        <v>0</v>
      </c>
      <c r="G15" s="232">
        <v>0</v>
      </c>
      <c r="H15" s="232">
        <v>0</v>
      </c>
      <c r="I15" s="232">
        <v>0</v>
      </c>
      <c r="J15" s="232">
        <v>0</v>
      </c>
      <c r="K15" s="58">
        <f>SUM(D15:J15)</f>
        <v>0</v>
      </c>
      <c r="L15" s="935" t="s">
        <v>258</v>
      </c>
      <c r="M15" s="4">
        <f>A15</f>
        <v>1</v>
      </c>
    </row>
    <row r="16" spans="1:16" x14ac:dyDescent="0.25">
      <c r="A16" s="4">
        <f>A15+1</f>
        <v>2</v>
      </c>
      <c r="B16" s="935">
        <v>310.10000000000002</v>
      </c>
      <c r="C16" s="234" t="s">
        <v>315</v>
      </c>
      <c r="D16" s="233">
        <v>0</v>
      </c>
      <c r="E16" s="233">
        <v>0</v>
      </c>
      <c r="F16" s="233">
        <v>0</v>
      </c>
      <c r="G16" s="233">
        <v>0</v>
      </c>
      <c r="H16" s="233">
        <v>0</v>
      </c>
      <c r="I16" s="233">
        <v>0</v>
      </c>
      <c r="J16" s="233">
        <v>0</v>
      </c>
      <c r="K16" s="52">
        <f>SUM(D16:J16)</f>
        <v>0</v>
      </c>
      <c r="L16" s="935" t="s">
        <v>258</v>
      </c>
      <c r="M16" s="4">
        <f>M15+1</f>
        <v>2</v>
      </c>
    </row>
    <row r="17" spans="1:14" x14ac:dyDescent="0.25">
      <c r="A17" s="4">
        <f t="shared" ref="A17:A38" si="0">A16+1</f>
        <v>3</v>
      </c>
      <c r="B17" s="950">
        <v>340</v>
      </c>
      <c r="C17" s="951" t="s">
        <v>316</v>
      </c>
      <c r="D17" s="233">
        <v>0</v>
      </c>
      <c r="E17" s="233">
        <v>4.554831472</v>
      </c>
      <c r="F17" s="233">
        <v>0</v>
      </c>
      <c r="G17" s="233">
        <v>0</v>
      </c>
      <c r="H17" s="233">
        <v>0</v>
      </c>
      <c r="I17" s="233">
        <v>0</v>
      </c>
      <c r="J17" s="233">
        <v>0</v>
      </c>
      <c r="K17" s="52">
        <f>SUM(D17:J17)</f>
        <v>4.554831472</v>
      </c>
      <c r="L17" s="935" t="s">
        <v>258</v>
      </c>
      <c r="M17" s="4">
        <f t="shared" ref="M17:M38" si="1">M16+1</f>
        <v>3</v>
      </c>
    </row>
    <row r="18" spans="1:14" x14ac:dyDescent="0.25">
      <c r="A18" s="4">
        <f t="shared" si="0"/>
        <v>4</v>
      </c>
      <c r="B18" s="950">
        <v>360</v>
      </c>
      <c r="C18" s="951" t="s">
        <v>316</v>
      </c>
      <c r="D18" s="233">
        <v>0</v>
      </c>
      <c r="E18" s="233">
        <v>0</v>
      </c>
      <c r="F18" s="233">
        <v>3626.3653099999983</v>
      </c>
      <c r="G18" s="233">
        <v>0</v>
      </c>
      <c r="H18" s="233">
        <v>0</v>
      </c>
      <c r="I18" s="233">
        <v>0</v>
      </c>
      <c r="J18" s="233">
        <v>0</v>
      </c>
      <c r="K18" s="52">
        <f>SUM(D18:J18)</f>
        <v>3626.3653099999983</v>
      </c>
      <c r="L18" s="935" t="s">
        <v>258</v>
      </c>
      <c r="M18" s="4">
        <f t="shared" si="1"/>
        <v>4</v>
      </c>
    </row>
    <row r="19" spans="1:14" x14ac:dyDescent="0.25">
      <c r="A19" s="4">
        <f t="shared" si="0"/>
        <v>5</v>
      </c>
      <c r="B19" s="950">
        <v>361</v>
      </c>
      <c r="C19" s="234" t="s">
        <v>317</v>
      </c>
      <c r="D19" s="233">
        <v>0</v>
      </c>
      <c r="E19" s="233">
        <v>0</v>
      </c>
      <c r="F19" s="233">
        <v>1496.2538400000008</v>
      </c>
      <c r="G19" s="233">
        <v>0</v>
      </c>
      <c r="H19" s="233">
        <v>0</v>
      </c>
      <c r="I19" s="233">
        <v>0</v>
      </c>
      <c r="J19" s="233">
        <v>0</v>
      </c>
      <c r="K19" s="52">
        <f>SUM(D19:J19)</f>
        <v>1496.2538400000008</v>
      </c>
      <c r="L19" s="935" t="s">
        <v>258</v>
      </c>
      <c r="M19" s="4">
        <f t="shared" si="1"/>
        <v>5</v>
      </c>
    </row>
    <row r="20" spans="1:14" x14ac:dyDescent="0.25">
      <c r="A20" s="4">
        <f t="shared" si="0"/>
        <v>6</v>
      </c>
      <c r="B20" s="935"/>
      <c r="C20" s="234"/>
      <c r="D20" s="234"/>
      <c r="E20" s="234"/>
      <c r="F20" s="234"/>
      <c r="G20" s="234"/>
      <c r="H20" s="234"/>
      <c r="I20" s="234"/>
      <c r="J20" s="234"/>
      <c r="K20" s="62"/>
      <c r="L20" s="935"/>
      <c r="M20" s="4">
        <f t="shared" si="1"/>
        <v>6</v>
      </c>
    </row>
    <row r="21" spans="1:14" s="1" customFormat="1" x14ac:dyDescent="0.25">
      <c r="A21" s="4">
        <f t="shared" si="0"/>
        <v>7</v>
      </c>
      <c r="B21" s="952" t="s">
        <v>318</v>
      </c>
      <c r="C21" s="953" t="s">
        <v>319</v>
      </c>
      <c r="D21" s="954">
        <f t="shared" ref="D21:I21" si="2">SUM(D15:D20)</f>
        <v>0</v>
      </c>
      <c r="E21" s="954">
        <f t="shared" si="2"/>
        <v>4.554831472</v>
      </c>
      <c r="F21" s="954">
        <f t="shared" si="2"/>
        <v>5122.6191499999986</v>
      </c>
      <c r="G21" s="954">
        <f t="shared" si="2"/>
        <v>0</v>
      </c>
      <c r="H21" s="954">
        <f t="shared" si="2"/>
        <v>0</v>
      </c>
      <c r="I21" s="954">
        <f t="shared" si="2"/>
        <v>0</v>
      </c>
      <c r="J21" s="954">
        <f>SUM(J15:J20)</f>
        <v>0</v>
      </c>
      <c r="K21" s="236">
        <f>SUM(K15:K20)</f>
        <v>5127.1739814719986</v>
      </c>
      <c r="L21" s="955" t="s">
        <v>14</v>
      </c>
      <c r="M21" s="4">
        <f t="shared" si="1"/>
        <v>7</v>
      </c>
      <c r="N21" s="4"/>
    </row>
    <row r="22" spans="1:14" x14ac:dyDescent="0.25">
      <c r="A22" s="4">
        <f t="shared" si="0"/>
        <v>8</v>
      </c>
      <c r="B22" s="935"/>
      <c r="C22" s="234"/>
      <c r="D22" s="233"/>
      <c r="E22" s="233"/>
      <c r="F22" s="233"/>
      <c r="G22" s="233"/>
      <c r="H22" s="233"/>
      <c r="I22" s="233"/>
      <c r="J22" s="233"/>
      <c r="K22" s="62"/>
      <c r="L22" s="935"/>
      <c r="M22" s="4">
        <f t="shared" si="1"/>
        <v>8</v>
      </c>
    </row>
    <row r="23" spans="1:14" x14ac:dyDescent="0.25">
      <c r="A23" s="4">
        <f t="shared" si="0"/>
        <v>9</v>
      </c>
      <c r="B23" s="950">
        <v>350</v>
      </c>
      <c r="C23" s="234" t="s">
        <v>316</v>
      </c>
      <c r="D23" s="232">
        <v>259692.10494000005</v>
      </c>
      <c r="E23" s="232">
        <v>0</v>
      </c>
      <c r="F23" s="232">
        <v>0</v>
      </c>
      <c r="G23" s="232">
        <v>0</v>
      </c>
      <c r="H23" s="232">
        <v>0</v>
      </c>
      <c r="I23" s="232">
        <v>0</v>
      </c>
      <c r="J23" s="232">
        <v>-13557.506586751999</v>
      </c>
      <c r="K23" s="58">
        <f t="shared" ref="K23:K34" si="3">SUM(D23:J23)</f>
        <v>246134.59835324806</v>
      </c>
      <c r="L23" s="935" t="s">
        <v>258</v>
      </c>
      <c r="M23" s="4">
        <f t="shared" si="1"/>
        <v>9</v>
      </c>
    </row>
    <row r="24" spans="1:14" x14ac:dyDescent="0.25">
      <c r="A24" s="4">
        <f t="shared" si="0"/>
        <v>10</v>
      </c>
      <c r="B24" s="950">
        <v>351.1</v>
      </c>
      <c r="C24" s="234" t="s">
        <v>1544</v>
      </c>
      <c r="D24" s="1159">
        <v>0</v>
      </c>
      <c r="E24" s="1159">
        <v>0</v>
      </c>
      <c r="F24" s="1159">
        <v>0</v>
      </c>
      <c r="G24" s="1159">
        <v>0</v>
      </c>
      <c r="H24" s="1159">
        <v>0</v>
      </c>
      <c r="I24" s="1159">
        <v>0</v>
      </c>
      <c r="J24" s="1159">
        <v>0</v>
      </c>
      <c r="K24" s="52">
        <f t="shared" si="3"/>
        <v>0</v>
      </c>
      <c r="L24" s="935" t="s">
        <v>258</v>
      </c>
      <c r="M24" s="4">
        <f t="shared" si="1"/>
        <v>10</v>
      </c>
    </row>
    <row r="25" spans="1:14" x14ac:dyDescent="0.25">
      <c r="A25" s="4">
        <f t="shared" si="0"/>
        <v>11</v>
      </c>
      <c r="B25" s="950">
        <v>351.2</v>
      </c>
      <c r="C25" s="234" t="s">
        <v>1545</v>
      </c>
      <c r="D25" s="1159">
        <v>0</v>
      </c>
      <c r="E25" s="1159">
        <v>0</v>
      </c>
      <c r="F25" s="1159">
        <v>0</v>
      </c>
      <c r="G25" s="1159">
        <v>0</v>
      </c>
      <c r="H25" s="1159">
        <v>0</v>
      </c>
      <c r="I25" s="1159">
        <v>0</v>
      </c>
      <c r="J25" s="1159">
        <v>0</v>
      </c>
      <c r="K25" s="52">
        <f t="shared" si="3"/>
        <v>0</v>
      </c>
      <c r="L25" s="935" t="s">
        <v>258</v>
      </c>
      <c r="M25" s="4">
        <f t="shared" si="1"/>
        <v>11</v>
      </c>
    </row>
    <row r="26" spans="1:14" x14ac:dyDescent="0.25">
      <c r="A26" s="4">
        <f t="shared" si="0"/>
        <v>12</v>
      </c>
      <c r="B26" s="950">
        <v>351.3</v>
      </c>
      <c r="C26" s="234" t="s">
        <v>1546</v>
      </c>
      <c r="D26" s="1159">
        <v>0</v>
      </c>
      <c r="E26" s="1159">
        <v>0</v>
      </c>
      <c r="F26" s="1159">
        <v>0</v>
      </c>
      <c r="G26" s="1159">
        <v>0</v>
      </c>
      <c r="H26" s="1159">
        <v>0</v>
      </c>
      <c r="I26" s="1159">
        <v>0</v>
      </c>
      <c r="J26" s="1159">
        <v>0</v>
      </c>
      <c r="K26" s="52">
        <f t="shared" si="3"/>
        <v>0</v>
      </c>
      <c r="L26" s="935" t="s">
        <v>258</v>
      </c>
      <c r="M26" s="4">
        <f t="shared" si="1"/>
        <v>12</v>
      </c>
    </row>
    <row r="27" spans="1:14" x14ac:dyDescent="0.25">
      <c r="A27" s="4">
        <f t="shared" si="0"/>
        <v>13</v>
      </c>
      <c r="B27" s="950">
        <v>352</v>
      </c>
      <c r="C27" s="234" t="s">
        <v>317</v>
      </c>
      <c r="D27" s="233">
        <v>884871.03006999998</v>
      </c>
      <c r="E27" s="233">
        <v>0</v>
      </c>
      <c r="F27" s="1159">
        <v>0</v>
      </c>
      <c r="G27" s="233">
        <v>-1928.2778199999998</v>
      </c>
      <c r="H27" s="233">
        <v>0</v>
      </c>
      <c r="I27" s="233">
        <v>0</v>
      </c>
      <c r="J27" s="233">
        <v>-121441.14931999987</v>
      </c>
      <c r="K27" s="52">
        <f t="shared" si="3"/>
        <v>761501.60293000017</v>
      </c>
      <c r="L27" s="935" t="s">
        <v>258</v>
      </c>
      <c r="M27" s="4">
        <f t="shared" si="1"/>
        <v>13</v>
      </c>
      <c r="N27" s="358"/>
    </row>
    <row r="28" spans="1:14" x14ac:dyDescent="0.25">
      <c r="A28" s="4">
        <f t="shared" si="0"/>
        <v>14</v>
      </c>
      <c r="B28" s="950">
        <v>353</v>
      </c>
      <c r="C28" s="234" t="s">
        <v>320</v>
      </c>
      <c r="D28" s="233">
        <v>2378839.4029300078</v>
      </c>
      <c r="E28" s="233">
        <v>0</v>
      </c>
      <c r="F28" s="1159">
        <v>0</v>
      </c>
      <c r="G28" s="233">
        <v>-12009.877779999999</v>
      </c>
      <c r="H28" s="233">
        <v>-1420.3928800000001</v>
      </c>
      <c r="I28" s="233">
        <v>0</v>
      </c>
      <c r="J28" s="233">
        <v>-2429.9854400000017</v>
      </c>
      <c r="K28" s="52">
        <f t="shared" si="3"/>
        <v>2362979.1468300074</v>
      </c>
      <c r="L28" s="935" t="s">
        <v>258</v>
      </c>
      <c r="M28" s="4">
        <f t="shared" si="1"/>
        <v>14</v>
      </c>
      <c r="N28" s="358"/>
    </row>
    <row r="29" spans="1:14" x14ac:dyDescent="0.25">
      <c r="A29" s="4">
        <f t="shared" si="0"/>
        <v>15</v>
      </c>
      <c r="B29" s="950">
        <v>354</v>
      </c>
      <c r="C29" s="234" t="s">
        <v>321</v>
      </c>
      <c r="D29" s="233">
        <v>939903.55375999701</v>
      </c>
      <c r="E29" s="233">
        <v>0</v>
      </c>
      <c r="F29" s="1159">
        <v>0</v>
      </c>
      <c r="G29" s="233">
        <v>0</v>
      </c>
      <c r="H29" s="233">
        <v>0</v>
      </c>
      <c r="I29" s="233">
        <v>0</v>
      </c>
      <c r="J29" s="233">
        <v>0</v>
      </c>
      <c r="K29" s="52">
        <f t="shared" si="3"/>
        <v>939903.55375999701</v>
      </c>
      <c r="L29" s="935" t="s">
        <v>258</v>
      </c>
      <c r="M29" s="4">
        <f t="shared" si="1"/>
        <v>15</v>
      </c>
      <c r="N29" s="358"/>
    </row>
    <row r="30" spans="1:14" x14ac:dyDescent="0.25">
      <c r="A30" s="4">
        <f t="shared" si="0"/>
        <v>16</v>
      </c>
      <c r="B30" s="950">
        <v>355</v>
      </c>
      <c r="C30" s="234" t="s">
        <v>322</v>
      </c>
      <c r="D30" s="233">
        <v>1231461.317300003</v>
      </c>
      <c r="E30" s="233">
        <v>0</v>
      </c>
      <c r="F30" s="1159">
        <v>0</v>
      </c>
      <c r="G30" s="233">
        <v>0</v>
      </c>
      <c r="H30" s="233">
        <v>0</v>
      </c>
      <c r="I30" s="233">
        <v>0</v>
      </c>
      <c r="J30" s="233">
        <v>0</v>
      </c>
      <c r="K30" s="52">
        <f t="shared" si="3"/>
        <v>1231461.317300003</v>
      </c>
      <c r="L30" s="935" t="s">
        <v>258</v>
      </c>
      <c r="M30" s="4">
        <f t="shared" si="1"/>
        <v>16</v>
      </c>
      <c r="N30" s="358"/>
    </row>
    <row r="31" spans="1:14" x14ac:dyDescent="0.25">
      <c r="A31" s="4">
        <f t="shared" si="0"/>
        <v>17</v>
      </c>
      <c r="B31" s="950">
        <v>356</v>
      </c>
      <c r="C31" s="234" t="s">
        <v>323</v>
      </c>
      <c r="D31" s="233">
        <v>1006112.7117600004</v>
      </c>
      <c r="E31" s="233">
        <v>0</v>
      </c>
      <c r="F31" s="1159">
        <v>0</v>
      </c>
      <c r="G31" s="233">
        <v>0</v>
      </c>
      <c r="H31" s="233">
        <v>0</v>
      </c>
      <c r="I31" s="233">
        <v>0</v>
      </c>
      <c r="J31" s="233">
        <v>0</v>
      </c>
      <c r="K31" s="52">
        <f t="shared" si="3"/>
        <v>1006112.7117600004</v>
      </c>
      <c r="L31" s="935" t="s">
        <v>258</v>
      </c>
      <c r="M31" s="4">
        <f t="shared" si="1"/>
        <v>17</v>
      </c>
      <c r="N31" s="358"/>
    </row>
    <row r="32" spans="1:14" x14ac:dyDescent="0.25">
      <c r="A32" s="4">
        <f t="shared" si="0"/>
        <v>18</v>
      </c>
      <c r="B32" s="950">
        <v>357</v>
      </c>
      <c r="C32" s="234" t="s">
        <v>324</v>
      </c>
      <c r="D32" s="233">
        <v>670833.92142000003</v>
      </c>
      <c r="E32" s="233">
        <v>0</v>
      </c>
      <c r="F32" s="1159">
        <v>0</v>
      </c>
      <c r="G32" s="233">
        <v>0</v>
      </c>
      <c r="H32" s="233">
        <v>0</v>
      </c>
      <c r="I32" s="233">
        <v>0</v>
      </c>
      <c r="J32" s="233">
        <v>0</v>
      </c>
      <c r="K32" s="52">
        <f t="shared" si="3"/>
        <v>670833.92142000003</v>
      </c>
      <c r="L32" s="935" t="s">
        <v>258</v>
      </c>
      <c r="M32" s="4">
        <f t="shared" si="1"/>
        <v>18</v>
      </c>
      <c r="N32" s="358"/>
    </row>
    <row r="33" spans="1:14" x14ac:dyDescent="0.25">
      <c r="A33" s="4">
        <f t="shared" si="0"/>
        <v>19</v>
      </c>
      <c r="B33" s="950">
        <v>358</v>
      </c>
      <c r="C33" s="234" t="s">
        <v>325</v>
      </c>
      <c r="D33" s="233">
        <v>634322.36363000027</v>
      </c>
      <c r="E33" s="233">
        <v>0</v>
      </c>
      <c r="F33" s="1159">
        <v>0</v>
      </c>
      <c r="G33" s="233">
        <v>-1726.37997</v>
      </c>
      <c r="H33" s="233">
        <v>0</v>
      </c>
      <c r="I33" s="233">
        <v>0</v>
      </c>
      <c r="J33" s="233">
        <v>0</v>
      </c>
      <c r="K33" s="52">
        <f t="shared" si="3"/>
        <v>632595.98366000026</v>
      </c>
      <c r="L33" s="935" t="s">
        <v>258</v>
      </c>
      <c r="M33" s="4">
        <f t="shared" si="1"/>
        <v>19</v>
      </c>
      <c r="N33" s="358"/>
    </row>
    <row r="34" spans="1:14" x14ac:dyDescent="0.25">
      <c r="A34" s="4">
        <f t="shared" si="0"/>
        <v>20</v>
      </c>
      <c r="B34" s="950">
        <v>359</v>
      </c>
      <c r="C34" s="234" t="s">
        <v>326</v>
      </c>
      <c r="D34" s="233">
        <v>375749.64848999982</v>
      </c>
      <c r="E34" s="233">
        <v>0</v>
      </c>
      <c r="F34" s="1159">
        <v>0</v>
      </c>
      <c r="G34" s="233">
        <v>0</v>
      </c>
      <c r="H34" s="233">
        <v>0</v>
      </c>
      <c r="I34" s="233">
        <v>0</v>
      </c>
      <c r="J34" s="233">
        <v>0</v>
      </c>
      <c r="K34" s="52">
        <f t="shared" si="3"/>
        <v>375749.64848999982</v>
      </c>
      <c r="L34" s="935" t="s">
        <v>258</v>
      </c>
      <c r="M34" s="4">
        <f t="shared" si="1"/>
        <v>20</v>
      </c>
      <c r="N34" s="358"/>
    </row>
    <row r="35" spans="1:14" x14ac:dyDescent="0.25">
      <c r="A35" s="4">
        <f t="shared" si="0"/>
        <v>21</v>
      </c>
      <c r="B35" s="950"/>
      <c r="C35" s="234"/>
      <c r="D35" s="233"/>
      <c r="F35" s="94"/>
      <c r="G35" s="94"/>
      <c r="H35" s="94"/>
      <c r="I35" s="94"/>
      <c r="J35" s="233"/>
      <c r="K35" s="53"/>
      <c r="L35" s="950"/>
      <c r="M35" s="4">
        <f t="shared" si="1"/>
        <v>21</v>
      </c>
      <c r="N35" s="358"/>
    </row>
    <row r="36" spans="1:14" x14ac:dyDescent="0.25">
      <c r="A36" s="4">
        <f t="shared" si="0"/>
        <v>22</v>
      </c>
      <c r="B36" s="958" t="s">
        <v>318</v>
      </c>
      <c r="C36" s="953" t="s">
        <v>289</v>
      </c>
      <c r="D36" s="954">
        <f>SUM(D23:D35)</f>
        <v>8381786.0543000074</v>
      </c>
      <c r="E36" s="954">
        <f t="shared" ref="E36:F36" si="4">SUM(E23:E35)</f>
        <v>0</v>
      </c>
      <c r="F36" s="954">
        <f t="shared" si="4"/>
        <v>0</v>
      </c>
      <c r="G36" s="954">
        <f>SUM(G23:G35)</f>
        <v>-15664.535569999998</v>
      </c>
      <c r="H36" s="954">
        <f>SUM(H23:H35)</f>
        <v>-1420.3928800000001</v>
      </c>
      <c r="I36" s="954">
        <f>SUM(I23:I35)</f>
        <v>0</v>
      </c>
      <c r="J36" s="954">
        <f>SUM(J23:J35)</f>
        <v>-137428.64134675186</v>
      </c>
      <c r="K36" s="236">
        <f>SUM(K23:K35)</f>
        <v>8227272.4845032562</v>
      </c>
      <c r="L36" s="959" t="s">
        <v>1557</v>
      </c>
      <c r="M36" s="4">
        <f t="shared" si="1"/>
        <v>22</v>
      </c>
      <c r="N36" s="358"/>
    </row>
    <row r="37" spans="1:14" x14ac:dyDescent="0.25">
      <c r="A37" s="4">
        <f t="shared" si="0"/>
        <v>23</v>
      </c>
      <c r="B37" s="297"/>
      <c r="D37" s="31"/>
      <c r="K37" s="6"/>
      <c r="L37" s="302"/>
      <c r="M37" s="4">
        <f t="shared" si="1"/>
        <v>23</v>
      </c>
      <c r="N37" s="358"/>
    </row>
    <row r="38" spans="1:14" x14ac:dyDescent="0.25">
      <c r="A38" s="4">
        <f t="shared" si="0"/>
        <v>24</v>
      </c>
      <c r="B38" s="303" t="s">
        <v>327</v>
      </c>
      <c r="C38" s="960"/>
      <c r="D38" s="576">
        <f>D36+D21</f>
        <v>8381786.0543000074</v>
      </c>
      <c r="E38" s="576">
        <f>E36+E21</f>
        <v>4.554831472</v>
      </c>
      <c r="F38" s="576">
        <f t="shared" ref="F38" si="5">F36+F21</f>
        <v>5122.6191499999986</v>
      </c>
      <c r="G38" s="576">
        <f>G36+G21</f>
        <v>-15664.535569999998</v>
      </c>
      <c r="H38" s="576">
        <f>H36+H21</f>
        <v>-1420.3928800000001</v>
      </c>
      <c r="I38" s="576">
        <f>I36+I21</f>
        <v>0</v>
      </c>
      <c r="J38" s="576">
        <f>J36+J21</f>
        <v>-137428.64134675186</v>
      </c>
      <c r="K38" s="63">
        <f>K36+K21</f>
        <v>8232399.6584847281</v>
      </c>
      <c r="L38" s="955" t="s">
        <v>1558</v>
      </c>
      <c r="M38" s="4">
        <f t="shared" si="1"/>
        <v>24</v>
      </c>
      <c r="N38" s="358"/>
    </row>
    <row r="39" spans="1:14" x14ac:dyDescent="0.25">
      <c r="D39" s="31"/>
    </row>
    <row r="40" spans="1:14" x14ac:dyDescent="0.25">
      <c r="D40" s="31"/>
    </row>
    <row r="41" spans="1:14" x14ac:dyDescent="0.25">
      <c r="B41" s="32" t="s">
        <v>328</v>
      </c>
      <c r="D41" s="31"/>
      <c r="K41" s="6"/>
      <c r="L41" s="6"/>
    </row>
    <row r="42" spans="1:14" x14ac:dyDescent="0.25">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94" t="s">
        <v>0</v>
      </c>
      <c r="C2" s="1294"/>
      <c r="D2" s="1294"/>
      <c r="E2" s="1294"/>
      <c r="F2" s="1294"/>
    </row>
    <row r="3" spans="1:8" x14ac:dyDescent="0.25">
      <c r="B3" s="1294" t="s">
        <v>250</v>
      </c>
      <c r="C3" s="1294"/>
      <c r="D3" s="1294"/>
      <c r="E3" s="1294"/>
      <c r="F3" s="1294"/>
    </row>
    <row r="4" spans="1:8" x14ac:dyDescent="0.25">
      <c r="B4" s="1294" t="s">
        <v>251</v>
      </c>
      <c r="C4" s="1294"/>
      <c r="D4" s="1294"/>
      <c r="E4" s="1294"/>
      <c r="F4" s="1294"/>
    </row>
    <row r="5" spans="1:8" x14ac:dyDescent="0.25">
      <c r="B5" s="1294" t="str">
        <f>'AD-1'!B5</f>
        <v>BASE PERIOD / TRUE UP PERIOD - 12/31/2023 PER BOOK</v>
      </c>
      <c r="C5" s="1294"/>
      <c r="D5" s="1294"/>
      <c r="E5" s="1294"/>
      <c r="F5" s="1294"/>
    </row>
    <row r="6" spans="1:8" x14ac:dyDescent="0.25">
      <c r="B6" s="1299" t="s">
        <v>4</v>
      </c>
      <c r="C6" s="1299"/>
      <c r="D6" s="1299"/>
      <c r="E6" s="1299"/>
      <c r="F6" s="1299"/>
    </row>
    <row r="7" spans="1:8" x14ac:dyDescent="0.25">
      <c r="B7" s="267"/>
      <c r="C7" s="268"/>
      <c r="D7" s="268"/>
      <c r="E7" s="267"/>
      <c r="F7" s="267"/>
    </row>
    <row r="8" spans="1:8" x14ac:dyDescent="0.25">
      <c r="B8" s="1294" t="s">
        <v>329</v>
      </c>
      <c r="C8" s="1306"/>
      <c r="D8" s="1306"/>
      <c r="E8" s="1306"/>
      <c r="F8" s="1306"/>
    </row>
    <row r="10" spans="1:8" x14ac:dyDescent="0.25">
      <c r="B10" s="927"/>
      <c r="C10" s="269" t="s">
        <v>177</v>
      </c>
      <c r="D10" s="928"/>
      <c r="E10" s="269"/>
      <c r="F10" s="928"/>
    </row>
    <row r="11" spans="1:8" x14ac:dyDescent="0.25">
      <c r="B11" s="270"/>
      <c r="C11" s="274" t="s">
        <v>330</v>
      </c>
      <c r="D11" s="270"/>
      <c r="E11" s="274" t="s">
        <v>330</v>
      </c>
      <c r="F11" s="270"/>
    </row>
    <row r="12" spans="1:8" x14ac:dyDescent="0.25">
      <c r="A12" s="4"/>
      <c r="B12" s="273"/>
      <c r="C12" s="218" t="s">
        <v>290</v>
      </c>
      <c r="D12" s="270"/>
      <c r="E12" s="274" t="s">
        <v>331</v>
      </c>
      <c r="F12" s="270"/>
      <c r="G12" s="4"/>
    </row>
    <row r="13" spans="1:8" x14ac:dyDescent="0.25">
      <c r="A13" s="4" t="s">
        <v>5</v>
      </c>
      <c r="B13" s="273"/>
      <c r="C13" s="218" t="s">
        <v>286</v>
      </c>
      <c r="D13" s="270"/>
      <c r="E13" s="274" t="s">
        <v>286</v>
      </c>
      <c r="F13" s="270"/>
      <c r="G13" s="4" t="s">
        <v>5</v>
      </c>
    </row>
    <row r="14" spans="1:8" x14ac:dyDescent="0.25">
      <c r="A14" s="4" t="s">
        <v>6</v>
      </c>
      <c r="B14" s="275" t="s">
        <v>255</v>
      </c>
      <c r="C14" s="930" t="s">
        <v>256</v>
      </c>
      <c r="D14" s="275" t="s">
        <v>8</v>
      </c>
      <c r="E14" s="276" t="s">
        <v>332</v>
      </c>
      <c r="F14" s="275" t="s">
        <v>8</v>
      </c>
      <c r="G14" s="4" t="s">
        <v>6</v>
      </c>
    </row>
    <row r="15" spans="1:8" x14ac:dyDescent="0.25">
      <c r="A15" s="4">
        <v>1</v>
      </c>
      <c r="B15" s="931" t="str">
        <f>'AD-1'!B14</f>
        <v>Dec-22</v>
      </c>
      <c r="C15" s="58">
        <v>0</v>
      </c>
      <c r="D15" s="936" t="s">
        <v>258</v>
      </c>
      <c r="E15" s="64">
        <v>0</v>
      </c>
      <c r="F15" s="937" t="s">
        <v>258</v>
      </c>
      <c r="G15" s="4">
        <f>A15</f>
        <v>1</v>
      </c>
      <c r="H15" s="281"/>
    </row>
    <row r="16" spans="1:8" x14ac:dyDescent="0.25">
      <c r="A16" s="4">
        <f>A15+1</f>
        <v>2</v>
      </c>
      <c r="B16" s="931" t="str">
        <f>'AD-1'!B15</f>
        <v>Jan-23</v>
      </c>
      <c r="C16" s="52">
        <v>0</v>
      </c>
      <c r="D16" s="938"/>
      <c r="E16" s="65">
        <v>0</v>
      </c>
      <c r="F16" s="937"/>
      <c r="G16" s="4">
        <f>G15+1</f>
        <v>2</v>
      </c>
      <c r="H16" s="281"/>
    </row>
    <row r="17" spans="1:8" x14ac:dyDescent="0.25">
      <c r="A17" s="4">
        <f t="shared" ref="A17:A33" si="0">A16+1</f>
        <v>3</v>
      </c>
      <c r="B17" s="934" t="s">
        <v>260</v>
      </c>
      <c r="C17" s="52">
        <v>0</v>
      </c>
      <c r="D17" s="938"/>
      <c r="E17" s="65">
        <v>0</v>
      </c>
      <c r="F17" s="937"/>
      <c r="G17" s="4">
        <f t="shared" ref="G17:G33" si="1">G16+1</f>
        <v>3</v>
      </c>
      <c r="H17" s="281"/>
    </row>
    <row r="18" spans="1:8" x14ac:dyDescent="0.25">
      <c r="A18" s="4">
        <f t="shared" si="0"/>
        <v>4</v>
      </c>
      <c r="B18" s="934" t="s">
        <v>261</v>
      </c>
      <c r="C18" s="52">
        <v>0</v>
      </c>
      <c r="D18" s="938"/>
      <c r="E18" s="65">
        <v>0</v>
      </c>
      <c r="F18" s="937"/>
      <c r="G18" s="4">
        <f t="shared" si="1"/>
        <v>4</v>
      </c>
      <c r="H18" s="281"/>
    </row>
    <row r="19" spans="1:8" x14ac:dyDescent="0.25">
      <c r="A19" s="4">
        <f t="shared" si="0"/>
        <v>5</v>
      </c>
      <c r="B19" s="934" t="s">
        <v>262</v>
      </c>
      <c r="C19" s="52">
        <v>0</v>
      </c>
      <c r="D19" s="938"/>
      <c r="E19" s="65">
        <v>0</v>
      </c>
      <c r="F19" s="937"/>
      <c r="G19" s="4">
        <f t="shared" si="1"/>
        <v>5</v>
      </c>
      <c r="H19" s="281"/>
    </row>
    <row r="20" spans="1:8" x14ac:dyDescent="0.25">
      <c r="A20" s="4">
        <f t="shared" si="0"/>
        <v>6</v>
      </c>
      <c r="B20" s="934" t="s">
        <v>263</v>
      </c>
      <c r="C20" s="52">
        <v>0</v>
      </c>
      <c r="D20" s="938"/>
      <c r="E20" s="65">
        <v>0</v>
      </c>
      <c r="F20" s="937"/>
      <c r="G20" s="4">
        <f t="shared" si="1"/>
        <v>6</v>
      </c>
      <c r="H20" s="281"/>
    </row>
    <row r="21" spans="1:8" x14ac:dyDescent="0.25">
      <c r="A21" s="4">
        <f>A20+1</f>
        <v>7</v>
      </c>
      <c r="B21" s="934" t="s">
        <v>264</v>
      </c>
      <c r="C21" s="52">
        <v>0</v>
      </c>
      <c r="D21" s="938"/>
      <c r="E21" s="65">
        <v>0</v>
      </c>
      <c r="F21" s="937"/>
      <c r="G21" s="4">
        <f>G20+1</f>
        <v>7</v>
      </c>
      <c r="H21" s="281"/>
    </row>
    <row r="22" spans="1:8" x14ac:dyDescent="0.25">
      <c r="A22" s="4">
        <f t="shared" si="0"/>
        <v>8</v>
      </c>
      <c r="B22" s="934" t="s">
        <v>265</v>
      </c>
      <c r="C22" s="52">
        <v>0</v>
      </c>
      <c r="D22" s="938"/>
      <c r="E22" s="65">
        <v>0</v>
      </c>
      <c r="F22" s="937"/>
      <c r="G22" s="4">
        <f t="shared" si="1"/>
        <v>8</v>
      </c>
      <c r="H22" s="281"/>
    </row>
    <row r="23" spans="1:8" x14ac:dyDescent="0.25">
      <c r="A23" s="4">
        <f t="shared" si="0"/>
        <v>9</v>
      </c>
      <c r="B23" s="934" t="s">
        <v>266</v>
      </c>
      <c r="C23" s="52">
        <v>0</v>
      </c>
      <c r="D23" s="938"/>
      <c r="E23" s="65">
        <v>0</v>
      </c>
      <c r="F23" s="937"/>
      <c r="G23" s="4">
        <f t="shared" si="1"/>
        <v>9</v>
      </c>
      <c r="H23" s="281"/>
    </row>
    <row r="24" spans="1:8" x14ac:dyDescent="0.25">
      <c r="A24" s="4">
        <f t="shared" si="0"/>
        <v>10</v>
      </c>
      <c r="B24" s="934" t="s">
        <v>267</v>
      </c>
      <c r="C24" s="52">
        <v>0</v>
      </c>
      <c r="D24" s="938"/>
      <c r="E24" s="65">
        <v>0</v>
      </c>
      <c r="F24" s="937"/>
      <c r="G24" s="4">
        <f t="shared" si="1"/>
        <v>10</v>
      </c>
      <c r="H24" s="281"/>
    </row>
    <row r="25" spans="1:8" x14ac:dyDescent="0.25">
      <c r="A25" s="4">
        <f t="shared" si="0"/>
        <v>11</v>
      </c>
      <c r="B25" s="934" t="s">
        <v>268</v>
      </c>
      <c r="C25" s="52">
        <v>0</v>
      </c>
      <c r="D25" s="938"/>
      <c r="E25" s="65">
        <v>0</v>
      </c>
      <c r="F25" s="937"/>
      <c r="G25" s="4">
        <f t="shared" si="1"/>
        <v>11</v>
      </c>
      <c r="H25" s="281"/>
    </row>
    <row r="26" spans="1:8" x14ac:dyDescent="0.25">
      <c r="A26" s="4">
        <f t="shared" si="0"/>
        <v>12</v>
      </c>
      <c r="B26" s="934" t="s">
        <v>269</v>
      </c>
      <c r="C26" s="52">
        <v>0</v>
      </c>
      <c r="D26" s="938"/>
      <c r="E26" s="65">
        <v>0</v>
      </c>
      <c r="F26" s="937"/>
      <c r="G26" s="4">
        <f t="shared" si="1"/>
        <v>12</v>
      </c>
      <c r="H26" s="281"/>
    </row>
    <row r="27" spans="1:8" x14ac:dyDescent="0.25">
      <c r="A27" s="4">
        <f t="shared" si="0"/>
        <v>13</v>
      </c>
      <c r="B27" s="630" t="str">
        <f>'AD-1'!B26</f>
        <v>Dec-23</v>
      </c>
      <c r="C27" s="53">
        <v>0</v>
      </c>
      <c r="D27" s="68" t="s">
        <v>258</v>
      </c>
      <c r="E27" s="53">
        <v>0</v>
      </c>
      <c r="F27" s="590" t="s">
        <v>258</v>
      </c>
      <c r="G27" s="4">
        <f t="shared" si="1"/>
        <v>13</v>
      </c>
      <c r="H27" s="281"/>
    </row>
    <row r="28" spans="1:8" x14ac:dyDescent="0.25">
      <c r="A28" s="4">
        <f t="shared" si="0"/>
        <v>14</v>
      </c>
      <c r="B28" s="278"/>
      <c r="C28" s="59"/>
      <c r="D28" s="354"/>
      <c r="E28" s="60"/>
      <c r="F28" s="939"/>
      <c r="G28" s="4">
        <f t="shared" si="1"/>
        <v>14</v>
      </c>
      <c r="H28" s="281"/>
    </row>
    <row r="29" spans="1:8" x14ac:dyDescent="0.25">
      <c r="A29" s="4">
        <f t="shared" si="0"/>
        <v>15</v>
      </c>
      <c r="B29" s="278" t="s">
        <v>271</v>
      </c>
      <c r="C29" s="55">
        <f>SUM(C15:C27)</f>
        <v>0</v>
      </c>
      <c r="D29" s="936" t="s">
        <v>272</v>
      </c>
      <c r="E29" s="55">
        <f>SUM(E15:E27)</f>
        <v>0</v>
      </c>
      <c r="F29" s="937" t="s">
        <v>272</v>
      </c>
      <c r="G29" s="4">
        <f t="shared" si="1"/>
        <v>15</v>
      </c>
      <c r="H29" s="281"/>
    </row>
    <row r="30" spans="1:8" x14ac:dyDescent="0.25">
      <c r="A30" s="4">
        <f t="shared" si="0"/>
        <v>16</v>
      </c>
      <c r="B30" s="117"/>
      <c r="C30" s="61"/>
      <c r="D30" s="94"/>
      <c r="E30" s="61"/>
      <c r="F30" s="310"/>
      <c r="G30" s="4">
        <f t="shared" si="1"/>
        <v>16</v>
      </c>
      <c r="H30" s="281"/>
    </row>
    <row r="31" spans="1:8" x14ac:dyDescent="0.25">
      <c r="A31" s="4">
        <f t="shared" si="0"/>
        <v>17</v>
      </c>
      <c r="B31" s="278"/>
      <c r="C31" s="60"/>
      <c r="D31" s="233"/>
      <c r="E31" s="60"/>
      <c r="F31" s="962"/>
      <c r="G31" s="4">
        <f t="shared" si="1"/>
        <v>17</v>
      </c>
      <c r="H31" s="281"/>
    </row>
    <row r="32" spans="1:8" x14ac:dyDescent="0.25">
      <c r="A32" s="4">
        <f t="shared" si="0"/>
        <v>18</v>
      </c>
      <c r="B32" s="278" t="s">
        <v>273</v>
      </c>
      <c r="C32" s="55">
        <f>C29/13</f>
        <v>0</v>
      </c>
      <c r="D32" s="936" t="s">
        <v>274</v>
      </c>
      <c r="E32" s="55">
        <f>E29/13</f>
        <v>0</v>
      </c>
      <c r="F32" s="937" t="s">
        <v>274</v>
      </c>
      <c r="G32" s="4">
        <f t="shared" si="1"/>
        <v>18</v>
      </c>
      <c r="H32" s="281"/>
    </row>
    <row r="33" spans="1:8" x14ac:dyDescent="0.25">
      <c r="A33" s="4">
        <f t="shared" si="0"/>
        <v>19</v>
      </c>
      <c r="B33" s="117"/>
      <c r="C33" s="61"/>
      <c r="D33" s="94"/>
      <c r="E33" s="61"/>
      <c r="F33" s="310"/>
      <c r="G33" s="4">
        <f t="shared" si="1"/>
        <v>19</v>
      </c>
      <c r="H33" s="281"/>
    </row>
    <row r="34" spans="1:8" x14ac:dyDescent="0.25">
      <c r="B34" s="31"/>
      <c r="C34" s="6"/>
      <c r="D34" s="6"/>
      <c r="E34" s="6"/>
      <c r="F34" s="282"/>
      <c r="G34" s="582"/>
      <c r="H34" s="281"/>
    </row>
    <row r="35" spans="1:8" x14ac:dyDescent="0.25">
      <c r="B35" s="293"/>
      <c r="C35" s="282"/>
      <c r="D35" s="282"/>
      <c r="E35" s="282"/>
      <c r="F35" s="282"/>
      <c r="G35" s="580"/>
      <c r="H35" s="281"/>
    </row>
    <row r="36" spans="1:8" x14ac:dyDescent="0.25">
      <c r="B36" s="31"/>
      <c r="C36" s="282"/>
      <c r="D36" s="282"/>
      <c r="E36" s="282"/>
      <c r="F36" s="282"/>
      <c r="G36" s="580"/>
      <c r="H36" s="281"/>
    </row>
    <row r="37" spans="1:8" x14ac:dyDescent="0.25">
      <c r="B37" s="31"/>
      <c r="C37" s="282"/>
      <c r="D37" s="282"/>
      <c r="E37" s="282"/>
      <c r="F37" s="282"/>
      <c r="G37" s="580"/>
      <c r="H37" s="281"/>
    </row>
    <row r="38" spans="1:8" x14ac:dyDescent="0.25">
      <c r="B38" s="31"/>
      <c r="C38" s="282"/>
      <c r="D38" s="282"/>
      <c r="E38" s="282"/>
      <c r="F38" s="282"/>
      <c r="G38" s="580"/>
      <c r="H38" s="281"/>
    </row>
    <row r="39" spans="1:8" x14ac:dyDescent="0.25">
      <c r="C39" s="281"/>
      <c r="D39" s="281"/>
      <c r="E39" s="281"/>
      <c r="F39" s="281"/>
      <c r="G39" s="580"/>
      <c r="H39" s="2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94" t="s">
        <v>0</v>
      </c>
      <c r="C2" s="1294"/>
      <c r="D2" s="1294"/>
    </row>
    <row r="3" spans="1:6" x14ac:dyDescent="0.25">
      <c r="B3" s="1294" t="s">
        <v>250</v>
      </c>
      <c r="C3" s="1294"/>
      <c r="D3" s="1294"/>
    </row>
    <row r="4" spans="1:6" x14ac:dyDescent="0.25">
      <c r="B4" s="1294" t="s">
        <v>251</v>
      </c>
      <c r="C4" s="1294"/>
      <c r="D4" s="1294"/>
    </row>
    <row r="5" spans="1:6" x14ac:dyDescent="0.25">
      <c r="B5" s="1294" t="str">
        <f>'AD-1'!B5</f>
        <v>BASE PERIOD / TRUE UP PERIOD - 12/31/2023 PER BOOK</v>
      </c>
      <c r="C5" s="1294"/>
      <c r="D5" s="1294"/>
    </row>
    <row r="6" spans="1:6" x14ac:dyDescent="0.25">
      <c r="B6" s="1299" t="s">
        <v>4</v>
      </c>
      <c r="C6" s="1299"/>
      <c r="D6" s="1299"/>
    </row>
    <row r="7" spans="1:6" x14ac:dyDescent="0.25">
      <c r="B7" s="267"/>
      <c r="C7" s="267"/>
      <c r="D7" s="267"/>
    </row>
    <row r="8" spans="1:6" x14ac:dyDescent="0.25">
      <c r="B8" s="1294" t="s">
        <v>333</v>
      </c>
      <c r="C8" s="1294"/>
      <c r="D8" s="1294"/>
    </row>
    <row r="10" spans="1:6" x14ac:dyDescent="0.25">
      <c r="B10" s="311"/>
      <c r="C10" s="323" t="s">
        <v>334</v>
      </c>
      <c r="D10" s="312"/>
      <c r="E10" s="4"/>
    </row>
    <row r="11" spans="1:6" x14ac:dyDescent="0.25">
      <c r="A11" s="4" t="s">
        <v>5</v>
      </c>
      <c r="B11" s="298"/>
      <c r="C11" s="270" t="s">
        <v>335</v>
      </c>
      <c r="D11" s="313"/>
      <c r="E11" s="4" t="s">
        <v>5</v>
      </c>
    </row>
    <row r="12" spans="1:6" x14ac:dyDescent="0.25">
      <c r="A12" s="4" t="s">
        <v>6</v>
      </c>
      <c r="B12" s="306" t="s">
        <v>255</v>
      </c>
      <c r="C12" s="275" t="s">
        <v>336</v>
      </c>
      <c r="D12" s="276" t="s">
        <v>8</v>
      </c>
      <c r="E12" s="4" t="s">
        <v>6</v>
      </c>
    </row>
    <row r="13" spans="1:6" x14ac:dyDescent="0.25">
      <c r="A13" s="4"/>
      <c r="B13" s="314"/>
      <c r="C13" s="963"/>
      <c r="D13" s="315"/>
      <c r="E13" s="4"/>
    </row>
    <row r="14" spans="1:6" x14ac:dyDescent="0.25">
      <c r="A14" s="4">
        <v>1</v>
      </c>
      <c r="B14" s="931" t="str">
        <f>'AD-5'!B15</f>
        <v>Dec-22</v>
      </c>
      <c r="C14" s="232">
        <v>112870.21667000001</v>
      </c>
      <c r="D14" s="316" t="s">
        <v>259</v>
      </c>
      <c r="E14" s="4">
        <f>A14</f>
        <v>1</v>
      </c>
      <c r="F14" s="277"/>
    </row>
    <row r="15" spans="1:6" x14ac:dyDescent="0.25">
      <c r="A15" s="4">
        <f>A14+1</f>
        <v>2</v>
      </c>
      <c r="B15" s="934"/>
      <c r="C15" s="945"/>
      <c r="D15" s="318"/>
      <c r="E15" s="4">
        <f>E14+1</f>
        <v>2</v>
      </c>
    </row>
    <row r="16" spans="1:6" x14ac:dyDescent="0.25">
      <c r="A16" s="4">
        <f t="shared" ref="A16:A20" si="0">A15+1</f>
        <v>3</v>
      </c>
      <c r="B16" s="931" t="str">
        <f>'AD-5'!B17</f>
        <v>Dec-23</v>
      </c>
      <c r="C16" s="233">
        <v>125194.79648999999</v>
      </c>
      <c r="D16" s="316" t="s">
        <v>270</v>
      </c>
      <c r="E16" s="4">
        <f t="shared" ref="E16:E20" si="1">E15+1</f>
        <v>3</v>
      </c>
      <c r="F16" s="277"/>
    </row>
    <row r="17" spans="1:5" x14ac:dyDescent="0.25">
      <c r="A17" s="4">
        <f t="shared" si="0"/>
        <v>4</v>
      </c>
      <c r="B17" s="319"/>
      <c r="C17" s="66"/>
      <c r="D17" s="320"/>
      <c r="E17" s="4">
        <f t="shared" si="1"/>
        <v>4</v>
      </c>
    </row>
    <row r="18" spans="1:5" x14ac:dyDescent="0.25">
      <c r="A18" s="4">
        <f t="shared" si="0"/>
        <v>5</v>
      </c>
      <c r="B18" s="311"/>
      <c r="C18" s="963"/>
      <c r="D18" s="315"/>
      <c r="E18" s="4">
        <f t="shared" si="1"/>
        <v>5</v>
      </c>
    </row>
    <row r="19" spans="1:5" x14ac:dyDescent="0.25">
      <c r="A19" s="4">
        <f t="shared" si="0"/>
        <v>6</v>
      </c>
      <c r="B19" s="319" t="s">
        <v>287</v>
      </c>
      <c r="C19" s="964">
        <f>(C14+C16)/2</f>
        <v>119032.50658</v>
      </c>
      <c r="D19" s="569" t="s">
        <v>288</v>
      </c>
      <c r="E19" s="4">
        <f t="shared" si="1"/>
        <v>6</v>
      </c>
    </row>
    <row r="20" spans="1:5" x14ac:dyDescent="0.25">
      <c r="A20" s="4">
        <f t="shared" si="0"/>
        <v>7</v>
      </c>
      <c r="B20" s="328"/>
      <c r="C20" s="67"/>
      <c r="D20" s="61"/>
      <c r="E20" s="4">
        <f t="shared" si="1"/>
        <v>7</v>
      </c>
    </row>
    <row r="21" spans="1:5" x14ac:dyDescent="0.25">
      <c r="A21" s="4"/>
      <c r="B21" s="31"/>
      <c r="C21" s="29"/>
      <c r="D21" s="31"/>
      <c r="E21" s="4"/>
    </row>
    <row r="22" spans="1:5" x14ac:dyDescent="0.25">
      <c r="B22" s="31"/>
      <c r="C22" s="31"/>
      <c r="D22" s="31"/>
      <c r="E22" s="4"/>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25.28515625" style="1" customWidth="1"/>
    <col min="7" max="7" width="7.28515625" style="1" customWidth="1"/>
    <col min="8" max="8" width="17.42578125" style="1" customWidth="1"/>
    <col min="9" max="9" width="14" style="1" customWidth="1"/>
    <col min="10" max="10" width="13.42578125" style="1" customWidth="1"/>
    <col min="11" max="16384" width="9.28515625" style="1"/>
  </cols>
  <sheetData>
    <row r="2" spans="1:6" x14ac:dyDescent="0.25">
      <c r="B2" s="1294" t="s">
        <v>0</v>
      </c>
      <c r="C2" s="1294"/>
      <c r="D2" s="1294"/>
    </row>
    <row r="3" spans="1:6" x14ac:dyDescent="0.25">
      <c r="B3" s="1294" t="s">
        <v>250</v>
      </c>
      <c r="C3" s="1294"/>
      <c r="D3" s="1294"/>
    </row>
    <row r="4" spans="1:6" x14ac:dyDescent="0.25">
      <c r="B4" s="1294" t="s">
        <v>251</v>
      </c>
      <c r="C4" s="1294"/>
      <c r="D4" s="1294"/>
    </row>
    <row r="5" spans="1:6" x14ac:dyDescent="0.25">
      <c r="B5" s="1294" t="str">
        <f>'AD-1'!B5</f>
        <v>BASE PERIOD / TRUE UP PERIOD - 12/31/2023 PER BOOK</v>
      </c>
      <c r="C5" s="1294"/>
      <c r="D5" s="1294"/>
    </row>
    <row r="6" spans="1:6" x14ac:dyDescent="0.25">
      <c r="B6" s="1299" t="s">
        <v>4</v>
      </c>
      <c r="C6" s="1299"/>
      <c r="D6" s="1299"/>
    </row>
    <row r="7" spans="1:6" x14ac:dyDescent="0.25">
      <c r="B7" s="267"/>
      <c r="C7" s="267"/>
      <c r="D7" s="267"/>
    </row>
    <row r="8" spans="1:6" x14ac:dyDescent="0.25">
      <c r="B8" s="1294" t="s">
        <v>337</v>
      </c>
      <c r="C8" s="1294"/>
      <c r="D8" s="1294"/>
      <c r="E8" s="4"/>
    </row>
    <row r="9" spans="1:6" x14ac:dyDescent="0.25">
      <c r="A9" s="4"/>
      <c r="E9" s="4"/>
    </row>
    <row r="10" spans="1:6" x14ac:dyDescent="0.25">
      <c r="A10" s="4"/>
      <c r="B10" s="311"/>
      <c r="C10" s="323" t="s">
        <v>334</v>
      </c>
      <c r="D10" s="965"/>
      <c r="E10" s="4"/>
    </row>
    <row r="11" spans="1:6" x14ac:dyDescent="0.25">
      <c r="A11" s="4" t="s">
        <v>5</v>
      </c>
      <c r="B11" s="298"/>
      <c r="C11" s="270" t="s">
        <v>338</v>
      </c>
      <c r="D11" s="929"/>
      <c r="E11" s="4" t="s">
        <v>5</v>
      </c>
    </row>
    <row r="12" spans="1:6" x14ac:dyDescent="0.25">
      <c r="A12" s="4" t="s">
        <v>6</v>
      </c>
      <c r="B12" s="306" t="s">
        <v>255</v>
      </c>
      <c r="C12" s="275" t="s">
        <v>336</v>
      </c>
      <c r="D12" s="275" t="s">
        <v>8</v>
      </c>
      <c r="E12" s="4" t="s">
        <v>6</v>
      </c>
    </row>
    <row r="13" spans="1:6" x14ac:dyDescent="0.25">
      <c r="A13" s="4"/>
      <c r="B13" s="314"/>
      <c r="C13" s="963"/>
      <c r="D13" s="966"/>
      <c r="E13" s="4"/>
    </row>
    <row r="14" spans="1:6" x14ac:dyDescent="0.25">
      <c r="A14" s="4">
        <v>1</v>
      </c>
      <c r="B14" s="931" t="str">
        <f>'AD-8'!B14</f>
        <v>Dec-22</v>
      </c>
      <c r="C14" s="232">
        <v>571823.00716999953</v>
      </c>
      <c r="D14" s="941" t="s">
        <v>259</v>
      </c>
      <c r="E14" s="4">
        <f>A14</f>
        <v>1</v>
      </c>
      <c r="F14" s="277"/>
    </row>
    <row r="15" spans="1:6" x14ac:dyDescent="0.25">
      <c r="A15" s="4">
        <f>A14+1</f>
        <v>2</v>
      </c>
      <c r="B15" s="934"/>
      <c r="C15" s="945"/>
      <c r="D15" s="945"/>
      <c r="E15" s="4">
        <f>E14+1</f>
        <v>2</v>
      </c>
    </row>
    <row r="16" spans="1:6" x14ac:dyDescent="0.25">
      <c r="A16" s="4">
        <f t="shared" ref="A16:A20" si="0">A15+1</f>
        <v>3</v>
      </c>
      <c r="B16" s="931" t="str">
        <f>'AD-8'!B16</f>
        <v>Dec-23</v>
      </c>
      <c r="C16" s="233">
        <v>614792.31672999891</v>
      </c>
      <c r="D16" s="941" t="s">
        <v>270</v>
      </c>
      <c r="E16" s="4">
        <f t="shared" ref="E16:E20" si="1">E15+1</f>
        <v>3</v>
      </c>
      <c r="F16" s="277"/>
    </row>
    <row r="17" spans="1:5" x14ac:dyDescent="0.25">
      <c r="A17" s="4">
        <f t="shared" si="0"/>
        <v>4</v>
      </c>
      <c r="B17" s="319"/>
      <c r="C17" s="66"/>
      <c r="D17" s="66"/>
      <c r="E17" s="4">
        <f t="shared" si="1"/>
        <v>4</v>
      </c>
    </row>
    <row r="18" spans="1:5" x14ac:dyDescent="0.25">
      <c r="A18" s="4">
        <f t="shared" si="0"/>
        <v>5</v>
      </c>
      <c r="B18" s="311"/>
      <c r="C18" s="963"/>
      <c r="D18" s="966"/>
      <c r="E18" s="4">
        <f t="shared" si="1"/>
        <v>5</v>
      </c>
    </row>
    <row r="19" spans="1:5" x14ac:dyDescent="0.25">
      <c r="A19" s="4">
        <f t="shared" si="0"/>
        <v>6</v>
      </c>
      <c r="B19" s="319" t="s">
        <v>287</v>
      </c>
      <c r="C19" s="964">
        <f>(C14+C16)/2</f>
        <v>593307.66194999916</v>
      </c>
      <c r="D19" s="942" t="s">
        <v>288</v>
      </c>
      <c r="E19" s="4">
        <f t="shared" si="1"/>
        <v>6</v>
      </c>
    </row>
    <row r="20" spans="1:5" x14ac:dyDescent="0.25">
      <c r="A20" s="4">
        <f t="shared" si="0"/>
        <v>7</v>
      </c>
      <c r="B20" s="328"/>
      <c r="C20" s="67"/>
      <c r="D20" s="93"/>
      <c r="E20" s="4">
        <f t="shared" si="1"/>
        <v>7</v>
      </c>
    </row>
    <row r="21" spans="1:5" x14ac:dyDescent="0.25">
      <c r="A21" s="4"/>
      <c r="B21" s="31"/>
      <c r="C21" s="29"/>
      <c r="D21" s="31"/>
      <c r="E21" s="4"/>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workbookViewId="0">
      <selection activeCell="D14" sqref="D14"/>
    </sheetView>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94" t="s">
        <v>0</v>
      </c>
      <c r="C2" s="1294"/>
      <c r="D2" s="1294"/>
      <c r="E2" s="1294"/>
      <c r="G2"/>
    </row>
    <row r="3" spans="1:7" x14ac:dyDescent="0.25">
      <c r="B3" s="1294" t="s">
        <v>250</v>
      </c>
      <c r="C3" s="1294"/>
      <c r="D3" s="1294"/>
      <c r="E3" s="1294"/>
    </row>
    <row r="4" spans="1:7" x14ac:dyDescent="0.25">
      <c r="B4" s="1294" t="s">
        <v>251</v>
      </c>
      <c r="C4" s="1294"/>
      <c r="D4" s="1294"/>
      <c r="E4" s="1294"/>
    </row>
    <row r="5" spans="1:7" x14ac:dyDescent="0.25">
      <c r="B5" s="1294" t="str">
        <f>'AD-1'!B5</f>
        <v>BASE PERIOD / TRUE UP PERIOD - 12/31/2023 PER BOOK</v>
      </c>
      <c r="C5" s="1294"/>
      <c r="D5" s="1294"/>
      <c r="E5" s="1294"/>
    </row>
    <row r="6" spans="1:7" x14ac:dyDescent="0.25">
      <c r="B6" s="1299" t="s">
        <v>4</v>
      </c>
      <c r="C6" s="1299"/>
      <c r="D6" s="1299"/>
      <c r="E6" s="1299"/>
    </row>
    <row r="7" spans="1:7" x14ac:dyDescent="0.25">
      <c r="B7" s="267"/>
      <c r="C7" s="267"/>
      <c r="D7" s="267"/>
      <c r="E7" s="267"/>
    </row>
    <row r="8" spans="1:7" x14ac:dyDescent="0.25">
      <c r="B8" s="1294" t="s">
        <v>339</v>
      </c>
      <c r="C8" s="1294"/>
      <c r="D8" s="1294"/>
      <c r="E8" s="1294"/>
      <c r="F8" s="4"/>
    </row>
    <row r="9" spans="1:7" x14ac:dyDescent="0.25">
      <c r="A9" s="4"/>
      <c r="F9" s="4"/>
    </row>
    <row r="10" spans="1:7" x14ac:dyDescent="0.25">
      <c r="A10" s="4" t="s">
        <v>5</v>
      </c>
      <c r="B10" s="321"/>
      <c r="C10" s="321"/>
      <c r="D10" s="322"/>
      <c r="E10" s="323"/>
      <c r="F10" s="4" t="s">
        <v>5</v>
      </c>
    </row>
    <row r="11" spans="1:7" x14ac:dyDescent="0.25">
      <c r="A11" s="4" t="s">
        <v>6</v>
      </c>
      <c r="B11" s="306" t="s">
        <v>255</v>
      </c>
      <c r="C11" s="306" t="s">
        <v>306</v>
      </c>
      <c r="D11" s="306" t="s">
        <v>7</v>
      </c>
      <c r="E11" s="275" t="s">
        <v>8</v>
      </c>
      <c r="F11" s="4" t="s">
        <v>6</v>
      </c>
    </row>
    <row r="12" spans="1:7" x14ac:dyDescent="0.25">
      <c r="A12" s="4"/>
      <c r="B12" s="324"/>
      <c r="C12" s="324"/>
      <c r="D12" s="935"/>
      <c r="E12" s="325"/>
      <c r="F12" s="4"/>
    </row>
    <row r="13" spans="1:7" x14ac:dyDescent="0.25">
      <c r="A13" s="4">
        <v>1</v>
      </c>
      <c r="B13" s="629" t="str">
        <f>'AD-9'!B14</f>
        <v>Dec-22</v>
      </c>
      <c r="C13" s="326" t="s">
        <v>340</v>
      </c>
      <c r="D13" s="570">
        <v>2126037.125</v>
      </c>
      <c r="E13" s="570" t="s">
        <v>341</v>
      </c>
      <c r="F13" s="4">
        <f>A13</f>
        <v>1</v>
      </c>
    </row>
    <row r="14" spans="1:7" x14ac:dyDescent="0.25">
      <c r="A14" s="4">
        <f>A13+1</f>
        <v>2</v>
      </c>
      <c r="B14" s="326"/>
      <c r="C14" s="326" t="s">
        <v>342</v>
      </c>
      <c r="D14" s="247">
        <v>0.73170000000000002</v>
      </c>
      <c r="E14" s="967" t="s">
        <v>343</v>
      </c>
      <c r="F14" s="4">
        <f>F13+1</f>
        <v>2</v>
      </c>
    </row>
    <row r="15" spans="1:7" x14ac:dyDescent="0.25">
      <c r="A15" s="4">
        <f t="shared" ref="A15:A22" si="0">A14+1</f>
        <v>3</v>
      </c>
      <c r="B15" s="326"/>
      <c r="C15" s="326" t="s">
        <v>344</v>
      </c>
      <c r="D15" s="968">
        <f>D13*D14</f>
        <v>1555621.3643625001</v>
      </c>
      <c r="E15" s="941" t="s">
        <v>345</v>
      </c>
      <c r="F15" s="4">
        <f t="shared" ref="F15:F23" si="1">F14+1</f>
        <v>3</v>
      </c>
    </row>
    <row r="16" spans="1:7" x14ac:dyDescent="0.25">
      <c r="A16" s="4">
        <f t="shared" si="0"/>
        <v>4</v>
      </c>
      <c r="B16" s="326"/>
      <c r="C16" s="326"/>
      <c r="D16" s="936"/>
      <c r="E16" s="941"/>
      <c r="F16" s="4">
        <f t="shared" si="1"/>
        <v>4</v>
      </c>
    </row>
    <row r="17" spans="1:7" x14ac:dyDescent="0.25">
      <c r="A17" s="4">
        <f t="shared" si="0"/>
        <v>5</v>
      </c>
      <c r="B17" s="629" t="str">
        <f>'AD-9'!B16</f>
        <v>Dec-23</v>
      </c>
      <c r="C17" s="326" t="s">
        <v>340</v>
      </c>
      <c r="D17" s="570">
        <v>2451965.4819999998</v>
      </c>
      <c r="E17" s="570" t="s">
        <v>346</v>
      </c>
      <c r="F17" s="4">
        <f t="shared" si="1"/>
        <v>5</v>
      </c>
    </row>
    <row r="18" spans="1:7" x14ac:dyDescent="0.25">
      <c r="A18" s="4">
        <f t="shared" si="0"/>
        <v>6</v>
      </c>
      <c r="B18" s="326"/>
      <c r="C18" s="326" t="s">
        <v>342</v>
      </c>
      <c r="D18" s="247">
        <v>0.73899999999999999</v>
      </c>
      <c r="E18" s="967" t="s">
        <v>343</v>
      </c>
      <c r="F18" s="4">
        <f t="shared" si="1"/>
        <v>6</v>
      </c>
      <c r="G18" s="255"/>
    </row>
    <row r="19" spans="1:7" x14ac:dyDescent="0.25">
      <c r="A19" s="4">
        <f t="shared" si="0"/>
        <v>7</v>
      </c>
      <c r="B19" s="326"/>
      <c r="C19" s="326" t="s">
        <v>344</v>
      </c>
      <c r="D19" s="570">
        <f>D17*D18</f>
        <v>1812002.4911979998</v>
      </c>
      <c r="E19" s="942" t="s">
        <v>347</v>
      </c>
      <c r="F19" s="4">
        <f t="shared" si="1"/>
        <v>7</v>
      </c>
    </row>
    <row r="20" spans="1:7" x14ac:dyDescent="0.25">
      <c r="A20" s="4">
        <f t="shared" si="0"/>
        <v>8</v>
      </c>
      <c r="B20" s="327"/>
      <c r="C20" s="306"/>
      <c r="D20" s="68"/>
      <c r="E20" s="291"/>
      <c r="F20" s="4">
        <f t="shared" si="1"/>
        <v>8</v>
      </c>
    </row>
    <row r="21" spans="1:7" x14ac:dyDescent="0.25">
      <c r="A21" s="4">
        <f t="shared" si="0"/>
        <v>9</v>
      </c>
      <c r="B21" s="311"/>
      <c r="D21" s="354"/>
      <c r="E21" s="278"/>
      <c r="F21" s="4">
        <f t="shared" si="1"/>
        <v>9</v>
      </c>
    </row>
    <row r="22" spans="1:7" x14ac:dyDescent="0.25">
      <c r="A22" s="4">
        <f t="shared" si="0"/>
        <v>10</v>
      </c>
      <c r="B22" s="319" t="s">
        <v>287</v>
      </c>
      <c r="D22" s="964">
        <f>(D15+D19)/2</f>
        <v>1683811.9277802501</v>
      </c>
      <c r="E22" s="935" t="s">
        <v>348</v>
      </c>
      <c r="F22" s="4">
        <f t="shared" si="1"/>
        <v>10</v>
      </c>
    </row>
    <row r="23" spans="1:7" x14ac:dyDescent="0.25">
      <c r="A23" s="4">
        <f t="shared" ref="A23" si="2">A22+1</f>
        <v>11</v>
      </c>
      <c r="B23" s="328"/>
      <c r="C23" s="969"/>
      <c r="D23" s="67"/>
      <c r="E23" s="66"/>
      <c r="F23" s="4">
        <f t="shared" si="1"/>
        <v>11</v>
      </c>
    </row>
    <row r="24" spans="1:7" x14ac:dyDescent="0.25">
      <c r="A24" s="4"/>
      <c r="B24" s="31"/>
      <c r="C24" s="31"/>
      <c r="D24" s="31"/>
      <c r="E24" s="31"/>
      <c r="F24" s="4"/>
    </row>
    <row r="25" spans="1:7" x14ac:dyDescent="0.25">
      <c r="A25" s="4"/>
      <c r="B25" s="31"/>
      <c r="C25" s="31"/>
      <c r="D25" s="31"/>
      <c r="E25" s="31"/>
    </row>
    <row r="26" spans="1:7" x14ac:dyDescent="0.25">
      <c r="A26" s="4"/>
      <c r="B26" s="31"/>
      <c r="C26" s="31"/>
      <c r="D26" s="31"/>
      <c r="E26"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workbookViewId="0"/>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294" t="s">
        <v>0</v>
      </c>
      <c r="C2" s="1294"/>
      <c r="D2" s="1294"/>
      <c r="E2" s="1294"/>
      <c r="F2" s="1294"/>
      <c r="G2" s="1294"/>
      <c r="H2" s="1294"/>
      <c r="I2" s="1294"/>
      <c r="J2" s="1294"/>
      <c r="K2" s="1294"/>
      <c r="L2" s="4"/>
    </row>
    <row r="3" spans="1:14" x14ac:dyDescent="0.25">
      <c r="B3" s="1294" t="s">
        <v>349</v>
      </c>
      <c r="C3" s="1294"/>
      <c r="D3" s="1294"/>
      <c r="E3" s="1294"/>
      <c r="F3" s="1294"/>
      <c r="G3" s="1294"/>
      <c r="H3" s="1294"/>
      <c r="I3" s="1294"/>
      <c r="J3" s="1294"/>
      <c r="K3" s="1294"/>
      <c r="L3" s="4"/>
    </row>
    <row r="4" spans="1:14" x14ac:dyDescent="0.25">
      <c r="B4" s="1294" t="s">
        <v>350</v>
      </c>
      <c r="C4" s="1294"/>
      <c r="D4" s="1294"/>
      <c r="E4" s="1294"/>
      <c r="F4" s="1294"/>
      <c r="G4" s="1294"/>
      <c r="H4" s="1294"/>
      <c r="I4" s="1294"/>
      <c r="J4" s="1294"/>
      <c r="K4" s="1294"/>
      <c r="L4" s="4"/>
    </row>
    <row r="5" spans="1:14" x14ac:dyDescent="0.25">
      <c r="B5" s="1300" t="str">
        <f>'Stmt AD'!B5</f>
        <v>Base Period &amp; True-Up Period 12 - Months Ending December 31, 2023</v>
      </c>
      <c r="C5" s="1300"/>
      <c r="D5" s="1300"/>
      <c r="E5" s="1300"/>
      <c r="F5" s="1300"/>
      <c r="G5" s="1300"/>
      <c r="H5" s="1300"/>
      <c r="I5" s="1300"/>
      <c r="J5" s="1300"/>
      <c r="K5" s="1300"/>
      <c r="L5" s="4"/>
      <c r="N5" s="1"/>
    </row>
    <row r="6" spans="1:14" x14ac:dyDescent="0.25">
      <c r="B6" s="1299" t="s">
        <v>4</v>
      </c>
      <c r="C6" s="1295"/>
      <c r="D6" s="1295"/>
      <c r="E6" s="1295"/>
      <c r="F6" s="1295"/>
      <c r="G6" s="1295"/>
      <c r="H6" s="1295"/>
      <c r="I6" s="1295"/>
      <c r="J6" s="1295"/>
      <c r="K6" s="1295"/>
      <c r="L6" s="4"/>
      <c r="N6" s="329"/>
    </row>
    <row r="7" spans="1:14" x14ac:dyDescent="0.25">
      <c r="B7" s="4"/>
      <c r="D7" s="4"/>
      <c r="E7" s="4"/>
      <c r="F7" s="4"/>
      <c r="G7" s="4"/>
      <c r="H7" s="218"/>
      <c r="I7" s="218"/>
      <c r="J7" s="218"/>
      <c r="K7" s="4"/>
      <c r="L7" s="4"/>
    </row>
    <row r="8" spans="1:14" x14ac:dyDescent="0.25">
      <c r="A8" s="4" t="s">
        <v>5</v>
      </c>
      <c r="B8" s="218"/>
      <c r="C8" s="4" t="s">
        <v>205</v>
      </c>
      <c r="D8" s="218"/>
      <c r="E8" s="34" t="s">
        <v>184</v>
      </c>
      <c r="F8" s="4"/>
      <c r="G8" s="34" t="s">
        <v>185</v>
      </c>
      <c r="H8" s="4"/>
      <c r="I8" s="34" t="s">
        <v>206</v>
      </c>
      <c r="J8" s="218"/>
      <c r="K8" s="4"/>
      <c r="L8" s="4" t="s">
        <v>5</v>
      </c>
    </row>
    <row r="9" spans="1:14" x14ac:dyDescent="0.25">
      <c r="A9" s="4" t="s">
        <v>6</v>
      </c>
      <c r="B9" s="218"/>
      <c r="C9" s="849" t="s">
        <v>207</v>
      </c>
      <c r="D9" s="218"/>
      <c r="E9" s="970">
        <f>'Stmt AD'!E9</f>
        <v>44926</v>
      </c>
      <c r="F9" s="218"/>
      <c r="G9" s="970">
        <f>'Stmt AD'!G9</f>
        <v>45291</v>
      </c>
      <c r="H9" s="218"/>
      <c r="I9" s="850" t="s">
        <v>208</v>
      </c>
      <c r="J9" s="218"/>
      <c r="K9" s="849" t="s">
        <v>8</v>
      </c>
      <c r="L9" s="4" t="s">
        <v>6</v>
      </c>
      <c r="N9" s="1094"/>
    </row>
    <row r="10" spans="1:14" x14ac:dyDescent="0.25">
      <c r="B10" s="4"/>
      <c r="D10" s="4"/>
      <c r="E10" s="4"/>
      <c r="F10" s="4"/>
      <c r="G10" s="4"/>
      <c r="H10" s="4"/>
      <c r="I10" s="4"/>
      <c r="J10" s="4"/>
      <c r="K10" s="4"/>
      <c r="L10" s="4"/>
      <c r="N10" s="825"/>
    </row>
    <row r="11" spans="1:14" ht="18.75" x14ac:dyDescent="0.25">
      <c r="A11" s="4">
        <v>1</v>
      </c>
      <c r="B11" s="31" t="s">
        <v>351</v>
      </c>
      <c r="C11" s="4" t="s">
        <v>352</v>
      </c>
      <c r="D11" s="4"/>
      <c r="E11" s="69"/>
      <c r="F11" s="35"/>
      <c r="G11" s="69"/>
      <c r="H11" s="39"/>
      <c r="I11" s="40">
        <f>'AE-1'!F31</f>
        <v>1933499.1032278647</v>
      </c>
      <c r="J11" s="71"/>
      <c r="K11" s="4" t="s">
        <v>353</v>
      </c>
      <c r="L11" s="4">
        <f>A11</f>
        <v>1</v>
      </c>
      <c r="N11" s="1094"/>
    </row>
    <row r="12" spans="1:14" x14ac:dyDescent="0.25">
      <c r="A12" s="4">
        <f>A11+1</f>
        <v>2</v>
      </c>
      <c r="E12" s="70"/>
      <c r="G12" s="70"/>
      <c r="H12" s="41"/>
      <c r="I12" s="70"/>
      <c r="J12" s="41"/>
      <c r="K12" s="330"/>
      <c r="L12" s="4">
        <f>L11+1</f>
        <v>2</v>
      </c>
      <c r="N12" s="825"/>
    </row>
    <row r="13" spans="1:14" ht="18.75" x14ac:dyDescent="0.25">
      <c r="A13" s="4">
        <f t="shared" ref="A13:A29" si="0">+A12+1</f>
        <v>3</v>
      </c>
      <c r="B13" s="31" t="s">
        <v>354</v>
      </c>
      <c r="E13" s="40">
        <f>'AE-2'!C14</f>
        <v>69951.332410000017</v>
      </c>
      <c r="F13" s="69"/>
      <c r="G13" s="40">
        <f>'AE-2'!C16</f>
        <v>76610.14694999998</v>
      </c>
      <c r="H13" s="71"/>
      <c r="I13" s="38">
        <f>(E13+G13)/2</f>
        <v>73280.739679999999</v>
      </c>
      <c r="J13" s="71"/>
      <c r="K13" s="4" t="s">
        <v>355</v>
      </c>
      <c r="L13" s="4">
        <f t="shared" ref="L13:L29" si="1">+L12+1</f>
        <v>3</v>
      </c>
      <c r="N13" s="825"/>
    </row>
    <row r="14" spans="1:14" x14ac:dyDescent="0.25">
      <c r="A14" s="4">
        <f t="shared" si="0"/>
        <v>4</v>
      </c>
      <c r="E14" s="70"/>
      <c r="G14" s="70"/>
      <c r="H14" s="41"/>
      <c r="I14" s="38"/>
      <c r="J14" s="41"/>
      <c r="K14" s="44"/>
      <c r="L14" s="4">
        <f t="shared" si="1"/>
        <v>4</v>
      </c>
      <c r="N14" s="825"/>
    </row>
    <row r="15" spans="1:14" ht="18.75" x14ac:dyDescent="0.25">
      <c r="A15" s="4">
        <f t="shared" si="0"/>
        <v>5</v>
      </c>
      <c r="B15" s="31" t="s">
        <v>356</v>
      </c>
      <c r="E15" s="42">
        <f>'AE-3'!C14</f>
        <v>243049.82983647494</v>
      </c>
      <c r="G15" s="42">
        <f>'AE-3'!C16</f>
        <v>268071.91264152038</v>
      </c>
      <c r="H15" s="39"/>
      <c r="I15" s="38">
        <f>(E15+G15)/2</f>
        <v>255560.87123899767</v>
      </c>
      <c r="J15" s="41"/>
      <c r="K15" s="4" t="s">
        <v>357</v>
      </c>
      <c r="L15" s="4">
        <f t="shared" si="1"/>
        <v>5</v>
      </c>
      <c r="N15" s="825"/>
    </row>
    <row r="16" spans="1:14" x14ac:dyDescent="0.25">
      <c r="A16" s="4">
        <f t="shared" si="0"/>
        <v>6</v>
      </c>
      <c r="E16" s="38"/>
      <c r="G16" s="38"/>
      <c r="H16" s="41"/>
      <c r="I16" s="38"/>
      <c r="J16" s="41"/>
      <c r="K16" s="44"/>
      <c r="L16" s="4">
        <f t="shared" si="1"/>
        <v>6</v>
      </c>
      <c r="N16" s="825"/>
    </row>
    <row r="17" spans="1:14" ht="18.75" x14ac:dyDescent="0.25">
      <c r="A17" s="4">
        <f t="shared" si="0"/>
        <v>7</v>
      </c>
      <c r="B17" s="31" t="s">
        <v>358</v>
      </c>
      <c r="E17" s="42">
        <f>'AE-4'!D15</f>
        <v>646344.7064883</v>
      </c>
      <c r="G17" s="42">
        <f>'AE-4'!D19</f>
        <v>756371.15274399996</v>
      </c>
      <c r="H17" s="39"/>
      <c r="I17" s="38">
        <f>(E17+G17)/2</f>
        <v>701357.92961614998</v>
      </c>
      <c r="J17" s="41"/>
      <c r="K17" s="4" t="s">
        <v>359</v>
      </c>
      <c r="L17" s="4">
        <f t="shared" si="1"/>
        <v>7</v>
      </c>
      <c r="N17" s="825"/>
    </row>
    <row r="18" spans="1:14" x14ac:dyDescent="0.25">
      <c r="A18" s="4">
        <f t="shared" si="0"/>
        <v>8</v>
      </c>
      <c r="E18" s="70"/>
      <c r="G18" s="70"/>
      <c r="H18" s="41"/>
      <c r="I18" s="70"/>
      <c r="J18" s="41"/>
      <c r="K18" s="46"/>
      <c r="L18" s="4">
        <f t="shared" si="1"/>
        <v>8</v>
      </c>
      <c r="N18" s="825"/>
    </row>
    <row r="19" spans="1:14" x14ac:dyDescent="0.25">
      <c r="A19" s="4">
        <f t="shared" si="0"/>
        <v>9</v>
      </c>
      <c r="B19" s="31" t="s">
        <v>233</v>
      </c>
      <c r="E19" s="72"/>
      <c r="G19" s="72"/>
      <c r="H19" s="73"/>
      <c r="I19" s="971">
        <f>'Stmt AI'!E25</f>
        <v>0.19653045567590263</v>
      </c>
      <c r="J19" s="73"/>
      <c r="K19" s="44" t="s">
        <v>234</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14401.897161577599</v>
      </c>
      <c r="J21" s="71"/>
      <c r="K21" s="46" t="s">
        <v>360</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361</v>
      </c>
      <c r="E23" s="38"/>
      <c r="F23" s="6"/>
      <c r="G23" s="38"/>
      <c r="H23" s="75"/>
      <c r="I23" s="76">
        <f>I15*I19</f>
        <v>50225.49447753089</v>
      </c>
      <c r="J23" s="41"/>
      <c r="K23" s="46" t="s">
        <v>362</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363</v>
      </c>
      <c r="E25" s="76"/>
      <c r="F25" s="6"/>
      <c r="G25" s="76"/>
      <c r="H25" s="39"/>
      <c r="I25" s="972">
        <f>I17*I19</f>
        <v>137838.1934993696</v>
      </c>
      <c r="J25" s="41"/>
      <c r="K25" s="46" t="s">
        <v>364</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2135964.6883663428</v>
      </c>
      <c r="J27" s="71"/>
      <c r="K27" s="46" t="s">
        <v>365</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366</v>
      </c>
      <c r="D29" s="4"/>
      <c r="E29" s="39"/>
      <c r="G29" s="39"/>
      <c r="H29" s="39"/>
      <c r="I29" s="78">
        <f>'AE-5'!E31</f>
        <v>0</v>
      </c>
      <c r="J29" s="4"/>
      <c r="K29" s="4" t="s">
        <v>367</v>
      </c>
      <c r="L29" s="4">
        <f t="shared" si="1"/>
        <v>19</v>
      </c>
    </row>
    <row r="30" spans="1:14" ht="16.5" thickTop="1" x14ac:dyDescent="0.25">
      <c r="G30" s="48"/>
      <c r="H30" s="41"/>
      <c r="I30" s="41"/>
      <c r="J30" s="41"/>
      <c r="K30" s="46"/>
      <c r="L30" s="4"/>
    </row>
    <row r="32" spans="1:14" ht="18.75" x14ac:dyDescent="0.25">
      <c r="A32" s="253">
        <v>1</v>
      </c>
      <c r="B32" s="31" t="s">
        <v>368</v>
      </c>
    </row>
    <row r="33" spans="1:2" ht="18.75" x14ac:dyDescent="0.25">
      <c r="A33" s="266">
        <v>2</v>
      </c>
      <c r="B33" s="31" t="s">
        <v>369</v>
      </c>
    </row>
    <row r="34" spans="1:2" ht="18.75" x14ac:dyDescent="0.25">
      <c r="A34" s="266">
        <v>3</v>
      </c>
      <c r="B34" s="31" t="s">
        <v>370</v>
      </c>
    </row>
    <row r="35" spans="1:2" ht="18.75" x14ac:dyDescent="0.25">
      <c r="A35" s="266">
        <v>4</v>
      </c>
      <c r="B35" s="31" t="s">
        <v>248</v>
      </c>
    </row>
    <row r="37" spans="1:2" ht="18.75" x14ac:dyDescent="0.25">
      <c r="A37" s="266"/>
    </row>
    <row r="39" spans="1:2" x14ac:dyDescent="0.25">
      <c r="A39" s="71"/>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3" style="87" bestFit="1" customWidth="1"/>
    <col min="5" max="5" width="25.28515625" style="87" customWidth="1"/>
    <col min="6" max="6" width="18.5703125" style="1" customWidth="1"/>
    <col min="7" max="7" width="3" style="1" bestFit="1" customWidth="1"/>
    <col min="8" max="8" width="65" style="1" bestFit="1" customWidth="1"/>
    <col min="9" max="9" width="5.28515625" style="218" customWidth="1"/>
    <col min="10" max="10" width="24" style="1" customWidth="1"/>
    <col min="11" max="11" width="11" style="1" customWidth="1"/>
    <col min="12" max="12" width="7.28515625" style="1" customWidth="1"/>
    <col min="13" max="13" width="9.28515625" style="1" customWidth="1"/>
    <col min="14" max="14" width="14" style="1" customWidth="1"/>
    <col min="15" max="15" width="13.42578125" style="1" customWidth="1"/>
    <col min="16" max="16384" width="9.28515625" style="1"/>
  </cols>
  <sheetData>
    <row r="2" spans="1:10" x14ac:dyDescent="0.25">
      <c r="B2" s="1294" t="s">
        <v>0</v>
      </c>
      <c r="C2" s="1294"/>
      <c r="D2" s="1294"/>
      <c r="E2" s="1294"/>
      <c r="F2" s="1294"/>
      <c r="G2" s="1294"/>
      <c r="H2" s="1294"/>
    </row>
    <row r="3" spans="1:10" x14ac:dyDescent="0.25">
      <c r="B3" s="1294" t="s">
        <v>371</v>
      </c>
      <c r="C3" s="1294"/>
      <c r="D3" s="1294"/>
      <c r="E3" s="1294"/>
      <c r="F3" s="1294"/>
      <c r="G3" s="1294"/>
      <c r="H3" s="1294"/>
    </row>
    <row r="4" spans="1:10" x14ac:dyDescent="0.25">
      <c r="B4" s="1294" t="s">
        <v>372</v>
      </c>
      <c r="C4" s="1294"/>
      <c r="D4" s="1294"/>
      <c r="E4" s="1294"/>
      <c r="F4" s="1294"/>
      <c r="G4" s="1294"/>
      <c r="H4" s="1294"/>
    </row>
    <row r="5" spans="1:10" x14ac:dyDescent="0.25">
      <c r="B5" s="1294" t="str">
        <f>'AD-1'!B5</f>
        <v>BASE PERIOD / TRUE UP PERIOD - 12/31/2023 PER BOOK</v>
      </c>
      <c r="C5" s="1294"/>
      <c r="D5" s="1294"/>
      <c r="E5" s="1294"/>
      <c r="F5" s="1294"/>
      <c r="G5" s="1294"/>
      <c r="H5" s="1294"/>
    </row>
    <row r="6" spans="1:10" x14ac:dyDescent="0.25">
      <c r="B6" s="1299" t="s">
        <v>4</v>
      </c>
      <c r="C6" s="1299"/>
      <c r="D6" s="1299"/>
      <c r="E6" s="1299"/>
      <c r="F6" s="1299"/>
      <c r="G6" s="1299"/>
      <c r="H6" s="1299"/>
    </row>
    <row r="7" spans="1:10" x14ac:dyDescent="0.25">
      <c r="B7" s="267"/>
      <c r="C7" s="268"/>
      <c r="D7" s="268"/>
      <c r="E7" s="268"/>
      <c r="F7" s="267"/>
      <c r="G7" s="267"/>
      <c r="H7" s="267"/>
    </row>
    <row r="8" spans="1:10" x14ac:dyDescent="0.25">
      <c r="B8" s="1294" t="s">
        <v>289</v>
      </c>
      <c r="C8" s="1294"/>
      <c r="D8" s="1294"/>
      <c r="E8" s="1294"/>
      <c r="F8" s="1294"/>
      <c r="G8" s="1294"/>
      <c r="H8" s="1294"/>
    </row>
    <row r="9" spans="1:10" x14ac:dyDescent="0.25">
      <c r="C9" s="1042"/>
      <c r="G9" s="969"/>
    </row>
    <row r="10" spans="1:10" x14ac:dyDescent="0.25">
      <c r="A10" s="4"/>
      <c r="B10" s="311"/>
      <c r="C10" s="433" t="s">
        <v>177</v>
      </c>
      <c r="D10" s="269"/>
      <c r="E10" s="928"/>
      <c r="F10" s="1080"/>
      <c r="G10" s="262"/>
      <c r="H10" s="928"/>
    </row>
    <row r="11" spans="1:10" x14ac:dyDescent="0.25">
      <c r="A11" s="4"/>
      <c r="B11" s="298"/>
      <c r="C11" s="298" t="s">
        <v>290</v>
      </c>
      <c r="D11" s="218"/>
      <c r="E11" s="270"/>
      <c r="F11" s="218" t="s">
        <v>290</v>
      </c>
      <c r="G11" s="218"/>
      <c r="H11" s="270"/>
    </row>
    <row r="12" spans="1:10" x14ac:dyDescent="0.25">
      <c r="A12" s="4" t="s">
        <v>5</v>
      </c>
      <c r="B12" s="314"/>
      <c r="C12" s="298" t="s">
        <v>373</v>
      </c>
      <c r="D12" s="218"/>
      <c r="E12" s="929"/>
      <c r="F12" s="218" t="s">
        <v>373</v>
      </c>
      <c r="G12" s="218"/>
      <c r="H12" s="929"/>
      <c r="I12" s="4" t="s">
        <v>5</v>
      </c>
    </row>
    <row r="13" spans="1:10" ht="18.75" x14ac:dyDescent="0.25">
      <c r="A13" s="4" t="s">
        <v>6</v>
      </c>
      <c r="B13" s="306" t="s">
        <v>255</v>
      </c>
      <c r="C13" s="306" t="s">
        <v>256</v>
      </c>
      <c r="D13" s="930"/>
      <c r="E13" s="275" t="s">
        <v>8</v>
      </c>
      <c r="F13" s="930" t="s">
        <v>257</v>
      </c>
      <c r="G13" s="930"/>
      <c r="H13" s="275" t="s">
        <v>8</v>
      </c>
      <c r="I13" s="4" t="s">
        <v>6</v>
      </c>
    </row>
    <row r="14" spans="1:10" ht="18.75" x14ac:dyDescent="0.25">
      <c r="A14" s="4">
        <v>1</v>
      </c>
      <c r="B14" s="629" t="str">
        <f>'AD-1'!B14</f>
        <v>Dec-22</v>
      </c>
      <c r="C14" s="120">
        <v>1861233.6247662578</v>
      </c>
      <c r="D14" s="1091"/>
      <c r="E14" s="941" t="s">
        <v>258</v>
      </c>
      <c r="F14" s="35">
        <v>1830611.7677737514</v>
      </c>
      <c r="G14" s="1091"/>
      <c r="H14" s="941" t="s">
        <v>374</v>
      </c>
      <c r="I14" s="4">
        <f>A14</f>
        <v>1</v>
      </c>
      <c r="J14" s="277"/>
    </row>
    <row r="15" spans="1:10" ht="18.75" x14ac:dyDescent="0.25">
      <c r="A15" s="4">
        <f>A14+1</f>
        <v>2</v>
      </c>
      <c r="B15" s="629" t="str">
        <f>'AD-1'!B15</f>
        <v>Jan-23</v>
      </c>
      <c r="C15" s="125">
        <v>1880070.1156242921</v>
      </c>
      <c r="D15" s="1090"/>
      <c r="E15" s="943"/>
      <c r="F15" s="11">
        <v>1849307.4877329699</v>
      </c>
      <c r="G15" s="11"/>
      <c r="H15" s="943"/>
      <c r="I15" s="4">
        <f>I14+1</f>
        <v>2</v>
      </c>
    </row>
    <row r="16" spans="1:10" x14ac:dyDescent="0.25">
      <c r="A16" s="4">
        <f t="shared" ref="A16:A32" si="0">A15+1</f>
        <v>3</v>
      </c>
      <c r="B16" s="326" t="s">
        <v>260</v>
      </c>
      <c r="C16" s="125">
        <v>1897657.6080493645</v>
      </c>
      <c r="D16" s="52"/>
      <c r="E16" s="943"/>
      <c r="F16" s="11">
        <v>1866630.5275884364</v>
      </c>
      <c r="G16" s="11"/>
      <c r="H16" s="943"/>
      <c r="I16" s="4">
        <f t="shared" ref="I16:I32" si="1">I15+1</f>
        <v>3</v>
      </c>
    </row>
    <row r="17" spans="1:10" x14ac:dyDescent="0.25">
      <c r="A17" s="4">
        <f t="shared" si="0"/>
        <v>4</v>
      </c>
      <c r="B17" s="326" t="s">
        <v>261</v>
      </c>
      <c r="C17" s="125">
        <v>1912270.9467883788</v>
      </c>
      <c r="D17" s="52"/>
      <c r="E17" s="943"/>
      <c r="F17" s="11">
        <v>1881004.6130657229</v>
      </c>
      <c r="G17" s="11"/>
      <c r="H17" s="943"/>
      <c r="I17" s="4">
        <f t="shared" si="1"/>
        <v>4</v>
      </c>
    </row>
    <row r="18" spans="1:10" x14ac:dyDescent="0.25">
      <c r="A18" s="4">
        <f t="shared" si="0"/>
        <v>5</v>
      </c>
      <c r="B18" s="326" t="s">
        <v>262</v>
      </c>
      <c r="C18" s="125">
        <v>1931064.6400921703</v>
      </c>
      <c r="D18" s="52"/>
      <c r="E18" s="943"/>
      <c r="F18" s="11">
        <v>1899503.8567874092</v>
      </c>
      <c r="G18" s="11"/>
      <c r="H18" s="943"/>
      <c r="I18" s="4">
        <f t="shared" si="1"/>
        <v>5</v>
      </c>
      <c r="J18" s="331"/>
    </row>
    <row r="19" spans="1:10" x14ac:dyDescent="0.25">
      <c r="A19" s="4">
        <f t="shared" si="0"/>
        <v>6</v>
      </c>
      <c r="B19" s="326" t="s">
        <v>263</v>
      </c>
      <c r="C19" s="125">
        <v>1949077.9904054096</v>
      </c>
      <c r="D19" s="52"/>
      <c r="E19" s="943"/>
      <c r="F19" s="11">
        <v>1917253.2237507466</v>
      </c>
      <c r="G19" s="11"/>
      <c r="H19" s="943"/>
      <c r="I19" s="4">
        <f t="shared" si="1"/>
        <v>6</v>
      </c>
    </row>
    <row r="20" spans="1:10" x14ac:dyDescent="0.25">
      <c r="A20" s="4">
        <f>A19+1</f>
        <v>7</v>
      </c>
      <c r="B20" s="326" t="s">
        <v>264</v>
      </c>
      <c r="C20" s="125">
        <v>1966905.0596562906</v>
      </c>
      <c r="D20" s="52"/>
      <c r="E20" s="943"/>
      <c r="F20" s="11">
        <v>1934840.6500765169</v>
      </c>
      <c r="G20" s="11"/>
      <c r="H20" s="943"/>
      <c r="I20" s="4">
        <f>I19+1</f>
        <v>7</v>
      </c>
    </row>
    <row r="21" spans="1:10" x14ac:dyDescent="0.25">
      <c r="A21" s="4">
        <f t="shared" si="0"/>
        <v>8</v>
      </c>
      <c r="B21" s="326" t="s">
        <v>265</v>
      </c>
      <c r="C21" s="125">
        <v>1985071.6516110508</v>
      </c>
      <c r="D21" s="52"/>
      <c r="E21" s="943"/>
      <c r="F21" s="11">
        <v>1952798.204886605</v>
      </c>
      <c r="G21" s="11"/>
      <c r="H21" s="943"/>
      <c r="I21" s="4">
        <f t="shared" si="1"/>
        <v>8</v>
      </c>
    </row>
    <row r="22" spans="1:10" x14ac:dyDescent="0.25">
      <c r="A22" s="4">
        <f t="shared" si="0"/>
        <v>9</v>
      </c>
      <c r="B22" s="326" t="s">
        <v>266</v>
      </c>
      <c r="C22" s="125">
        <v>2002236.2543136892</v>
      </c>
      <c r="D22" s="52"/>
      <c r="E22" s="943"/>
      <c r="F22" s="11">
        <v>1969725.3921809513</v>
      </c>
      <c r="G22" s="11"/>
      <c r="H22" s="943"/>
      <c r="I22" s="4">
        <f t="shared" si="1"/>
        <v>9</v>
      </c>
    </row>
    <row r="23" spans="1:10" x14ac:dyDescent="0.25">
      <c r="A23" s="4">
        <f t="shared" si="0"/>
        <v>10</v>
      </c>
      <c r="B23" s="326" t="s">
        <v>267</v>
      </c>
      <c r="C23" s="125">
        <v>2019939.5623650129</v>
      </c>
      <c r="D23" s="52"/>
      <c r="E23" s="943"/>
      <c r="F23" s="11">
        <v>1987166.0647186595</v>
      </c>
      <c r="G23" s="11"/>
      <c r="H23" s="943"/>
      <c r="I23" s="4">
        <f t="shared" si="1"/>
        <v>10</v>
      </c>
    </row>
    <row r="24" spans="1:10" x14ac:dyDescent="0.25">
      <c r="A24" s="4">
        <f t="shared" si="0"/>
        <v>11</v>
      </c>
      <c r="B24" s="326" t="s">
        <v>268</v>
      </c>
      <c r="C24" s="125">
        <v>2037756.3971913543</v>
      </c>
      <c r="D24" s="52"/>
      <c r="E24" s="943"/>
      <c r="F24" s="11">
        <v>2004750.7065916029</v>
      </c>
      <c r="G24" s="11"/>
      <c r="H24" s="943"/>
      <c r="I24" s="4">
        <f t="shared" si="1"/>
        <v>11</v>
      </c>
    </row>
    <row r="25" spans="1:10" x14ac:dyDescent="0.25">
      <c r="A25" s="4">
        <f t="shared" si="0"/>
        <v>12</v>
      </c>
      <c r="B25" s="326" t="s">
        <v>269</v>
      </c>
      <c r="C25" s="125">
        <v>2052373.5204306187</v>
      </c>
      <c r="D25" s="52"/>
      <c r="E25" s="943"/>
      <c r="F25" s="11">
        <v>2019261.2575534177</v>
      </c>
      <c r="G25" s="11"/>
      <c r="H25" s="943"/>
      <c r="I25" s="4">
        <f t="shared" si="1"/>
        <v>12</v>
      </c>
    </row>
    <row r="26" spans="1:10" x14ac:dyDescent="0.25">
      <c r="A26" s="4">
        <f t="shared" si="0"/>
        <v>13</v>
      </c>
      <c r="B26" s="1084" t="str">
        <f>'AD-1'!B26</f>
        <v>Dec-23</v>
      </c>
      <c r="C26" s="900">
        <v>2056225.609540567</v>
      </c>
      <c r="D26" s="53"/>
      <c r="E26" s="291" t="s">
        <v>258</v>
      </c>
      <c r="F26" s="877">
        <v>2022634.589255455</v>
      </c>
      <c r="G26" s="53"/>
      <c r="H26" s="941" t="s">
        <v>1486</v>
      </c>
      <c r="I26" s="4">
        <f t="shared" si="1"/>
        <v>13</v>
      </c>
      <c r="J26" s="277"/>
    </row>
    <row r="27" spans="1:10" x14ac:dyDescent="0.25">
      <c r="A27" s="4">
        <f t="shared" si="0"/>
        <v>14</v>
      </c>
      <c r="B27" s="319"/>
      <c r="C27" s="594"/>
      <c r="D27" s="59"/>
      <c r="E27" s="927"/>
      <c r="F27" s="87"/>
      <c r="G27" s="87"/>
      <c r="H27" s="927"/>
      <c r="I27" s="4">
        <f t="shared" si="1"/>
        <v>14</v>
      </c>
    </row>
    <row r="28" spans="1:10" x14ac:dyDescent="0.25">
      <c r="A28" s="4">
        <f t="shared" si="0"/>
        <v>15</v>
      </c>
      <c r="B28" s="319" t="s">
        <v>271</v>
      </c>
      <c r="C28" s="1087">
        <f>SUM(C14:C26)</f>
        <v>25551882.980834454</v>
      </c>
      <c r="D28" s="55"/>
      <c r="E28" s="942" t="s">
        <v>272</v>
      </c>
      <c r="F28" s="43">
        <f>SUM(F14:F26)</f>
        <v>25135488.341962241</v>
      </c>
      <c r="G28" s="43"/>
      <c r="H28" s="942" t="s">
        <v>272</v>
      </c>
      <c r="I28" s="4">
        <f t="shared" si="1"/>
        <v>15</v>
      </c>
    </row>
    <row r="29" spans="1:10" x14ac:dyDescent="0.25">
      <c r="A29" s="4">
        <f t="shared" si="0"/>
        <v>16</v>
      </c>
      <c r="B29" s="328"/>
      <c r="C29" s="1089"/>
      <c r="D29" s="56"/>
      <c r="E29" s="81"/>
      <c r="F29" s="1082"/>
      <c r="G29" s="56"/>
      <c r="H29" s="81"/>
      <c r="I29" s="4">
        <f t="shared" si="1"/>
        <v>16</v>
      </c>
    </row>
    <row r="30" spans="1:10" x14ac:dyDescent="0.25">
      <c r="A30" s="4">
        <f t="shared" si="0"/>
        <v>17</v>
      </c>
      <c r="B30" s="319"/>
      <c r="C30" s="1088"/>
      <c r="D30" s="79"/>
      <c r="E30" s="672"/>
      <c r="F30" s="280"/>
      <c r="G30" s="280"/>
      <c r="H30" s="672"/>
      <c r="I30" s="4">
        <f t="shared" si="1"/>
        <v>17</v>
      </c>
    </row>
    <row r="31" spans="1:10" x14ac:dyDescent="0.25">
      <c r="A31" s="4">
        <f t="shared" si="0"/>
        <v>18</v>
      </c>
      <c r="B31" s="319" t="s">
        <v>273</v>
      </c>
      <c r="C31" s="1087">
        <f>C28/13</f>
        <v>1965529.4600641888</v>
      </c>
      <c r="D31" s="55"/>
      <c r="E31" s="942" t="s">
        <v>274</v>
      </c>
      <c r="F31" s="43">
        <f>F28/13</f>
        <v>1933499.1032278647</v>
      </c>
      <c r="G31" s="43"/>
      <c r="H31" s="941" t="s">
        <v>1486</v>
      </c>
      <c r="I31" s="4">
        <f t="shared" si="1"/>
        <v>18</v>
      </c>
      <c r="J31" s="277"/>
    </row>
    <row r="32" spans="1:10" x14ac:dyDescent="0.25">
      <c r="A32" s="4">
        <f t="shared" si="0"/>
        <v>19</v>
      </c>
      <c r="B32" s="328"/>
      <c r="C32" s="1079"/>
      <c r="D32" s="279"/>
      <c r="E32" s="292"/>
      <c r="F32" s="1083"/>
      <c r="G32" s="279"/>
      <c r="H32" s="292"/>
      <c r="I32" s="4">
        <f t="shared" si="1"/>
        <v>19</v>
      </c>
    </row>
    <row r="33" spans="1:10" x14ac:dyDescent="0.25">
      <c r="A33" s="4"/>
      <c r="B33" s="31"/>
      <c r="C33" s="31"/>
      <c r="D33" s="31"/>
      <c r="E33" s="31"/>
      <c r="F33" s="31"/>
      <c r="G33" s="31"/>
      <c r="H33" s="31"/>
    </row>
    <row r="34" spans="1:10" x14ac:dyDescent="0.25">
      <c r="C34" s="31"/>
      <c r="D34" s="31"/>
      <c r="E34" s="31"/>
      <c r="F34" s="106"/>
      <c r="G34" s="106"/>
      <c r="H34" s="31"/>
    </row>
    <row r="35" spans="1:10" ht="18.75" x14ac:dyDescent="0.25">
      <c r="A35" s="266">
        <v>1</v>
      </c>
      <c r="B35" s="31" t="s">
        <v>375</v>
      </c>
      <c r="C35" s="31"/>
      <c r="D35" s="31"/>
      <c r="E35" s="31"/>
      <c r="F35" s="31"/>
      <c r="G35" s="31"/>
      <c r="H35" s="31"/>
    </row>
    <row r="36" spans="1:10" x14ac:dyDescent="0.25">
      <c r="B36" s="31" t="s">
        <v>376</v>
      </c>
      <c r="C36" s="31"/>
      <c r="D36" s="31"/>
      <c r="E36" s="31"/>
      <c r="F36" s="31"/>
      <c r="G36" s="31"/>
      <c r="H36" s="31"/>
    </row>
    <row r="37" spans="1:10" x14ac:dyDescent="0.25">
      <c r="A37"/>
      <c r="B37"/>
      <c r="C37"/>
      <c r="D37"/>
      <c r="E37"/>
      <c r="F37"/>
      <c r="G37"/>
      <c r="H37"/>
      <c r="I37"/>
      <c r="J37"/>
    </row>
    <row r="38" spans="1:10" x14ac:dyDescent="0.25">
      <c r="A38"/>
      <c r="B38"/>
      <c r="C38"/>
      <c r="D38"/>
      <c r="E38"/>
      <c r="F38"/>
      <c r="G38"/>
      <c r="H38"/>
      <c r="I38"/>
      <c r="J38"/>
    </row>
    <row r="39" spans="1:10" x14ac:dyDescent="0.25">
      <c r="A39" s="262"/>
    </row>
    <row r="40" spans="1:10" x14ac:dyDescent="0.25">
      <c r="B40" s="31"/>
    </row>
    <row r="41" spans="1:10" x14ac:dyDescent="0.25">
      <c r="B41" s="31"/>
    </row>
    <row r="42" spans="1:10" x14ac:dyDescent="0.25">
      <c r="A42" s="262"/>
    </row>
    <row r="45" spans="1:10" x14ac:dyDescent="0.25">
      <c r="A45" s="262"/>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workbookViewId="0"/>
  </sheetViews>
  <sheetFormatPr defaultColWidth="9.28515625" defaultRowHeight="15.75" x14ac:dyDescent="0.25"/>
  <cols>
    <col min="1" max="1" width="5.28515625" style="4" customWidth="1"/>
    <col min="2" max="2" width="11.28515625" style="31" customWidth="1"/>
    <col min="3" max="3" width="32.42578125" style="31" customWidth="1"/>
    <col min="4" max="11" width="18.5703125" style="6" customWidth="1"/>
    <col min="12" max="12" width="24" style="6" customWidth="1"/>
    <col min="13" max="14" width="5.28515625" style="4" customWidth="1"/>
    <col min="15" max="15" width="14.42578125" style="31" bestFit="1" customWidth="1"/>
    <col min="16" max="16384" width="9.28515625" style="31"/>
  </cols>
  <sheetData>
    <row r="1" spans="1:14" x14ac:dyDescent="0.25">
      <c r="M1" s="218"/>
      <c r="N1" s="218"/>
    </row>
    <row r="2" spans="1:14" s="1" customFormat="1" ht="15.75" customHeight="1" x14ac:dyDescent="0.25">
      <c r="A2" s="218"/>
      <c r="B2" s="1294" t="s">
        <v>0</v>
      </c>
      <c r="C2" s="1294"/>
      <c r="D2" s="1294"/>
      <c r="E2" s="1294"/>
      <c r="F2" s="1294"/>
      <c r="G2" s="1294"/>
      <c r="H2" s="1294"/>
      <c r="I2" s="1294"/>
      <c r="J2" s="1294"/>
      <c r="K2" s="1294"/>
      <c r="L2" s="1294"/>
      <c r="M2" s="218"/>
      <c r="N2" s="218"/>
    </row>
    <row r="3" spans="1:14" s="1" customFormat="1" x14ac:dyDescent="0.25">
      <c r="A3" s="218"/>
      <c r="B3" s="1294" t="s">
        <v>291</v>
      </c>
      <c r="C3" s="1294"/>
      <c r="D3" s="1294"/>
      <c r="E3" s="1294"/>
      <c r="F3" s="1294"/>
      <c r="G3" s="1294"/>
      <c r="H3" s="1294"/>
      <c r="I3" s="1294"/>
      <c r="J3" s="1294"/>
      <c r="K3" s="1294"/>
      <c r="L3" s="1294"/>
      <c r="M3" s="218"/>
      <c r="N3" s="218"/>
    </row>
    <row r="4" spans="1:14" x14ac:dyDescent="0.25">
      <c r="B4" s="1294" t="s">
        <v>377</v>
      </c>
      <c r="C4" s="1294"/>
      <c r="D4" s="1294"/>
      <c r="E4" s="1294"/>
      <c r="F4" s="1294"/>
      <c r="G4" s="1294"/>
      <c r="H4" s="1294"/>
      <c r="I4" s="1294"/>
      <c r="J4" s="1294"/>
      <c r="K4" s="1294"/>
      <c r="L4" s="1294"/>
    </row>
    <row r="5" spans="1:14" x14ac:dyDescent="0.25">
      <c r="B5" s="1294" t="s">
        <v>372</v>
      </c>
      <c r="C5" s="1294"/>
      <c r="D5" s="1294"/>
      <c r="E5" s="1294"/>
      <c r="F5" s="1294"/>
      <c r="G5" s="1294"/>
      <c r="H5" s="1294"/>
      <c r="I5" s="1294"/>
      <c r="J5" s="1294"/>
      <c r="K5" s="1294"/>
      <c r="L5" s="1294"/>
    </row>
    <row r="6" spans="1:14" x14ac:dyDescent="0.25">
      <c r="B6" s="1294" t="str">
        <f>'AD-6A'!B5</f>
        <v>BALANCES AS OF 12/31/2022</v>
      </c>
      <c r="C6" s="1294"/>
      <c r="D6" s="1294"/>
      <c r="E6" s="1294"/>
      <c r="F6" s="1294"/>
      <c r="G6" s="1294"/>
      <c r="H6" s="1294"/>
      <c r="I6" s="1294"/>
      <c r="J6" s="1294"/>
      <c r="K6" s="1294"/>
      <c r="L6" s="1294"/>
    </row>
    <row r="7" spans="1:14" x14ac:dyDescent="0.25">
      <c r="B7" s="1299" t="s">
        <v>4</v>
      </c>
      <c r="C7" s="1294"/>
      <c r="D7" s="1294"/>
      <c r="E7" s="1294"/>
      <c r="F7" s="1294"/>
      <c r="G7" s="1294"/>
      <c r="H7" s="1294"/>
      <c r="I7" s="1294"/>
      <c r="J7" s="1294"/>
      <c r="K7" s="1294"/>
      <c r="L7" s="1294"/>
    </row>
    <row r="8" spans="1:14" x14ac:dyDescent="0.25">
      <c r="C8" s="267"/>
      <c r="D8" s="268"/>
      <c r="E8" s="294"/>
      <c r="F8" s="294"/>
      <c r="G8" s="294"/>
      <c r="H8" s="294"/>
      <c r="I8" s="294"/>
      <c r="J8" s="294"/>
      <c r="K8" s="294"/>
      <c r="L8" s="294"/>
    </row>
    <row r="9" spans="1:14" s="218" customFormat="1" x14ac:dyDescent="0.25">
      <c r="B9" s="965"/>
      <c r="C9" s="946"/>
      <c r="D9" s="947" t="s">
        <v>293</v>
      </c>
      <c r="E9" s="947" t="s">
        <v>294</v>
      </c>
      <c r="F9" s="947" t="s">
        <v>295</v>
      </c>
      <c r="G9" s="947" t="s">
        <v>296</v>
      </c>
      <c r="H9" s="947" t="s">
        <v>297</v>
      </c>
      <c r="I9" s="947" t="s">
        <v>298</v>
      </c>
      <c r="J9" s="947" t="s">
        <v>299</v>
      </c>
      <c r="K9" s="947" t="s">
        <v>300</v>
      </c>
      <c r="L9" s="928"/>
      <c r="M9" s="218" t="s">
        <v>1</v>
      </c>
    </row>
    <row r="10" spans="1:14" x14ac:dyDescent="0.25">
      <c r="B10" s="973"/>
      <c r="C10" s="929"/>
      <c r="D10" s="295"/>
      <c r="E10" s="295"/>
      <c r="F10" s="299"/>
      <c r="G10" s="295"/>
      <c r="H10" s="295"/>
      <c r="I10" s="295"/>
      <c r="J10" s="295"/>
      <c r="K10" s="295" t="s">
        <v>177</v>
      </c>
      <c r="L10" s="948"/>
      <c r="M10" s="4" t="s">
        <v>1</v>
      </c>
    </row>
    <row r="11" spans="1:14" x14ac:dyDescent="0.25">
      <c r="B11" s="973"/>
      <c r="C11" s="929"/>
      <c r="D11" s="295"/>
      <c r="E11" s="295" t="s">
        <v>301</v>
      </c>
      <c r="F11" s="299" t="s">
        <v>285</v>
      </c>
      <c r="G11" s="295" t="s">
        <v>290</v>
      </c>
      <c r="H11" s="295" t="s">
        <v>290</v>
      </c>
      <c r="I11" s="295" t="s">
        <v>290</v>
      </c>
      <c r="J11" s="295" t="s">
        <v>290</v>
      </c>
      <c r="K11" s="295" t="s">
        <v>290</v>
      </c>
      <c r="L11" s="935"/>
      <c r="M11" s="4" t="s">
        <v>1</v>
      </c>
    </row>
    <row r="12" spans="1:14" x14ac:dyDescent="0.25">
      <c r="B12" s="332"/>
      <c r="C12" s="234"/>
      <c r="D12" s="299" t="s">
        <v>177</v>
      </c>
      <c r="E12" s="295" t="s">
        <v>378</v>
      </c>
      <c r="F12" s="295" t="s">
        <v>378</v>
      </c>
      <c r="G12" s="295" t="s">
        <v>378</v>
      </c>
      <c r="H12" s="295" t="s">
        <v>378</v>
      </c>
      <c r="I12" s="295" t="s">
        <v>378</v>
      </c>
      <c r="J12" s="295" t="s">
        <v>378</v>
      </c>
      <c r="K12" s="295" t="s">
        <v>373</v>
      </c>
      <c r="L12" s="270"/>
    </row>
    <row r="13" spans="1:14" x14ac:dyDescent="0.25">
      <c r="A13" s="4" t="s">
        <v>5</v>
      </c>
      <c r="B13" s="319"/>
      <c r="C13" s="278"/>
      <c r="D13" s="299" t="s">
        <v>290</v>
      </c>
      <c r="E13" s="295" t="s">
        <v>379</v>
      </c>
      <c r="F13" s="295" t="s">
        <v>379</v>
      </c>
      <c r="G13" s="295" t="s">
        <v>379</v>
      </c>
      <c r="H13" s="295" t="s">
        <v>379</v>
      </c>
      <c r="I13" s="295" t="s">
        <v>379</v>
      </c>
      <c r="J13" s="295" t="s">
        <v>379</v>
      </c>
      <c r="K13" s="295" t="s">
        <v>332</v>
      </c>
      <c r="L13" s="270"/>
      <c r="M13" s="4" t="s">
        <v>5</v>
      </c>
    </row>
    <row r="14" spans="1:14" x14ac:dyDescent="0.25">
      <c r="A14" s="4" t="s">
        <v>6</v>
      </c>
      <c r="B14" s="306" t="s">
        <v>305</v>
      </c>
      <c r="C14" s="275" t="s">
        <v>306</v>
      </c>
      <c r="D14" s="307" t="s">
        <v>378</v>
      </c>
      <c r="E14" s="301" t="s">
        <v>307</v>
      </c>
      <c r="F14" s="301" t="s">
        <v>308</v>
      </c>
      <c r="G14" s="301" t="s">
        <v>380</v>
      </c>
      <c r="H14" s="301" t="s">
        <v>381</v>
      </c>
      <c r="I14" s="301" t="s">
        <v>382</v>
      </c>
      <c r="J14" s="301" t="s">
        <v>311</v>
      </c>
      <c r="K14" s="275" t="s">
        <v>312</v>
      </c>
      <c r="L14" s="275" t="s">
        <v>8</v>
      </c>
      <c r="M14" s="4" t="s">
        <v>6</v>
      </c>
    </row>
    <row r="15" spans="1:14" x14ac:dyDescent="0.25">
      <c r="B15" s="234"/>
      <c r="C15" s="234" t="s">
        <v>313</v>
      </c>
      <c r="D15" s="234"/>
      <c r="E15" s="234"/>
      <c r="F15" s="234"/>
      <c r="G15" s="234"/>
      <c r="H15" s="234"/>
      <c r="I15" s="234"/>
      <c r="J15" s="234"/>
      <c r="K15" s="234"/>
      <c r="L15" s="935"/>
    </row>
    <row r="16" spans="1:14" x14ac:dyDescent="0.25">
      <c r="A16" s="4">
        <v>1</v>
      </c>
      <c r="B16" s="950">
        <v>303</v>
      </c>
      <c r="C16" s="234" t="s">
        <v>314</v>
      </c>
      <c r="D16" s="232">
        <v>0</v>
      </c>
      <c r="E16" s="232">
        <v>0</v>
      </c>
      <c r="F16" s="232">
        <v>0</v>
      </c>
      <c r="G16" s="232">
        <v>0</v>
      </c>
      <c r="H16" s="232">
        <v>0</v>
      </c>
      <c r="I16" s="232">
        <v>0</v>
      </c>
      <c r="J16" s="232">
        <v>0</v>
      </c>
      <c r="K16" s="232">
        <f>SUM(D16:J16)</f>
        <v>0</v>
      </c>
      <c r="L16" s="935" t="s">
        <v>258</v>
      </c>
      <c r="M16" s="4">
        <f>A16</f>
        <v>1</v>
      </c>
    </row>
    <row r="17" spans="1:17" x14ac:dyDescent="0.25">
      <c r="A17" s="4">
        <f>A16+1</f>
        <v>2</v>
      </c>
      <c r="B17" s="935">
        <v>310.10000000000002</v>
      </c>
      <c r="C17" s="234" t="s">
        <v>315</v>
      </c>
      <c r="D17" s="233">
        <v>0</v>
      </c>
      <c r="E17" s="233">
        <v>0</v>
      </c>
      <c r="F17" s="233">
        <v>0</v>
      </c>
      <c r="G17" s="233">
        <v>0</v>
      </c>
      <c r="H17" s="233">
        <v>0</v>
      </c>
      <c r="I17" s="233">
        <v>0</v>
      </c>
      <c r="J17" s="233">
        <v>0</v>
      </c>
      <c r="K17" s="233">
        <f>SUM(D17:J17)</f>
        <v>0</v>
      </c>
      <c r="L17" s="935" t="s">
        <v>258</v>
      </c>
      <c r="M17" s="4">
        <f>M16+1</f>
        <v>2</v>
      </c>
    </row>
    <row r="18" spans="1:17" x14ac:dyDescent="0.25">
      <c r="A18" s="4">
        <f t="shared" ref="A18:A39" si="0">A17+1</f>
        <v>3</v>
      </c>
      <c r="B18" s="950">
        <v>340</v>
      </c>
      <c r="C18" s="951" t="s">
        <v>316</v>
      </c>
      <c r="D18" s="233">
        <v>0</v>
      </c>
      <c r="E18" s="233">
        <v>1.1260899999999998</v>
      </c>
      <c r="F18" s="233">
        <v>0</v>
      </c>
      <c r="G18" s="233">
        <v>0</v>
      </c>
      <c r="H18" s="233">
        <v>0</v>
      </c>
      <c r="I18" s="233">
        <v>0</v>
      </c>
      <c r="J18" s="233">
        <v>0</v>
      </c>
      <c r="K18" s="233">
        <f>SUM(D18:J18)</f>
        <v>1.1260899999999998</v>
      </c>
      <c r="L18" s="935" t="s">
        <v>258</v>
      </c>
      <c r="M18" s="4">
        <f t="shared" ref="M18:M39" si="1">M17+1</f>
        <v>3</v>
      </c>
    </row>
    <row r="19" spans="1:17" x14ac:dyDescent="0.25">
      <c r="A19" s="4">
        <f t="shared" si="0"/>
        <v>4</v>
      </c>
      <c r="B19" s="950">
        <v>360</v>
      </c>
      <c r="C19" s="951" t="s">
        <v>316</v>
      </c>
      <c r="D19" s="233">
        <v>0</v>
      </c>
      <c r="E19" s="233">
        <v>0</v>
      </c>
      <c r="F19" s="233">
        <v>48.730400000000003</v>
      </c>
      <c r="G19" s="233">
        <v>0</v>
      </c>
      <c r="H19" s="233">
        <v>0</v>
      </c>
      <c r="I19" s="233">
        <v>0</v>
      </c>
      <c r="J19" s="233">
        <v>0</v>
      </c>
      <c r="K19" s="233">
        <f>SUM(D19:J19)</f>
        <v>48.730400000000003</v>
      </c>
      <c r="L19" s="935" t="s">
        <v>258</v>
      </c>
      <c r="M19" s="4">
        <f t="shared" si="1"/>
        <v>4</v>
      </c>
    </row>
    <row r="20" spans="1:17" x14ac:dyDescent="0.25">
      <c r="A20" s="4">
        <f t="shared" si="0"/>
        <v>5</v>
      </c>
      <c r="B20" s="950">
        <v>361</v>
      </c>
      <c r="C20" s="234" t="s">
        <v>317</v>
      </c>
      <c r="D20" s="233">
        <v>0</v>
      </c>
      <c r="E20" s="233">
        <v>0</v>
      </c>
      <c r="F20" s="233">
        <v>681.28647999999998</v>
      </c>
      <c r="G20" s="233">
        <v>0</v>
      </c>
      <c r="H20" s="233">
        <v>0</v>
      </c>
      <c r="I20" s="233">
        <v>0</v>
      </c>
      <c r="J20" s="233">
        <v>0</v>
      </c>
      <c r="K20" s="233">
        <f>SUM(D20:J20)</f>
        <v>681.28647999999998</v>
      </c>
      <c r="L20" s="935" t="s">
        <v>258</v>
      </c>
      <c r="M20" s="4">
        <f t="shared" si="1"/>
        <v>5</v>
      </c>
    </row>
    <row r="21" spans="1:17" x14ac:dyDescent="0.25">
      <c r="A21" s="4">
        <f t="shared" si="0"/>
        <v>6</v>
      </c>
      <c r="B21" s="935"/>
      <c r="C21" s="234"/>
      <c r="D21" s="234"/>
      <c r="E21" s="234"/>
      <c r="F21" s="234"/>
      <c r="G21" s="234"/>
      <c r="H21" s="234"/>
      <c r="I21" s="234"/>
      <c r="J21" s="234"/>
      <c r="K21" s="233"/>
      <c r="L21" s="935"/>
      <c r="M21" s="4">
        <f t="shared" si="1"/>
        <v>6</v>
      </c>
    </row>
    <row r="22" spans="1:17" s="1" customFormat="1" x14ac:dyDescent="0.25">
      <c r="A22" s="4">
        <f t="shared" si="0"/>
        <v>7</v>
      </c>
      <c r="B22" s="952" t="s">
        <v>318</v>
      </c>
      <c r="C22" s="953" t="s">
        <v>319</v>
      </c>
      <c r="D22" s="954">
        <f>SUM(D16:D21)</f>
        <v>0</v>
      </c>
      <c r="E22" s="954">
        <f t="shared" ref="E22" si="2">SUM(E16:E21)</f>
        <v>1.1260899999999998</v>
      </c>
      <c r="F22" s="954">
        <f t="shared" ref="F22" si="3">SUM(F16:F21)</f>
        <v>730.01688000000001</v>
      </c>
      <c r="G22" s="954">
        <f t="shared" ref="G22" si="4">SUM(G16:G21)</f>
        <v>0</v>
      </c>
      <c r="H22" s="954">
        <f t="shared" ref="H22" si="5">SUM(H16:H21)</f>
        <v>0</v>
      </c>
      <c r="I22" s="954">
        <f t="shared" ref="I22" si="6">SUM(I16:I21)</f>
        <v>0</v>
      </c>
      <c r="J22" s="954">
        <f>SUM(J16:J21)</f>
        <v>0</v>
      </c>
      <c r="K22" s="954">
        <f>SUM(K16:K21)</f>
        <v>731.14296999999999</v>
      </c>
      <c r="L22" s="955" t="s">
        <v>14</v>
      </c>
      <c r="M22" s="4">
        <f t="shared" si="1"/>
        <v>7</v>
      </c>
      <c r="N22" s="4"/>
    </row>
    <row r="23" spans="1:17" x14ac:dyDescent="0.25">
      <c r="A23" s="4">
        <f t="shared" si="0"/>
        <v>8</v>
      </c>
      <c r="B23" s="935"/>
      <c r="C23" s="234"/>
      <c r="D23" s="233"/>
      <c r="E23" s="233"/>
      <c r="F23" s="233"/>
      <c r="G23" s="233"/>
      <c r="H23" s="233"/>
      <c r="I23" s="233"/>
      <c r="J23" s="233"/>
      <c r="K23" s="235"/>
      <c r="L23" s="935"/>
      <c r="M23" s="4">
        <f t="shared" si="1"/>
        <v>8</v>
      </c>
    </row>
    <row r="24" spans="1:17" x14ac:dyDescent="0.25">
      <c r="A24" s="4">
        <f t="shared" si="0"/>
        <v>9</v>
      </c>
      <c r="B24" s="950">
        <v>350</v>
      </c>
      <c r="C24" s="234" t="s">
        <v>316</v>
      </c>
      <c r="D24" s="232">
        <v>32112.64817</v>
      </c>
      <c r="E24" s="232">
        <v>0</v>
      </c>
      <c r="F24" s="232">
        <v>0</v>
      </c>
      <c r="G24" s="232">
        <v>0</v>
      </c>
      <c r="H24" s="232">
        <v>0</v>
      </c>
      <c r="I24" s="232">
        <v>0</v>
      </c>
      <c r="J24" s="232">
        <v>-387.33722999999998</v>
      </c>
      <c r="K24" s="232">
        <f t="shared" ref="K24:K35" si="7">SUM(D24:J24)</f>
        <v>31725.310939999999</v>
      </c>
      <c r="L24" s="935" t="s">
        <v>258</v>
      </c>
      <c r="M24" s="4">
        <f t="shared" si="1"/>
        <v>9</v>
      </c>
    </row>
    <row r="25" spans="1:17" x14ac:dyDescent="0.25">
      <c r="A25" s="4">
        <f t="shared" si="0"/>
        <v>10</v>
      </c>
      <c r="B25" s="950">
        <v>351.1</v>
      </c>
      <c r="C25" s="234" t="s">
        <v>1544</v>
      </c>
      <c r="D25" s="233">
        <v>0</v>
      </c>
      <c r="E25" s="233">
        <v>0</v>
      </c>
      <c r="F25" s="233">
        <v>0</v>
      </c>
      <c r="G25" s="233">
        <v>0</v>
      </c>
      <c r="H25" s="233">
        <v>0</v>
      </c>
      <c r="I25" s="233">
        <v>0</v>
      </c>
      <c r="J25" s="233">
        <v>0</v>
      </c>
      <c r="K25" s="233">
        <f t="shared" si="7"/>
        <v>0</v>
      </c>
      <c r="L25" s="935" t="s">
        <v>258</v>
      </c>
      <c r="M25" s="4">
        <f t="shared" si="1"/>
        <v>10</v>
      </c>
    </row>
    <row r="26" spans="1:17" x14ac:dyDescent="0.25">
      <c r="A26" s="4">
        <f t="shared" si="0"/>
        <v>11</v>
      </c>
      <c r="B26" s="950">
        <v>351.2</v>
      </c>
      <c r="C26" s="234" t="s">
        <v>1545</v>
      </c>
      <c r="D26" s="233">
        <v>0</v>
      </c>
      <c r="E26" s="233">
        <v>0</v>
      </c>
      <c r="F26" s="233">
        <v>0</v>
      </c>
      <c r="G26" s="233">
        <v>0</v>
      </c>
      <c r="H26" s="233">
        <v>0</v>
      </c>
      <c r="I26" s="233">
        <v>0</v>
      </c>
      <c r="J26" s="233">
        <v>0</v>
      </c>
      <c r="K26" s="233">
        <f t="shared" si="7"/>
        <v>0</v>
      </c>
      <c r="L26" s="935" t="s">
        <v>258</v>
      </c>
      <c r="M26" s="4">
        <f t="shared" si="1"/>
        <v>11</v>
      </c>
    </row>
    <row r="27" spans="1:17" x14ac:dyDescent="0.25">
      <c r="A27" s="4">
        <f t="shared" si="0"/>
        <v>12</v>
      </c>
      <c r="B27" s="950">
        <v>351.3</v>
      </c>
      <c r="C27" s="234" t="s">
        <v>1546</v>
      </c>
      <c r="D27" s="233">
        <v>0</v>
      </c>
      <c r="E27" s="233">
        <v>0</v>
      </c>
      <c r="F27" s="233">
        <v>0</v>
      </c>
      <c r="G27" s="233">
        <v>0</v>
      </c>
      <c r="H27" s="233">
        <v>0</v>
      </c>
      <c r="I27" s="233">
        <v>0</v>
      </c>
      <c r="J27" s="233">
        <v>0</v>
      </c>
      <c r="K27" s="233">
        <f t="shared" si="7"/>
        <v>0</v>
      </c>
      <c r="L27" s="935" t="s">
        <v>258</v>
      </c>
      <c r="M27" s="4">
        <f t="shared" si="1"/>
        <v>12</v>
      </c>
    </row>
    <row r="28" spans="1:17" x14ac:dyDescent="0.25">
      <c r="A28" s="4">
        <f t="shared" si="0"/>
        <v>13</v>
      </c>
      <c r="B28" s="950">
        <v>352</v>
      </c>
      <c r="C28" s="234" t="s">
        <v>317</v>
      </c>
      <c r="D28" s="233">
        <v>139587.35045999999</v>
      </c>
      <c r="E28" s="233">
        <v>0</v>
      </c>
      <c r="F28" s="233">
        <v>0</v>
      </c>
      <c r="G28" s="233">
        <v>-581.32852000000003</v>
      </c>
      <c r="H28" s="233">
        <v>0</v>
      </c>
      <c r="I28" s="233">
        <v>0</v>
      </c>
      <c r="J28" s="233">
        <v>-23517.656760000002</v>
      </c>
      <c r="K28" s="233">
        <f t="shared" si="7"/>
        <v>115488.36517999998</v>
      </c>
      <c r="L28" s="935" t="s">
        <v>258</v>
      </c>
      <c r="M28" s="4">
        <f t="shared" si="1"/>
        <v>13</v>
      </c>
      <c r="N28" s="358"/>
      <c r="O28" s="2"/>
      <c r="Q28" s="6"/>
    </row>
    <row r="29" spans="1:17" x14ac:dyDescent="0.25">
      <c r="A29" s="4">
        <f t="shared" si="0"/>
        <v>14</v>
      </c>
      <c r="B29" s="950">
        <v>353</v>
      </c>
      <c r="C29" s="234" t="s">
        <v>320</v>
      </c>
      <c r="D29" s="233">
        <v>603767.11250000005</v>
      </c>
      <c r="E29" s="233">
        <v>0</v>
      </c>
      <c r="F29" s="233">
        <v>0</v>
      </c>
      <c r="G29" s="233">
        <v>-3921.8576200000002</v>
      </c>
      <c r="H29" s="233">
        <v>-596.89500999999996</v>
      </c>
      <c r="I29" s="233">
        <v>0</v>
      </c>
      <c r="J29" s="233">
        <v>-1704.54414</v>
      </c>
      <c r="K29" s="233">
        <f t="shared" si="7"/>
        <v>597543.81573000003</v>
      </c>
      <c r="L29" s="935" t="s">
        <v>258</v>
      </c>
      <c r="M29" s="4">
        <f t="shared" si="1"/>
        <v>14</v>
      </c>
      <c r="N29" s="358"/>
    </row>
    <row r="30" spans="1:17" x14ac:dyDescent="0.25">
      <c r="A30" s="4">
        <f t="shared" si="0"/>
        <v>15</v>
      </c>
      <c r="B30" s="950">
        <v>354</v>
      </c>
      <c r="C30" s="234" t="s">
        <v>321</v>
      </c>
      <c r="D30" s="233">
        <v>277447.47269000002</v>
      </c>
      <c r="E30" s="233">
        <v>0</v>
      </c>
      <c r="F30" s="233">
        <v>0</v>
      </c>
      <c r="G30" s="233">
        <v>0</v>
      </c>
      <c r="H30" s="233">
        <v>0</v>
      </c>
      <c r="I30" s="233">
        <v>0</v>
      </c>
      <c r="J30" s="233">
        <v>0</v>
      </c>
      <c r="K30" s="233">
        <f t="shared" si="7"/>
        <v>277447.47269000002</v>
      </c>
      <c r="L30" s="935" t="s">
        <v>258</v>
      </c>
      <c r="M30" s="4">
        <f t="shared" si="1"/>
        <v>15</v>
      </c>
      <c r="N30" s="358"/>
    </row>
    <row r="31" spans="1:17" x14ac:dyDescent="0.25">
      <c r="A31" s="4">
        <f t="shared" si="0"/>
        <v>16</v>
      </c>
      <c r="B31" s="950">
        <v>355</v>
      </c>
      <c r="C31" s="234" t="s">
        <v>322</v>
      </c>
      <c r="D31" s="233">
        <v>209140.11919</v>
      </c>
      <c r="E31" s="233">
        <v>0</v>
      </c>
      <c r="F31" s="233">
        <v>0</v>
      </c>
      <c r="G31" s="233">
        <v>0</v>
      </c>
      <c r="H31" s="233">
        <v>0</v>
      </c>
      <c r="I31" s="233">
        <v>0</v>
      </c>
      <c r="J31" s="233">
        <v>0</v>
      </c>
      <c r="K31" s="233">
        <f t="shared" si="7"/>
        <v>209140.11919</v>
      </c>
      <c r="L31" s="935" t="s">
        <v>258</v>
      </c>
      <c r="M31" s="4">
        <f t="shared" si="1"/>
        <v>16</v>
      </c>
      <c r="N31" s="358"/>
    </row>
    <row r="32" spans="1:17" x14ac:dyDescent="0.25">
      <c r="A32" s="4">
        <f t="shared" si="0"/>
        <v>17</v>
      </c>
      <c r="B32" s="950">
        <v>356</v>
      </c>
      <c r="C32" s="234" t="s">
        <v>323</v>
      </c>
      <c r="D32" s="233">
        <v>307343.48389999999</v>
      </c>
      <c r="E32" s="233">
        <v>0</v>
      </c>
      <c r="F32" s="233">
        <v>0</v>
      </c>
      <c r="G32" s="233">
        <v>0</v>
      </c>
      <c r="H32" s="233">
        <v>0</v>
      </c>
      <c r="I32" s="233">
        <v>0</v>
      </c>
      <c r="J32" s="233">
        <v>0</v>
      </c>
      <c r="K32" s="233">
        <f t="shared" si="7"/>
        <v>307343.48389999999</v>
      </c>
      <c r="L32" s="935" t="s">
        <v>258</v>
      </c>
      <c r="M32" s="4">
        <f t="shared" si="1"/>
        <v>17</v>
      </c>
      <c r="N32" s="358"/>
    </row>
    <row r="33" spans="1:14" x14ac:dyDescent="0.25">
      <c r="A33" s="4">
        <f t="shared" si="0"/>
        <v>18</v>
      </c>
      <c r="B33" s="950">
        <v>357</v>
      </c>
      <c r="C33" s="234" t="s">
        <v>324</v>
      </c>
      <c r="D33" s="233">
        <v>115076.96838999999</v>
      </c>
      <c r="E33" s="233">
        <v>0</v>
      </c>
      <c r="F33" s="233">
        <v>0</v>
      </c>
      <c r="G33" s="233">
        <v>0</v>
      </c>
      <c r="H33" s="233">
        <v>0</v>
      </c>
      <c r="I33" s="233">
        <v>0</v>
      </c>
      <c r="J33" s="233">
        <v>0</v>
      </c>
      <c r="K33" s="233">
        <f t="shared" si="7"/>
        <v>115076.96838999999</v>
      </c>
      <c r="L33" s="935" t="s">
        <v>258</v>
      </c>
      <c r="M33" s="4">
        <f t="shared" si="1"/>
        <v>18</v>
      </c>
      <c r="N33" s="358"/>
    </row>
    <row r="34" spans="1:14" x14ac:dyDescent="0.25">
      <c r="A34" s="4">
        <f t="shared" si="0"/>
        <v>19</v>
      </c>
      <c r="B34" s="950">
        <v>358</v>
      </c>
      <c r="C34" s="234" t="s">
        <v>325</v>
      </c>
      <c r="D34" s="233">
        <v>114872.02962</v>
      </c>
      <c r="E34" s="233">
        <v>0</v>
      </c>
      <c r="F34" s="233">
        <v>0</v>
      </c>
      <c r="G34" s="233">
        <v>-643.37243999999998</v>
      </c>
      <c r="H34" s="233">
        <v>0</v>
      </c>
      <c r="I34" s="233">
        <v>0</v>
      </c>
      <c r="J34" s="233">
        <v>0</v>
      </c>
      <c r="K34" s="233">
        <f t="shared" si="7"/>
        <v>114228.65717999999</v>
      </c>
      <c r="L34" s="935" t="s">
        <v>258</v>
      </c>
      <c r="M34" s="4">
        <f t="shared" si="1"/>
        <v>19</v>
      </c>
      <c r="N34" s="358"/>
    </row>
    <row r="35" spans="1:14" x14ac:dyDescent="0.25">
      <c r="A35" s="4">
        <f t="shared" si="0"/>
        <v>20</v>
      </c>
      <c r="B35" s="950">
        <v>359</v>
      </c>
      <c r="C35" s="234" t="s">
        <v>326</v>
      </c>
      <c r="D35" s="233">
        <v>61886.441469999998</v>
      </c>
      <c r="E35" s="233">
        <v>0</v>
      </c>
      <c r="F35" s="233">
        <v>0</v>
      </c>
      <c r="G35" s="233">
        <v>0</v>
      </c>
      <c r="H35" s="233">
        <v>0</v>
      </c>
      <c r="I35" s="233">
        <v>0</v>
      </c>
      <c r="J35" s="233">
        <v>0</v>
      </c>
      <c r="K35" s="233">
        <f t="shared" si="7"/>
        <v>61886.441469999998</v>
      </c>
      <c r="L35" s="935" t="s">
        <v>258</v>
      </c>
      <c r="M35" s="4">
        <f t="shared" si="1"/>
        <v>20</v>
      </c>
      <c r="N35" s="358"/>
    </row>
    <row r="36" spans="1:14" x14ac:dyDescent="0.25">
      <c r="A36" s="4">
        <f t="shared" si="0"/>
        <v>21</v>
      </c>
      <c r="B36" s="974"/>
      <c r="C36" s="234"/>
      <c r="D36" s="233"/>
      <c r="F36" s="94"/>
      <c r="G36" s="94"/>
      <c r="H36" s="94"/>
      <c r="I36" s="94"/>
      <c r="J36" s="233"/>
      <c r="K36" s="94"/>
      <c r="L36" s="950"/>
      <c r="M36" s="4">
        <f t="shared" si="1"/>
        <v>21</v>
      </c>
      <c r="N36" s="358"/>
    </row>
    <row r="37" spans="1:14" x14ac:dyDescent="0.25">
      <c r="A37" s="4">
        <f t="shared" si="0"/>
        <v>22</v>
      </c>
      <c r="B37" s="958" t="s">
        <v>318</v>
      </c>
      <c r="C37" s="953" t="s">
        <v>289</v>
      </c>
      <c r="D37" s="954">
        <f t="shared" ref="D37:K37" si="8">SUM(D24:D36)</f>
        <v>1861233.6263900001</v>
      </c>
      <c r="E37" s="954">
        <f t="shared" si="8"/>
        <v>0</v>
      </c>
      <c r="F37" s="954">
        <f t="shared" si="8"/>
        <v>0</v>
      </c>
      <c r="G37" s="954">
        <f t="shared" si="8"/>
        <v>-5146.5585799999999</v>
      </c>
      <c r="H37" s="954">
        <f t="shared" si="8"/>
        <v>-596.89500999999996</v>
      </c>
      <c r="I37" s="954">
        <f t="shared" si="8"/>
        <v>0</v>
      </c>
      <c r="J37" s="954">
        <f t="shared" si="8"/>
        <v>-25609.538130000001</v>
      </c>
      <c r="K37" s="954">
        <f t="shared" si="8"/>
        <v>1829880.6346700001</v>
      </c>
      <c r="L37" s="959" t="s">
        <v>1557</v>
      </c>
      <c r="M37" s="4">
        <f t="shared" si="1"/>
        <v>22</v>
      </c>
      <c r="N37" s="358"/>
    </row>
    <row r="38" spans="1:14" x14ac:dyDescent="0.25">
      <c r="A38" s="4">
        <f t="shared" si="0"/>
        <v>23</v>
      </c>
      <c r="B38" s="332"/>
      <c r="D38" s="31"/>
      <c r="L38" s="302"/>
      <c r="M38" s="4">
        <f t="shared" si="1"/>
        <v>23</v>
      </c>
      <c r="N38" s="358"/>
    </row>
    <row r="39" spans="1:14" x14ac:dyDescent="0.25">
      <c r="A39" s="4">
        <f t="shared" si="0"/>
        <v>24</v>
      </c>
      <c r="B39" s="333" t="s">
        <v>327</v>
      </c>
      <c r="C39" s="960"/>
      <c r="D39" s="576">
        <f t="shared" ref="D39:K39" si="9">D37+D22</f>
        <v>1861233.6263900001</v>
      </c>
      <c r="E39" s="576">
        <f t="shared" si="9"/>
        <v>1.1260899999999998</v>
      </c>
      <c r="F39" s="576">
        <f t="shared" si="9"/>
        <v>730.01688000000001</v>
      </c>
      <c r="G39" s="576">
        <f t="shared" si="9"/>
        <v>-5146.5585799999999</v>
      </c>
      <c r="H39" s="576">
        <f t="shared" si="9"/>
        <v>-596.89500999999996</v>
      </c>
      <c r="I39" s="576">
        <f t="shared" si="9"/>
        <v>0</v>
      </c>
      <c r="J39" s="63">
        <f t="shared" si="9"/>
        <v>-25609.538130000001</v>
      </c>
      <c r="K39" s="576">
        <f t="shared" si="9"/>
        <v>1830611.77764</v>
      </c>
      <c r="L39" s="955" t="s">
        <v>1558</v>
      </c>
      <c r="M39" s="4">
        <f t="shared" si="1"/>
        <v>24</v>
      </c>
      <c r="N39" s="358"/>
    </row>
    <row r="40" spans="1:14" x14ac:dyDescent="0.25">
      <c r="D40" s="31"/>
      <c r="K40" s="334"/>
      <c r="L40" s="334"/>
    </row>
    <row r="41" spans="1:14" x14ac:dyDescent="0.25">
      <c r="D41" s="31"/>
      <c r="K41" s="334"/>
      <c r="L41" s="334"/>
    </row>
    <row r="42" spans="1:14" x14ac:dyDescent="0.25">
      <c r="B42" s="31" t="s">
        <v>383</v>
      </c>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workbookViewId="0"/>
  </sheetViews>
  <sheetFormatPr defaultColWidth="9.28515625" defaultRowHeight="15.75" x14ac:dyDescent="0.25"/>
  <cols>
    <col min="1" max="1" width="5.28515625" style="4" customWidth="1"/>
    <col min="2" max="2" width="11.28515625" style="31" customWidth="1"/>
    <col min="3" max="3" width="32.5703125" style="31" customWidth="1"/>
    <col min="4" max="11" width="18.5703125" style="6" customWidth="1"/>
    <col min="12" max="12" width="24" style="6" customWidth="1"/>
    <col min="13" max="14" width="5.28515625" style="4" customWidth="1"/>
    <col min="15" max="16384" width="9.28515625" style="31"/>
  </cols>
  <sheetData>
    <row r="2" spans="1:14" s="1" customFormat="1" x14ac:dyDescent="0.25">
      <c r="A2" s="218"/>
      <c r="B2" s="1294" t="s">
        <v>0</v>
      </c>
      <c r="C2" s="1294"/>
      <c r="D2" s="1294"/>
      <c r="E2" s="1294"/>
      <c r="F2" s="1294"/>
      <c r="G2" s="1294"/>
      <c r="H2" s="1294"/>
      <c r="I2" s="1294"/>
      <c r="J2" s="1294"/>
      <c r="K2" s="1294"/>
      <c r="L2" s="1294"/>
      <c r="M2" s="218"/>
      <c r="N2" s="218"/>
    </row>
    <row r="3" spans="1:14" s="1" customFormat="1" x14ac:dyDescent="0.25">
      <c r="A3" s="218"/>
      <c r="B3" s="1294" t="s">
        <v>291</v>
      </c>
      <c r="C3" s="1294"/>
      <c r="D3" s="1294"/>
      <c r="E3" s="1294"/>
      <c r="F3" s="1294"/>
      <c r="G3" s="1294"/>
      <c r="H3" s="1294"/>
      <c r="I3" s="1294"/>
      <c r="J3" s="1294"/>
      <c r="K3" s="1294"/>
      <c r="L3" s="1294"/>
      <c r="M3" s="218"/>
      <c r="N3" s="218"/>
    </row>
    <row r="4" spans="1:14" x14ac:dyDescent="0.25">
      <c r="B4" s="1294" t="s">
        <v>377</v>
      </c>
      <c r="C4" s="1294"/>
      <c r="D4" s="1294"/>
      <c r="E4" s="1294"/>
      <c r="F4" s="1294"/>
      <c r="G4" s="1294"/>
      <c r="H4" s="1294"/>
      <c r="I4" s="1294"/>
      <c r="J4" s="1294"/>
      <c r="K4" s="1294"/>
      <c r="L4" s="1294"/>
    </row>
    <row r="5" spans="1:14" x14ac:dyDescent="0.25">
      <c r="B5" s="1294" t="s">
        <v>372</v>
      </c>
      <c r="C5" s="1294"/>
      <c r="D5" s="1294"/>
      <c r="E5" s="1294"/>
      <c r="F5" s="1294"/>
      <c r="G5" s="1294"/>
      <c r="H5" s="1294"/>
      <c r="I5" s="1294"/>
      <c r="J5" s="1294"/>
      <c r="K5" s="1294"/>
      <c r="L5" s="1294"/>
    </row>
    <row r="6" spans="1:14" x14ac:dyDescent="0.25">
      <c r="B6" s="1294" t="str">
        <f>'AD-6B'!B5</f>
        <v>BALANCES AS OF 12/31/2023</v>
      </c>
      <c r="C6" s="1294"/>
      <c r="D6" s="1294"/>
      <c r="E6" s="1294"/>
      <c r="F6" s="1294"/>
      <c r="G6" s="1294"/>
      <c r="H6" s="1294"/>
      <c r="I6" s="1294"/>
      <c r="J6" s="1294"/>
      <c r="K6" s="1294"/>
      <c r="L6" s="1294"/>
    </row>
    <row r="7" spans="1:14" x14ac:dyDescent="0.25">
      <c r="B7" s="1299" t="s">
        <v>4</v>
      </c>
      <c r="C7" s="1294"/>
      <c r="D7" s="1294"/>
      <c r="E7" s="1294"/>
      <c r="F7" s="1294"/>
      <c r="G7" s="1294"/>
      <c r="H7" s="1294"/>
      <c r="I7" s="1294"/>
      <c r="J7" s="1294"/>
      <c r="K7" s="1294"/>
      <c r="L7" s="1294"/>
    </row>
    <row r="8" spans="1:14" x14ac:dyDescent="0.25">
      <c r="C8" s="267"/>
      <c r="D8" s="268"/>
      <c r="E8" s="294"/>
      <c r="F8" s="294"/>
      <c r="G8" s="294"/>
      <c r="H8" s="294"/>
      <c r="I8" s="294"/>
      <c r="J8" s="294"/>
      <c r="K8" s="294"/>
      <c r="L8" s="294"/>
    </row>
    <row r="9" spans="1:14" s="218" customFormat="1" x14ac:dyDescent="0.25">
      <c r="B9" s="965"/>
      <c r="C9" s="946"/>
      <c r="D9" s="947" t="s">
        <v>293</v>
      </c>
      <c r="E9" s="947" t="s">
        <v>294</v>
      </c>
      <c r="F9" s="947" t="s">
        <v>295</v>
      </c>
      <c r="G9" s="947" t="s">
        <v>296</v>
      </c>
      <c r="H9" s="947" t="s">
        <v>297</v>
      </c>
      <c r="I9" s="947" t="s">
        <v>298</v>
      </c>
      <c r="J9" s="947" t="s">
        <v>299</v>
      </c>
      <c r="K9" s="335" t="s">
        <v>300</v>
      </c>
      <c r="L9" s="928"/>
    </row>
    <row r="10" spans="1:14" x14ac:dyDescent="0.25">
      <c r="B10" s="973"/>
      <c r="C10" s="929"/>
      <c r="D10" s="295"/>
      <c r="E10" s="295"/>
      <c r="F10" s="299"/>
      <c r="G10" s="295"/>
      <c r="H10" s="295"/>
      <c r="I10" s="295"/>
      <c r="J10" s="295"/>
      <c r="K10" s="300" t="s">
        <v>177</v>
      </c>
      <c r="L10" s="948"/>
    </row>
    <row r="11" spans="1:14" x14ac:dyDescent="0.25">
      <c r="B11" s="973"/>
      <c r="C11" s="929"/>
      <c r="D11" s="295"/>
      <c r="E11" s="295" t="s">
        <v>301</v>
      </c>
      <c r="F11" s="299" t="s">
        <v>285</v>
      </c>
      <c r="G11" s="295" t="s">
        <v>290</v>
      </c>
      <c r="H11" s="295" t="s">
        <v>290</v>
      </c>
      <c r="I11" s="295" t="s">
        <v>290</v>
      </c>
      <c r="J11" s="295" t="s">
        <v>290</v>
      </c>
      <c r="K11" s="299" t="s">
        <v>290</v>
      </c>
      <c r="L11" s="935"/>
    </row>
    <row r="12" spans="1:14" x14ac:dyDescent="0.25">
      <c r="B12" s="332"/>
      <c r="C12" s="234"/>
      <c r="D12" s="299" t="s">
        <v>177</v>
      </c>
      <c r="E12" s="295" t="s">
        <v>378</v>
      </c>
      <c r="F12" s="295" t="s">
        <v>378</v>
      </c>
      <c r="G12" s="295" t="s">
        <v>378</v>
      </c>
      <c r="H12" s="295" t="s">
        <v>378</v>
      </c>
      <c r="I12" s="295" t="s">
        <v>378</v>
      </c>
      <c r="J12" s="295" t="s">
        <v>378</v>
      </c>
      <c r="K12" s="299" t="s">
        <v>373</v>
      </c>
      <c r="L12" s="270"/>
    </row>
    <row r="13" spans="1:14" x14ac:dyDescent="0.25">
      <c r="A13" s="4" t="s">
        <v>5</v>
      </c>
      <c r="B13" s="319"/>
      <c r="C13" s="278"/>
      <c r="D13" s="299" t="s">
        <v>290</v>
      </c>
      <c r="E13" s="295" t="s">
        <v>379</v>
      </c>
      <c r="F13" s="295" t="s">
        <v>379</v>
      </c>
      <c r="G13" s="295" t="s">
        <v>379</v>
      </c>
      <c r="H13" s="295" t="s">
        <v>379</v>
      </c>
      <c r="I13" s="295" t="s">
        <v>379</v>
      </c>
      <c r="J13" s="295" t="s">
        <v>379</v>
      </c>
      <c r="K13" s="299" t="s">
        <v>332</v>
      </c>
      <c r="L13" s="270"/>
      <c r="M13" s="4" t="s">
        <v>5</v>
      </c>
    </row>
    <row r="14" spans="1:14" x14ac:dyDescent="0.25">
      <c r="A14" s="4" t="s">
        <v>6</v>
      </c>
      <c r="B14" s="306" t="s">
        <v>305</v>
      </c>
      <c r="C14" s="275" t="s">
        <v>306</v>
      </c>
      <c r="D14" s="307" t="s">
        <v>378</v>
      </c>
      <c r="E14" s="301" t="s">
        <v>307</v>
      </c>
      <c r="F14" s="301" t="s">
        <v>308</v>
      </c>
      <c r="G14" s="301" t="s">
        <v>380</v>
      </c>
      <c r="H14" s="301" t="s">
        <v>381</v>
      </c>
      <c r="I14" s="301" t="s">
        <v>382</v>
      </c>
      <c r="J14" s="301" t="s">
        <v>311</v>
      </c>
      <c r="K14" s="276" t="s">
        <v>312</v>
      </c>
      <c r="L14" s="275" t="s">
        <v>8</v>
      </c>
      <c r="M14" s="4" t="s">
        <v>6</v>
      </c>
    </row>
    <row r="15" spans="1:14" x14ac:dyDescent="0.25">
      <c r="B15" s="234"/>
      <c r="C15" s="234" t="s">
        <v>313</v>
      </c>
      <c r="D15" s="234"/>
      <c r="E15" s="234"/>
      <c r="F15" s="234"/>
      <c r="G15" s="234"/>
      <c r="H15" s="234"/>
      <c r="I15" s="234"/>
      <c r="J15" s="234"/>
      <c r="K15" s="62"/>
      <c r="L15" s="935"/>
    </row>
    <row r="16" spans="1:14" x14ac:dyDescent="0.25">
      <c r="A16" s="4">
        <v>1</v>
      </c>
      <c r="B16" s="950">
        <v>303</v>
      </c>
      <c r="C16" s="234" t="s">
        <v>314</v>
      </c>
      <c r="D16" s="232">
        <v>0</v>
      </c>
      <c r="E16" s="232">
        <v>0</v>
      </c>
      <c r="F16" s="232">
        <v>0</v>
      </c>
      <c r="G16" s="232">
        <v>0</v>
      </c>
      <c r="H16" s="232">
        <v>0</v>
      </c>
      <c r="I16" s="232">
        <v>0</v>
      </c>
      <c r="J16" s="232">
        <v>0</v>
      </c>
      <c r="K16" s="58">
        <f>SUM(D16:J16)</f>
        <v>0</v>
      </c>
      <c r="L16" s="935" t="s">
        <v>258</v>
      </c>
      <c r="M16" s="4">
        <f>A16</f>
        <v>1</v>
      </c>
    </row>
    <row r="17" spans="1:16" x14ac:dyDescent="0.25">
      <c r="A17" s="4">
        <f>A16+1</f>
        <v>2</v>
      </c>
      <c r="B17" s="935">
        <v>310.10000000000002</v>
      </c>
      <c r="C17" s="234" t="s">
        <v>315</v>
      </c>
      <c r="D17" s="233">
        <v>0</v>
      </c>
      <c r="E17" s="233">
        <v>0</v>
      </c>
      <c r="F17" s="233">
        <v>0</v>
      </c>
      <c r="G17" s="233">
        <v>0</v>
      </c>
      <c r="H17" s="233">
        <v>0</v>
      </c>
      <c r="I17" s="233">
        <v>0</v>
      </c>
      <c r="J17" s="233">
        <v>0</v>
      </c>
      <c r="K17" s="52">
        <f>SUM(D17:J17)</f>
        <v>0</v>
      </c>
      <c r="L17" s="935" t="s">
        <v>258</v>
      </c>
      <c r="M17" s="4">
        <f>M16+1</f>
        <v>2</v>
      </c>
    </row>
    <row r="18" spans="1:16" x14ac:dyDescent="0.25">
      <c r="A18" s="4">
        <f t="shared" ref="A18:A39" si="0">A17+1</f>
        <v>3</v>
      </c>
      <c r="B18" s="950">
        <v>340</v>
      </c>
      <c r="C18" s="951" t="s">
        <v>316</v>
      </c>
      <c r="D18" s="233">
        <v>0</v>
      </c>
      <c r="E18" s="233">
        <v>1.1003514720000001</v>
      </c>
      <c r="F18" s="233">
        <v>0</v>
      </c>
      <c r="G18" s="233">
        <v>0</v>
      </c>
      <c r="H18" s="233">
        <v>0</v>
      </c>
      <c r="I18" s="233">
        <v>0</v>
      </c>
      <c r="J18" s="233">
        <v>0</v>
      </c>
      <c r="K18" s="52">
        <f>SUM(D18:J18)</f>
        <v>1.1003514720000001</v>
      </c>
      <c r="L18" s="935" t="s">
        <v>258</v>
      </c>
      <c r="M18" s="4">
        <f t="shared" ref="M18:M39" si="1">M17+1</f>
        <v>3</v>
      </c>
    </row>
    <row r="19" spans="1:16" x14ac:dyDescent="0.25">
      <c r="A19" s="4">
        <f t="shared" si="0"/>
        <v>4</v>
      </c>
      <c r="B19" s="950">
        <v>360</v>
      </c>
      <c r="C19" s="951" t="s">
        <v>316</v>
      </c>
      <c r="D19" s="233">
        <v>0</v>
      </c>
      <c r="E19" s="233">
        <v>0</v>
      </c>
      <c r="F19" s="233">
        <v>49.343540000000004</v>
      </c>
      <c r="G19" s="233">
        <v>0</v>
      </c>
      <c r="H19" s="233">
        <v>0</v>
      </c>
      <c r="I19" s="233">
        <v>0</v>
      </c>
      <c r="J19" s="233">
        <v>0</v>
      </c>
      <c r="K19" s="52">
        <f>SUM(D19:J19)</f>
        <v>49.343540000000004</v>
      </c>
      <c r="L19" s="935" t="s">
        <v>258</v>
      </c>
      <c r="M19" s="4">
        <f t="shared" si="1"/>
        <v>4</v>
      </c>
    </row>
    <row r="20" spans="1:16" x14ac:dyDescent="0.25">
      <c r="A20" s="4">
        <f t="shared" si="0"/>
        <v>5</v>
      </c>
      <c r="B20" s="950">
        <v>361</v>
      </c>
      <c r="C20" s="234" t="s">
        <v>317</v>
      </c>
      <c r="D20" s="233">
        <v>0</v>
      </c>
      <c r="E20" s="233">
        <v>0</v>
      </c>
      <c r="F20" s="233">
        <v>785.35741082426387</v>
      </c>
      <c r="G20" s="233">
        <v>0</v>
      </c>
      <c r="H20" s="233">
        <v>0</v>
      </c>
      <c r="I20" s="233">
        <v>0</v>
      </c>
      <c r="J20" s="233">
        <v>0</v>
      </c>
      <c r="K20" s="52">
        <f>SUM(D20:J20)</f>
        <v>785.35741082426387</v>
      </c>
      <c r="L20" s="935" t="s">
        <v>258</v>
      </c>
      <c r="M20" s="4">
        <f t="shared" si="1"/>
        <v>5</v>
      </c>
    </row>
    <row r="21" spans="1:16" x14ac:dyDescent="0.25">
      <c r="A21" s="4">
        <f t="shared" si="0"/>
        <v>6</v>
      </c>
      <c r="B21" s="935"/>
      <c r="C21" s="234"/>
      <c r="D21" s="234"/>
      <c r="E21" s="234"/>
      <c r="F21" s="234"/>
      <c r="G21" s="234"/>
      <c r="H21" s="234"/>
      <c r="I21" s="234"/>
      <c r="J21" s="234"/>
      <c r="K21" s="52"/>
      <c r="L21" s="935"/>
      <c r="M21" s="4">
        <f t="shared" si="1"/>
        <v>6</v>
      </c>
    </row>
    <row r="22" spans="1:16" s="1" customFormat="1" x14ac:dyDescent="0.25">
      <c r="A22" s="4">
        <f t="shared" si="0"/>
        <v>7</v>
      </c>
      <c r="B22" s="952" t="s">
        <v>318</v>
      </c>
      <c r="C22" s="953" t="s">
        <v>319</v>
      </c>
      <c r="D22" s="954">
        <f t="shared" ref="D22:I22" si="2">SUM(D16:D21)</f>
        <v>0</v>
      </c>
      <c r="E22" s="954">
        <f t="shared" si="2"/>
        <v>1.1003514720000001</v>
      </c>
      <c r="F22" s="954">
        <f t="shared" si="2"/>
        <v>834.70095082426383</v>
      </c>
      <c r="G22" s="954">
        <f t="shared" si="2"/>
        <v>0</v>
      </c>
      <c r="H22" s="954">
        <f t="shared" si="2"/>
        <v>0</v>
      </c>
      <c r="I22" s="954">
        <f t="shared" si="2"/>
        <v>0</v>
      </c>
      <c r="J22" s="954">
        <f>SUM(J16:J21)</f>
        <v>0</v>
      </c>
      <c r="K22" s="236">
        <f>SUM(K16:K21)</f>
        <v>835.80130229626388</v>
      </c>
      <c r="L22" s="955" t="s">
        <v>14</v>
      </c>
      <c r="M22" s="4">
        <f t="shared" si="1"/>
        <v>7</v>
      </c>
      <c r="N22" s="4"/>
    </row>
    <row r="23" spans="1:16" x14ac:dyDescent="0.25">
      <c r="A23" s="4">
        <f t="shared" si="0"/>
        <v>8</v>
      </c>
      <c r="B23" s="935"/>
      <c r="C23" s="234"/>
      <c r="D23" s="233"/>
      <c r="E23" s="233"/>
      <c r="F23" s="233"/>
      <c r="G23" s="233"/>
      <c r="H23" s="233"/>
      <c r="I23" s="233"/>
      <c r="J23" s="233"/>
      <c r="K23" s="80"/>
      <c r="L23" s="935"/>
      <c r="M23" s="4">
        <f t="shared" si="1"/>
        <v>8</v>
      </c>
    </row>
    <row r="24" spans="1:16" x14ac:dyDescent="0.25">
      <c r="A24" s="4">
        <f t="shared" si="0"/>
        <v>9</v>
      </c>
      <c r="B24" s="950">
        <v>350</v>
      </c>
      <c r="C24" s="234" t="s">
        <v>316</v>
      </c>
      <c r="D24" s="232">
        <v>34192.177180000013</v>
      </c>
      <c r="E24" s="232">
        <v>0</v>
      </c>
      <c r="F24" s="232">
        <v>0</v>
      </c>
      <c r="G24" s="232">
        <v>0</v>
      </c>
      <c r="H24" s="232">
        <v>0</v>
      </c>
      <c r="I24" s="232">
        <v>0</v>
      </c>
      <c r="J24" s="232">
        <v>-398.91016672000012</v>
      </c>
      <c r="K24" s="58">
        <f t="shared" ref="K24:K35" si="3">SUM(D24:J24)</f>
        <v>33793.267013280012</v>
      </c>
      <c r="L24" s="935" t="s">
        <v>258</v>
      </c>
      <c r="M24" s="4">
        <f t="shared" si="1"/>
        <v>9</v>
      </c>
    </row>
    <row r="25" spans="1:16" x14ac:dyDescent="0.25">
      <c r="A25" s="4">
        <f t="shared" si="0"/>
        <v>10</v>
      </c>
      <c r="B25" s="950">
        <v>351.1</v>
      </c>
      <c r="C25" s="234" t="s">
        <v>1544</v>
      </c>
      <c r="D25" s="1108">
        <v>0</v>
      </c>
      <c r="E25" s="1108">
        <v>0</v>
      </c>
      <c r="F25" s="1108">
        <v>0</v>
      </c>
      <c r="G25" s="1108">
        <v>0</v>
      </c>
      <c r="H25" s="1108">
        <v>0</v>
      </c>
      <c r="I25" s="1108">
        <v>0</v>
      </c>
      <c r="J25" s="1108">
        <v>0</v>
      </c>
      <c r="K25" s="52">
        <f t="shared" si="3"/>
        <v>0</v>
      </c>
      <c r="L25" s="935" t="s">
        <v>258</v>
      </c>
      <c r="M25" s="4">
        <f t="shared" si="1"/>
        <v>10</v>
      </c>
      <c r="N25" s="358"/>
      <c r="O25" s="358"/>
    </row>
    <row r="26" spans="1:16" x14ac:dyDescent="0.25">
      <c r="A26" s="4">
        <f t="shared" si="0"/>
        <v>11</v>
      </c>
      <c r="B26" s="950">
        <v>351.2</v>
      </c>
      <c r="C26" s="234" t="s">
        <v>1545</v>
      </c>
      <c r="D26" s="1108">
        <v>0</v>
      </c>
      <c r="E26" s="1108">
        <v>0</v>
      </c>
      <c r="F26" s="1108">
        <v>0</v>
      </c>
      <c r="G26" s="1108">
        <v>0</v>
      </c>
      <c r="H26" s="1108">
        <v>0</v>
      </c>
      <c r="I26" s="1108">
        <v>0</v>
      </c>
      <c r="J26" s="1108">
        <v>0</v>
      </c>
      <c r="K26" s="52">
        <f t="shared" si="3"/>
        <v>0</v>
      </c>
      <c r="L26" s="935" t="s">
        <v>258</v>
      </c>
      <c r="M26" s="4">
        <f t="shared" si="1"/>
        <v>11</v>
      </c>
      <c r="N26" s="358"/>
      <c r="O26" s="358"/>
    </row>
    <row r="27" spans="1:16" x14ac:dyDescent="0.25">
      <c r="A27" s="4">
        <f t="shared" si="0"/>
        <v>12</v>
      </c>
      <c r="B27" s="950">
        <v>351.3</v>
      </c>
      <c r="C27" s="234" t="s">
        <v>1546</v>
      </c>
      <c r="D27" s="1108">
        <v>0</v>
      </c>
      <c r="E27" s="1108">
        <v>0</v>
      </c>
      <c r="F27" s="1108">
        <v>0</v>
      </c>
      <c r="G27" s="1108">
        <v>0</v>
      </c>
      <c r="H27" s="1108">
        <v>0</v>
      </c>
      <c r="I27" s="1108">
        <v>0</v>
      </c>
      <c r="J27" s="1108">
        <v>0</v>
      </c>
      <c r="K27" s="52">
        <f t="shared" si="3"/>
        <v>0</v>
      </c>
      <c r="L27" s="935" t="s">
        <v>258</v>
      </c>
      <c r="M27" s="4">
        <f t="shared" si="1"/>
        <v>12</v>
      </c>
      <c r="N27" s="358"/>
      <c r="O27" s="358"/>
    </row>
    <row r="28" spans="1:16" x14ac:dyDescent="0.25">
      <c r="A28" s="4">
        <f t="shared" si="0"/>
        <v>13</v>
      </c>
      <c r="B28" s="950">
        <v>352</v>
      </c>
      <c r="C28" s="234" t="s">
        <v>317</v>
      </c>
      <c r="D28" s="233">
        <v>158132.68946523691</v>
      </c>
      <c r="E28" s="233">
        <v>0</v>
      </c>
      <c r="F28" s="233">
        <v>0</v>
      </c>
      <c r="G28" s="233">
        <v>-619.54469105066437</v>
      </c>
      <c r="H28" s="233">
        <v>0</v>
      </c>
      <c r="I28" s="233">
        <v>0</v>
      </c>
      <c r="J28" s="233">
        <v>-25973.644242050963</v>
      </c>
      <c r="K28" s="52">
        <f t="shared" si="3"/>
        <v>131539.50053213528</v>
      </c>
      <c r="L28" s="935" t="s">
        <v>258</v>
      </c>
      <c r="M28" s="4">
        <f t="shared" si="1"/>
        <v>13</v>
      </c>
      <c r="N28" s="358"/>
      <c r="P28" s="6"/>
    </row>
    <row r="29" spans="1:16" x14ac:dyDescent="0.25">
      <c r="A29" s="4">
        <f t="shared" si="0"/>
        <v>14</v>
      </c>
      <c r="B29" s="950">
        <v>353</v>
      </c>
      <c r="C29" s="234" t="s">
        <v>320</v>
      </c>
      <c r="D29" s="233">
        <v>675429.88923556637</v>
      </c>
      <c r="E29" s="233">
        <v>0</v>
      </c>
      <c r="F29" s="233">
        <v>0</v>
      </c>
      <c r="G29" s="233">
        <v>-4307.0072822957945</v>
      </c>
      <c r="H29" s="233">
        <v>-648.59725349409518</v>
      </c>
      <c r="I29" s="233">
        <v>0</v>
      </c>
      <c r="J29" s="233">
        <v>-1801.597698374565</v>
      </c>
      <c r="K29" s="52">
        <f t="shared" si="3"/>
        <v>668672.68700140191</v>
      </c>
      <c r="L29" s="935" t="s">
        <v>258</v>
      </c>
      <c r="M29" s="4">
        <f t="shared" si="1"/>
        <v>14</v>
      </c>
      <c r="N29" s="358"/>
    </row>
    <row r="30" spans="1:16" x14ac:dyDescent="0.25">
      <c r="A30" s="4">
        <f t="shared" si="0"/>
        <v>15</v>
      </c>
      <c r="B30" s="950">
        <v>354</v>
      </c>
      <c r="C30" s="234" t="s">
        <v>321</v>
      </c>
      <c r="D30" s="233">
        <v>300967.89680160215</v>
      </c>
      <c r="E30" s="233">
        <v>0</v>
      </c>
      <c r="F30" s="233">
        <v>0</v>
      </c>
      <c r="G30" s="233">
        <v>0</v>
      </c>
      <c r="H30" s="233">
        <v>0</v>
      </c>
      <c r="I30" s="233">
        <v>0</v>
      </c>
      <c r="J30" s="233">
        <v>0</v>
      </c>
      <c r="K30" s="52">
        <f t="shared" si="3"/>
        <v>300967.89680160215</v>
      </c>
      <c r="L30" s="935" t="s">
        <v>258</v>
      </c>
      <c r="M30" s="4">
        <f t="shared" si="1"/>
        <v>15</v>
      </c>
      <c r="N30" s="358"/>
    </row>
    <row r="31" spans="1:16" x14ac:dyDescent="0.25">
      <c r="A31" s="4">
        <f t="shared" si="0"/>
        <v>16</v>
      </c>
      <c r="B31" s="950">
        <v>355</v>
      </c>
      <c r="C31" s="234" t="s">
        <v>322</v>
      </c>
      <c r="D31" s="233">
        <v>242890.36550048084</v>
      </c>
      <c r="E31" s="233">
        <v>0</v>
      </c>
      <c r="F31" s="233">
        <v>0</v>
      </c>
      <c r="G31" s="233">
        <v>0</v>
      </c>
      <c r="H31" s="233">
        <v>0</v>
      </c>
      <c r="I31" s="233">
        <v>0</v>
      </c>
      <c r="J31" s="233">
        <v>0</v>
      </c>
      <c r="K31" s="52">
        <f t="shared" si="3"/>
        <v>242890.36550048084</v>
      </c>
      <c r="L31" s="935" t="s">
        <v>258</v>
      </c>
      <c r="M31" s="4">
        <f t="shared" si="1"/>
        <v>16</v>
      </c>
      <c r="N31" s="358"/>
    </row>
    <row r="32" spans="1:16" x14ac:dyDescent="0.25">
      <c r="A32" s="4">
        <f t="shared" si="0"/>
        <v>17</v>
      </c>
      <c r="B32" s="950">
        <v>356</v>
      </c>
      <c r="C32" s="234" t="s">
        <v>323</v>
      </c>
      <c r="D32" s="233">
        <v>319418.18373260985</v>
      </c>
      <c r="E32" s="233">
        <v>0</v>
      </c>
      <c r="F32" s="233">
        <v>0</v>
      </c>
      <c r="G32" s="233">
        <v>0</v>
      </c>
      <c r="H32" s="233">
        <v>0</v>
      </c>
      <c r="I32" s="233">
        <v>0</v>
      </c>
      <c r="J32" s="233">
        <v>0</v>
      </c>
      <c r="K32" s="52">
        <f t="shared" si="3"/>
        <v>319418.18373260985</v>
      </c>
      <c r="L32" s="935" t="s">
        <v>258</v>
      </c>
      <c r="M32" s="4">
        <f t="shared" si="1"/>
        <v>17</v>
      </c>
      <c r="N32" s="358"/>
    </row>
    <row r="33" spans="1:14" x14ac:dyDescent="0.25">
      <c r="A33" s="4">
        <f t="shared" si="0"/>
        <v>18</v>
      </c>
      <c r="B33" s="950">
        <v>357</v>
      </c>
      <c r="C33" s="234" t="s">
        <v>324</v>
      </c>
      <c r="D33" s="233">
        <v>128993.86591752002</v>
      </c>
      <c r="E33" s="233">
        <v>0</v>
      </c>
      <c r="F33" s="233">
        <v>0</v>
      </c>
      <c r="G33" s="233">
        <v>0</v>
      </c>
      <c r="H33" s="233">
        <v>0</v>
      </c>
      <c r="I33" s="233">
        <v>0</v>
      </c>
      <c r="J33" s="233">
        <v>0</v>
      </c>
      <c r="K33" s="52">
        <f t="shared" si="3"/>
        <v>128993.86591752002</v>
      </c>
      <c r="L33" s="935" t="s">
        <v>258</v>
      </c>
      <c r="M33" s="4">
        <f t="shared" si="1"/>
        <v>18</v>
      </c>
      <c r="N33" s="358"/>
    </row>
    <row r="34" spans="1:14" x14ac:dyDescent="0.25">
      <c r="A34" s="4">
        <f t="shared" si="0"/>
        <v>19</v>
      </c>
      <c r="B34" s="950">
        <v>358</v>
      </c>
      <c r="C34" s="234" t="s">
        <v>325</v>
      </c>
      <c r="D34" s="233">
        <v>127912.44765813717</v>
      </c>
      <c r="E34" s="233">
        <v>0</v>
      </c>
      <c r="F34" s="233">
        <v>0</v>
      </c>
      <c r="G34" s="233">
        <v>-677.52025342225772</v>
      </c>
      <c r="H34" s="233">
        <v>0</v>
      </c>
      <c r="I34" s="233">
        <v>0</v>
      </c>
      <c r="J34" s="233">
        <v>0</v>
      </c>
      <c r="K34" s="52">
        <f t="shared" si="3"/>
        <v>127234.92740471491</v>
      </c>
      <c r="L34" s="935" t="s">
        <v>258</v>
      </c>
      <c r="M34" s="4">
        <f t="shared" si="1"/>
        <v>19</v>
      </c>
      <c r="N34" s="358"/>
    </row>
    <row r="35" spans="1:14" x14ac:dyDescent="0.25">
      <c r="A35" s="4">
        <f t="shared" si="0"/>
        <v>20</v>
      </c>
      <c r="B35" s="950">
        <v>359</v>
      </c>
      <c r="C35" s="234" t="s">
        <v>326</v>
      </c>
      <c r="D35" s="233">
        <v>68288.094049413616</v>
      </c>
      <c r="E35" s="233">
        <v>0</v>
      </c>
      <c r="F35" s="233">
        <v>0</v>
      </c>
      <c r="G35" s="233">
        <v>0</v>
      </c>
      <c r="H35" s="233">
        <v>0</v>
      </c>
      <c r="I35" s="233">
        <v>0</v>
      </c>
      <c r="J35" s="233">
        <v>0</v>
      </c>
      <c r="K35" s="52">
        <f t="shared" si="3"/>
        <v>68288.094049413616</v>
      </c>
      <c r="L35" s="935" t="s">
        <v>258</v>
      </c>
      <c r="M35" s="4">
        <f t="shared" si="1"/>
        <v>20</v>
      </c>
      <c r="N35" s="358"/>
    </row>
    <row r="36" spans="1:14" x14ac:dyDescent="0.25">
      <c r="A36" s="4">
        <f t="shared" si="0"/>
        <v>21</v>
      </c>
      <c r="B36" s="974"/>
      <c r="C36" s="234"/>
      <c r="D36" s="233"/>
      <c r="F36" s="94"/>
      <c r="G36" s="94"/>
      <c r="H36" s="94"/>
      <c r="I36" s="94"/>
      <c r="J36" s="233"/>
      <c r="K36" s="53"/>
      <c r="L36" s="950"/>
      <c r="M36" s="4">
        <f t="shared" si="1"/>
        <v>21</v>
      </c>
      <c r="N36" s="358"/>
    </row>
    <row r="37" spans="1:14" x14ac:dyDescent="0.25">
      <c r="A37" s="4">
        <f t="shared" si="0"/>
        <v>22</v>
      </c>
      <c r="B37" s="958" t="s">
        <v>318</v>
      </c>
      <c r="C37" s="953" t="s">
        <v>289</v>
      </c>
      <c r="D37" s="954">
        <f>SUM(D24:D36)</f>
        <v>2056225.609540567</v>
      </c>
      <c r="E37" s="954">
        <f>SUM(E24:E36)</f>
        <v>0</v>
      </c>
      <c r="F37" s="954">
        <f>SUM(F24:F36)</f>
        <v>0</v>
      </c>
      <c r="G37" s="954">
        <f>SUM(G24:G36)</f>
        <v>-5604.072226768717</v>
      </c>
      <c r="H37" s="954">
        <f>SUM(H24:H36)</f>
        <v>-648.59725349409518</v>
      </c>
      <c r="I37" s="954">
        <f t="shared" ref="I37" si="4">SUM(I24:I36)</f>
        <v>0</v>
      </c>
      <c r="J37" s="954">
        <f>SUM(J24:J36)</f>
        <v>-28174.152107145528</v>
      </c>
      <c r="K37" s="236">
        <f>SUM(K24:K36)</f>
        <v>2021798.7879531591</v>
      </c>
      <c r="L37" s="959" t="s">
        <v>1557</v>
      </c>
      <c r="M37" s="4">
        <f t="shared" si="1"/>
        <v>22</v>
      </c>
      <c r="N37" s="358"/>
    </row>
    <row r="38" spans="1:14" x14ac:dyDescent="0.25">
      <c r="A38" s="4">
        <f t="shared" si="0"/>
        <v>23</v>
      </c>
      <c r="B38" s="332"/>
      <c r="D38" s="31"/>
      <c r="L38" s="302"/>
      <c r="M38" s="4">
        <f t="shared" si="1"/>
        <v>23</v>
      </c>
      <c r="N38" s="358"/>
    </row>
    <row r="39" spans="1:14" x14ac:dyDescent="0.25">
      <c r="A39" s="4">
        <f t="shared" si="0"/>
        <v>24</v>
      </c>
      <c r="B39" s="333" t="s">
        <v>327</v>
      </c>
      <c r="C39" s="960"/>
      <c r="D39" s="576">
        <f>D37+D22</f>
        <v>2056225.609540567</v>
      </c>
      <c r="E39" s="576">
        <f>E37+E22</f>
        <v>1.1003514720000001</v>
      </c>
      <c r="F39" s="576">
        <f>F37+F22</f>
        <v>834.70095082426383</v>
      </c>
      <c r="G39" s="576">
        <f>G37+G22</f>
        <v>-5604.072226768717</v>
      </c>
      <c r="H39" s="576">
        <f>H37+H22</f>
        <v>-648.59725349409518</v>
      </c>
      <c r="I39" s="576">
        <f t="shared" ref="I39" si="5">I37+I22</f>
        <v>0</v>
      </c>
      <c r="J39" s="576">
        <f>J37+J22</f>
        <v>-28174.152107145528</v>
      </c>
      <c r="K39" s="576">
        <f>K37+K22</f>
        <v>2022634.5892554554</v>
      </c>
      <c r="L39" s="955" t="s">
        <v>1558</v>
      </c>
      <c r="M39" s="4">
        <f t="shared" si="1"/>
        <v>24</v>
      </c>
      <c r="N39" s="358"/>
    </row>
    <row r="40" spans="1:14" x14ac:dyDescent="0.25">
      <c r="D40" s="31"/>
      <c r="K40" s="334"/>
      <c r="L40" s="334"/>
    </row>
    <row r="41" spans="1:14" x14ac:dyDescent="0.25">
      <c r="D41" s="31"/>
      <c r="K41" s="334"/>
      <c r="L41" s="334"/>
    </row>
    <row r="42" spans="1:14" x14ac:dyDescent="0.25">
      <c r="B42" s="31" t="s">
        <v>383</v>
      </c>
      <c r="D42" s="31"/>
    </row>
    <row r="43" spans="1:14" x14ac:dyDescent="0.25">
      <c r="D43" s="31"/>
    </row>
    <row r="44" spans="1:14" x14ac:dyDescent="0.25">
      <c r="D44" s="31"/>
    </row>
    <row r="45" spans="1:14" x14ac:dyDescent="0.25">
      <c r="D45" s="31"/>
    </row>
    <row r="46" spans="1:14" x14ac:dyDescent="0.25">
      <c r="D46" s="31"/>
    </row>
    <row r="47" spans="1:14" x14ac:dyDescent="0.25">
      <c r="D47" s="31"/>
    </row>
    <row r="48" spans="1:14" x14ac:dyDescent="0.25">
      <c r="D48" s="31"/>
    </row>
    <row r="49" spans="4:4" x14ac:dyDescent="0.25">
      <c r="D49" s="31"/>
    </row>
    <row r="50" spans="4:4" x14ac:dyDescent="0.25">
      <c r="D50" s="31"/>
    </row>
    <row r="51" spans="4:4" x14ac:dyDescent="0.25">
      <c r="D51" s="31"/>
    </row>
    <row r="52" spans="4:4" x14ac:dyDescent="0.25">
      <c r="D52" s="31"/>
    </row>
    <row r="53" spans="4:4" x14ac:dyDescent="0.25">
      <c r="D53" s="31"/>
    </row>
    <row r="54" spans="4:4" x14ac:dyDescent="0.25">
      <c r="D54" s="31"/>
    </row>
    <row r="55" spans="4:4" x14ac:dyDescent="0.25">
      <c r="D55" s="31"/>
    </row>
    <row r="56" spans="4:4" x14ac:dyDescent="0.25">
      <c r="D56" s="31"/>
    </row>
    <row r="57" spans="4:4" x14ac:dyDescent="0.25">
      <c r="D57" s="31"/>
    </row>
    <row r="58" spans="4:4" x14ac:dyDescent="0.25">
      <c r="D58" s="31"/>
    </row>
    <row r="59" spans="4:4" x14ac:dyDescent="0.25">
      <c r="D59" s="31"/>
    </row>
    <row r="60" spans="4:4" x14ac:dyDescent="0.25">
      <c r="D60" s="31"/>
    </row>
    <row r="61" spans="4:4" x14ac:dyDescent="0.25">
      <c r="D61" s="31"/>
    </row>
    <row r="62" spans="4:4" x14ac:dyDescent="0.25">
      <c r="D62" s="31"/>
    </row>
    <row r="63" spans="4:4" x14ac:dyDescent="0.25">
      <c r="D63" s="31"/>
    </row>
    <row r="64" spans="4:4" x14ac:dyDescent="0.25">
      <c r="D64" s="31"/>
    </row>
    <row r="65" spans="4:4" x14ac:dyDescent="0.25">
      <c r="D65" s="31"/>
    </row>
    <row r="66" spans="4:4" x14ac:dyDescent="0.25">
      <c r="D66" s="31"/>
    </row>
    <row r="67" spans="4:4" x14ac:dyDescent="0.25">
      <c r="D67" s="31"/>
    </row>
    <row r="68" spans="4:4" x14ac:dyDescent="0.25">
      <c r="D68" s="31"/>
    </row>
    <row r="69" spans="4:4" x14ac:dyDescent="0.25">
      <c r="D69" s="31"/>
    </row>
    <row r="70" spans="4:4" x14ac:dyDescent="0.25">
      <c r="D70" s="31"/>
    </row>
    <row r="71" spans="4:4" x14ac:dyDescent="0.25">
      <c r="D71" s="31"/>
    </row>
    <row r="72" spans="4:4" x14ac:dyDescent="0.25">
      <c r="D72" s="31"/>
    </row>
    <row r="73" spans="4:4" x14ac:dyDescent="0.25">
      <c r="D73" s="31"/>
    </row>
    <row r="74" spans="4:4" x14ac:dyDescent="0.25">
      <c r="D74" s="31"/>
    </row>
    <row r="75" spans="4:4" x14ac:dyDescent="0.25">
      <c r="D75" s="31"/>
    </row>
    <row r="76" spans="4:4" x14ac:dyDescent="0.25">
      <c r="D76" s="31"/>
    </row>
    <row r="77" spans="4:4" x14ac:dyDescent="0.25">
      <c r="D77" s="31"/>
    </row>
    <row r="78" spans="4:4" x14ac:dyDescent="0.25">
      <c r="D78" s="31"/>
    </row>
    <row r="79" spans="4:4" x14ac:dyDescent="0.25">
      <c r="D79" s="31"/>
    </row>
    <row r="80" spans="4:4" x14ac:dyDescent="0.25">
      <c r="D80" s="31"/>
    </row>
    <row r="81" spans="4:4" x14ac:dyDescent="0.25">
      <c r="D81" s="31"/>
    </row>
    <row r="82" spans="4:4" x14ac:dyDescent="0.25">
      <c r="D82" s="31"/>
    </row>
    <row r="83" spans="4:4" x14ac:dyDescent="0.25">
      <c r="D83" s="31"/>
    </row>
    <row r="84" spans="4:4" x14ac:dyDescent="0.25">
      <c r="D84" s="31"/>
    </row>
    <row r="85" spans="4:4" x14ac:dyDescent="0.25">
      <c r="D85" s="31"/>
    </row>
    <row r="86" spans="4:4" x14ac:dyDescent="0.25">
      <c r="D86" s="31"/>
    </row>
    <row r="87" spans="4:4" x14ac:dyDescent="0.25">
      <c r="D87" s="31"/>
    </row>
    <row r="88" spans="4:4" x14ac:dyDescent="0.25">
      <c r="D88" s="31"/>
    </row>
    <row r="89" spans="4:4" x14ac:dyDescent="0.25">
      <c r="D89" s="31"/>
    </row>
    <row r="90" spans="4:4" x14ac:dyDescent="0.25">
      <c r="D90" s="31"/>
    </row>
    <row r="91" spans="4:4" x14ac:dyDescent="0.25">
      <c r="D91" s="31"/>
    </row>
    <row r="92" spans="4:4" x14ac:dyDescent="0.25">
      <c r="D92" s="31"/>
    </row>
    <row r="93" spans="4:4" x14ac:dyDescent="0.25">
      <c r="D93" s="31"/>
    </row>
    <row r="94" spans="4:4" x14ac:dyDescent="0.25">
      <c r="D94" s="31"/>
    </row>
    <row r="95" spans="4:4" x14ac:dyDescent="0.25">
      <c r="D95" s="31"/>
    </row>
    <row r="96" spans="4:4" x14ac:dyDescent="0.25">
      <c r="D96" s="31"/>
    </row>
    <row r="97" spans="4:4" x14ac:dyDescent="0.25">
      <c r="D97" s="31"/>
    </row>
    <row r="98" spans="4:4" x14ac:dyDescent="0.25">
      <c r="D98" s="31"/>
    </row>
    <row r="99" spans="4:4" x14ac:dyDescent="0.25">
      <c r="D99" s="31"/>
    </row>
    <row r="100" spans="4:4" x14ac:dyDescent="0.25">
      <c r="D100" s="31"/>
    </row>
    <row r="101" spans="4:4" x14ac:dyDescent="0.25">
      <c r="D101" s="31"/>
    </row>
    <row r="102" spans="4:4" x14ac:dyDescent="0.25">
      <c r="D102" s="31"/>
    </row>
    <row r="103" spans="4:4" x14ac:dyDescent="0.25">
      <c r="D103" s="31"/>
    </row>
    <row r="104" spans="4:4" x14ac:dyDescent="0.25">
      <c r="D104" s="31"/>
    </row>
    <row r="105" spans="4:4" x14ac:dyDescent="0.25">
      <c r="D105" s="31"/>
    </row>
    <row r="106" spans="4:4" x14ac:dyDescent="0.25">
      <c r="D106" s="31"/>
    </row>
    <row r="107" spans="4:4" x14ac:dyDescent="0.25">
      <c r="D107" s="31"/>
    </row>
    <row r="108" spans="4:4" x14ac:dyDescent="0.25">
      <c r="D108" s="31"/>
    </row>
    <row r="109" spans="4:4" x14ac:dyDescent="0.25">
      <c r="D109" s="31"/>
    </row>
    <row r="110" spans="4:4" x14ac:dyDescent="0.25">
      <c r="D110" s="31"/>
    </row>
    <row r="111" spans="4:4" x14ac:dyDescent="0.25">
      <c r="D111" s="31"/>
    </row>
    <row r="112" spans="4:4" x14ac:dyDescent="0.25">
      <c r="D112" s="31"/>
    </row>
    <row r="113" spans="4:4" x14ac:dyDescent="0.25">
      <c r="D113" s="31"/>
    </row>
    <row r="114" spans="4:4" x14ac:dyDescent="0.25">
      <c r="D114" s="31"/>
    </row>
    <row r="115" spans="4:4" x14ac:dyDescent="0.25">
      <c r="D115" s="31"/>
    </row>
    <row r="116" spans="4:4" x14ac:dyDescent="0.25">
      <c r="D116" s="31"/>
    </row>
    <row r="117" spans="4:4" x14ac:dyDescent="0.25">
      <c r="D117" s="31"/>
    </row>
    <row r="118" spans="4:4" x14ac:dyDescent="0.25">
      <c r="D118" s="31"/>
    </row>
    <row r="119" spans="4:4" x14ac:dyDescent="0.25">
      <c r="D119" s="31"/>
    </row>
    <row r="120" spans="4:4" x14ac:dyDescent="0.25">
      <c r="D120" s="31"/>
    </row>
    <row r="121" spans="4:4" x14ac:dyDescent="0.25">
      <c r="D121" s="31"/>
    </row>
    <row r="122" spans="4:4" x14ac:dyDescent="0.25">
      <c r="D122" s="31"/>
    </row>
    <row r="123" spans="4:4" x14ac:dyDescent="0.25">
      <c r="D123" s="31"/>
    </row>
    <row r="124" spans="4:4" x14ac:dyDescent="0.25">
      <c r="D124" s="31"/>
    </row>
    <row r="125" spans="4:4" x14ac:dyDescent="0.25">
      <c r="D125" s="31"/>
    </row>
    <row r="126" spans="4:4" x14ac:dyDescent="0.25">
      <c r="D126" s="31"/>
    </row>
    <row r="127" spans="4:4" x14ac:dyDescent="0.25">
      <c r="D127" s="31"/>
    </row>
    <row r="128" spans="4:4" x14ac:dyDescent="0.25">
      <c r="D128" s="31"/>
    </row>
    <row r="129" spans="4:4" x14ac:dyDescent="0.25">
      <c r="D129" s="31"/>
    </row>
    <row r="130" spans="4:4" x14ac:dyDescent="0.25">
      <c r="D130" s="31"/>
    </row>
    <row r="131" spans="4:4" x14ac:dyDescent="0.25">
      <c r="D131" s="31"/>
    </row>
    <row r="132" spans="4:4" x14ac:dyDescent="0.25">
      <c r="D132" s="31"/>
    </row>
    <row r="133" spans="4:4" x14ac:dyDescent="0.25">
      <c r="D133" s="31"/>
    </row>
    <row r="134" spans="4:4" x14ac:dyDescent="0.25">
      <c r="D134" s="31"/>
    </row>
    <row r="135" spans="4:4" x14ac:dyDescent="0.25">
      <c r="D135" s="31"/>
    </row>
    <row r="136" spans="4:4" x14ac:dyDescent="0.25">
      <c r="D136" s="31"/>
    </row>
    <row r="137" spans="4:4" x14ac:dyDescent="0.25">
      <c r="D137" s="31"/>
    </row>
    <row r="138" spans="4:4" x14ac:dyDescent="0.25">
      <c r="D138" s="31"/>
    </row>
    <row r="139" spans="4:4" x14ac:dyDescent="0.25">
      <c r="D139" s="31"/>
    </row>
    <row r="140" spans="4:4" x14ac:dyDescent="0.25">
      <c r="D140" s="31"/>
    </row>
    <row r="141" spans="4:4" x14ac:dyDescent="0.25">
      <c r="D141" s="31"/>
    </row>
    <row r="142" spans="4:4" x14ac:dyDescent="0.25">
      <c r="D142" s="31"/>
    </row>
    <row r="143" spans="4:4" x14ac:dyDescent="0.25">
      <c r="D143" s="31"/>
    </row>
    <row r="144" spans="4:4" x14ac:dyDescent="0.25">
      <c r="D144" s="31"/>
    </row>
    <row r="145" spans="4:4" x14ac:dyDescent="0.25">
      <c r="D145" s="31"/>
    </row>
    <row r="146" spans="4:4" x14ac:dyDescent="0.25">
      <c r="D146" s="31"/>
    </row>
    <row r="147" spans="4:4" x14ac:dyDescent="0.25">
      <c r="D147" s="31"/>
    </row>
    <row r="148" spans="4:4" x14ac:dyDescent="0.25">
      <c r="D148" s="31"/>
    </row>
    <row r="149" spans="4:4" x14ac:dyDescent="0.25">
      <c r="D149" s="31"/>
    </row>
    <row r="150" spans="4:4" x14ac:dyDescent="0.25">
      <c r="D150" s="31"/>
    </row>
    <row r="151" spans="4:4" x14ac:dyDescent="0.25">
      <c r="D151" s="31"/>
    </row>
    <row r="152" spans="4:4" x14ac:dyDescent="0.25">
      <c r="D152" s="31"/>
    </row>
    <row r="153" spans="4:4" x14ac:dyDescent="0.25">
      <c r="D153" s="31"/>
    </row>
    <row r="154" spans="4:4" x14ac:dyDescent="0.25">
      <c r="D154" s="31"/>
    </row>
    <row r="155" spans="4:4" x14ac:dyDescent="0.25">
      <c r="D155" s="31"/>
    </row>
    <row r="156" spans="4:4" x14ac:dyDescent="0.25">
      <c r="D156" s="31"/>
    </row>
    <row r="157" spans="4:4" x14ac:dyDescent="0.25">
      <c r="D157" s="31"/>
    </row>
    <row r="158" spans="4:4" x14ac:dyDescent="0.25">
      <c r="D158" s="31"/>
    </row>
    <row r="159" spans="4:4" x14ac:dyDescent="0.25">
      <c r="D159" s="31"/>
    </row>
    <row r="160" spans="4:4" x14ac:dyDescent="0.25">
      <c r="D160" s="31"/>
    </row>
    <row r="161" spans="4:4" x14ac:dyDescent="0.25">
      <c r="D161" s="31"/>
    </row>
    <row r="162" spans="4:4" x14ac:dyDescent="0.25">
      <c r="D162" s="31"/>
    </row>
    <row r="163" spans="4:4" x14ac:dyDescent="0.25">
      <c r="D163" s="31"/>
    </row>
    <row r="164" spans="4:4" x14ac:dyDescent="0.25">
      <c r="D164" s="31"/>
    </row>
    <row r="165" spans="4:4" x14ac:dyDescent="0.25">
      <c r="D165" s="31"/>
    </row>
    <row r="166" spans="4:4" x14ac:dyDescent="0.25">
      <c r="D166" s="31"/>
    </row>
    <row r="167" spans="4:4" x14ac:dyDescent="0.25">
      <c r="D167" s="31"/>
    </row>
    <row r="168" spans="4:4" x14ac:dyDescent="0.25">
      <c r="D168" s="31"/>
    </row>
    <row r="169" spans="4:4" x14ac:dyDescent="0.25">
      <c r="D169" s="31"/>
    </row>
    <row r="170" spans="4:4" x14ac:dyDescent="0.25">
      <c r="D170" s="31"/>
    </row>
    <row r="171" spans="4:4" x14ac:dyDescent="0.25">
      <c r="D171" s="31"/>
    </row>
    <row r="172" spans="4:4" x14ac:dyDescent="0.25">
      <c r="D172" s="31"/>
    </row>
    <row r="173" spans="4:4" x14ac:dyDescent="0.25">
      <c r="D173" s="31"/>
    </row>
    <row r="174" spans="4:4" x14ac:dyDescent="0.25">
      <c r="D174" s="3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1"/>
  <sheetViews>
    <sheetView zoomScale="80" zoomScaleNormal="80" workbookViewId="0">
      <selection activeCell="B40" sqref="B40"/>
    </sheetView>
  </sheetViews>
  <sheetFormatPr defaultColWidth="15.42578125" defaultRowHeight="15.75" x14ac:dyDescent="0.25"/>
  <cols>
    <col min="1" max="1" width="5.28515625" style="4" customWidth="1"/>
    <col min="2" max="2" width="85.42578125" style="31" customWidth="1"/>
    <col min="3" max="3" width="10.42578125" style="31" customWidth="1"/>
    <col min="4" max="4" width="1.5703125" style="31" customWidth="1"/>
    <col min="5" max="5" width="16.7109375" style="31" customWidth="1"/>
    <col min="6" max="6" width="1.5703125" style="31" customWidth="1"/>
    <col min="7" max="7" width="15.7109375" style="31" customWidth="1"/>
    <col min="8" max="8" width="15.5703125" style="31" customWidth="1"/>
    <col min="9" max="9" width="41" style="31" customWidth="1"/>
    <col min="10" max="10" width="5.28515625" style="4" bestFit="1" customWidth="1"/>
    <col min="11" max="11" width="5.28515625" style="4" customWidth="1"/>
    <col min="12" max="12" width="11.42578125" style="31" bestFit="1" customWidth="1"/>
    <col min="13" max="16384" width="15.42578125" style="31"/>
  </cols>
  <sheetData>
    <row r="2" spans="1:10" x14ac:dyDescent="0.25">
      <c r="B2" s="1294" t="s">
        <v>0</v>
      </c>
      <c r="C2" s="1294"/>
      <c r="D2" s="1294"/>
      <c r="E2" s="1295"/>
      <c r="F2" s="1295"/>
      <c r="G2" s="1295"/>
      <c r="H2" s="1295"/>
      <c r="I2" s="1295"/>
    </row>
    <row r="3" spans="1:10" x14ac:dyDescent="0.25">
      <c r="B3" s="1294" t="s">
        <v>175</v>
      </c>
      <c r="C3" s="1294"/>
      <c r="D3" s="1294"/>
      <c r="E3" s="1295"/>
      <c r="F3" s="1295"/>
      <c r="G3" s="1295"/>
      <c r="H3" s="1295"/>
      <c r="I3" s="1295"/>
    </row>
    <row r="4" spans="1:10" ht="17.25" x14ac:dyDescent="0.25">
      <c r="B4" s="1294" t="s">
        <v>176</v>
      </c>
      <c r="C4" s="1294"/>
      <c r="D4" s="1294"/>
      <c r="E4" s="1295"/>
      <c r="F4" s="1295"/>
      <c r="G4" s="1295"/>
      <c r="H4" s="1295"/>
      <c r="I4" s="1295"/>
    </row>
    <row r="5" spans="1:10" x14ac:dyDescent="0.25">
      <c r="B5" s="1300" t="str">
        <f>'BK-1 BTRR - EU'!B309:G309</f>
        <v>For the Rate Effective Period January 1, 2025 - December 31, 2025</v>
      </c>
      <c r="C5" s="1300"/>
      <c r="D5" s="1300"/>
      <c r="E5" s="1301"/>
      <c r="F5" s="1301"/>
      <c r="G5" s="1301"/>
      <c r="H5" s="1301"/>
      <c r="I5" s="1301"/>
    </row>
    <row r="6" spans="1:10" x14ac:dyDescent="0.25">
      <c r="B6" s="1299" t="s">
        <v>4</v>
      </c>
      <c r="C6" s="1299"/>
      <c r="D6" s="1299"/>
      <c r="E6" s="1295"/>
      <c r="F6" s="1295"/>
      <c r="G6" s="1295"/>
      <c r="H6" s="1295"/>
      <c r="I6" s="1295"/>
    </row>
    <row r="7" spans="1:10" x14ac:dyDescent="0.25">
      <c r="B7" s="33"/>
      <c r="C7" s="33"/>
      <c r="D7" s="33"/>
      <c r="E7" s="10"/>
      <c r="H7" s="32"/>
      <c r="I7" s="4"/>
    </row>
    <row r="8" spans="1:10" x14ac:dyDescent="0.25">
      <c r="A8" s="4" t="s">
        <v>5</v>
      </c>
      <c r="B8" s="33"/>
      <c r="C8" s="33"/>
      <c r="D8" s="33"/>
      <c r="E8" s="10"/>
      <c r="H8" s="32"/>
      <c r="I8" s="4"/>
      <c r="J8" s="4" t="s">
        <v>5</v>
      </c>
    </row>
    <row r="9" spans="1:10" x14ac:dyDescent="0.25">
      <c r="A9" s="4" t="s">
        <v>6</v>
      </c>
      <c r="B9" s="33"/>
      <c r="C9" s="254"/>
      <c r="D9" s="254"/>
      <c r="E9" s="919" t="s">
        <v>177</v>
      </c>
      <c r="G9" s="1305" t="s">
        <v>8</v>
      </c>
      <c r="H9" s="1305"/>
      <c r="I9" s="920"/>
      <c r="J9" s="4" t="s">
        <v>6</v>
      </c>
    </row>
    <row r="10" spans="1:10" x14ac:dyDescent="0.25">
      <c r="B10" s="1291" t="s">
        <v>2101</v>
      </c>
      <c r="C10" s="33"/>
      <c r="D10" s="33"/>
      <c r="E10" s="44"/>
      <c r="G10" s="4"/>
      <c r="H10" s="32"/>
    </row>
    <row r="11" spans="1:10" ht="18.75" x14ac:dyDescent="0.25">
      <c r="A11" s="4">
        <v>1</v>
      </c>
      <c r="B11" s="5" t="s">
        <v>2102</v>
      </c>
      <c r="E11" s="7">
        <f>'BK-1 BTRR - EU'!E331</f>
        <v>1119125.4195147266</v>
      </c>
      <c r="F11" s="218"/>
      <c r="G11" s="1304" t="s">
        <v>178</v>
      </c>
      <c r="H11" s="1304"/>
      <c r="I11" s="32"/>
      <c r="J11" s="4">
        <f>A11</f>
        <v>1</v>
      </c>
    </row>
    <row r="12" spans="1:10" x14ac:dyDescent="0.25">
      <c r="A12" s="4">
        <f>A11+1</f>
        <v>2</v>
      </c>
      <c r="B12" s="32"/>
      <c r="C12" s="32"/>
      <c r="D12" s="32"/>
      <c r="G12" s="32"/>
      <c r="H12" s="32"/>
      <c r="I12" s="32"/>
      <c r="J12" s="4">
        <f>J11+1</f>
        <v>2</v>
      </c>
    </row>
    <row r="13" spans="1:10" x14ac:dyDescent="0.25">
      <c r="A13" s="4">
        <f t="shared" ref="A13:A44" si="0">A12+1</f>
        <v>3</v>
      </c>
      <c r="B13" s="32" t="s">
        <v>179</v>
      </c>
      <c r="C13" s="32"/>
      <c r="D13" s="32"/>
      <c r="E13" s="8">
        <f>-'BK-1 BTRR - EU'!E15</f>
        <v>0</v>
      </c>
      <c r="G13" s="1304" t="s">
        <v>180</v>
      </c>
      <c r="H13" s="1304"/>
      <c r="I13" s="1304"/>
      <c r="J13" s="4">
        <f t="shared" ref="J13:J44" si="1">J12+1</f>
        <v>3</v>
      </c>
    </row>
    <row r="14" spans="1:10" x14ac:dyDescent="0.25">
      <c r="A14" s="4">
        <f t="shared" si="0"/>
        <v>4</v>
      </c>
      <c r="B14" s="32"/>
      <c r="C14" s="32"/>
      <c r="D14" s="32"/>
      <c r="E14" s="8"/>
      <c r="G14" s="32"/>
      <c r="H14" s="32"/>
      <c r="I14" s="32"/>
      <c r="J14" s="4">
        <f t="shared" si="1"/>
        <v>4</v>
      </c>
    </row>
    <row r="15" spans="1:10" x14ac:dyDescent="0.25">
      <c r="A15" s="4">
        <f t="shared" si="0"/>
        <v>5</v>
      </c>
      <c r="B15" s="5" t="s">
        <v>2103</v>
      </c>
      <c r="C15" s="32"/>
      <c r="D15" s="32"/>
      <c r="E15" s="8">
        <f>'Stmt AL'!E42</f>
        <v>0</v>
      </c>
      <c r="G15" s="31" t="s">
        <v>1968</v>
      </c>
      <c r="I15" s="32"/>
      <c r="J15" s="4">
        <f t="shared" si="1"/>
        <v>5</v>
      </c>
    </row>
    <row r="16" spans="1:10" x14ac:dyDescent="0.25">
      <c r="A16" s="4">
        <f t="shared" si="0"/>
        <v>6</v>
      </c>
      <c r="B16" s="1292"/>
      <c r="C16" s="32"/>
      <c r="D16" s="32"/>
      <c r="E16" s="8"/>
      <c r="I16" s="32"/>
      <c r="J16" s="4">
        <f t="shared" si="1"/>
        <v>6</v>
      </c>
    </row>
    <row r="17" spans="1:12" x14ac:dyDescent="0.25">
      <c r="A17" s="4">
        <f t="shared" si="0"/>
        <v>7</v>
      </c>
      <c r="B17" s="5" t="s">
        <v>2104</v>
      </c>
      <c r="C17" s="32"/>
      <c r="D17" s="32"/>
      <c r="E17" s="8">
        <f>'Stmt AL'!E46</f>
        <v>0</v>
      </c>
      <c r="G17" s="31" t="s">
        <v>1969</v>
      </c>
      <c r="I17" s="32"/>
      <c r="J17" s="4">
        <f t="shared" si="1"/>
        <v>7</v>
      </c>
    </row>
    <row r="18" spans="1:12" x14ac:dyDescent="0.25">
      <c r="A18" s="4">
        <f t="shared" si="0"/>
        <v>8</v>
      </c>
      <c r="B18" s="1292"/>
      <c r="C18" s="32"/>
      <c r="D18" s="32"/>
      <c r="E18" s="8"/>
      <c r="I18" s="32"/>
      <c r="J18" s="4">
        <f t="shared" si="1"/>
        <v>8</v>
      </c>
    </row>
    <row r="19" spans="1:12" x14ac:dyDescent="0.25">
      <c r="A19" s="4">
        <f t="shared" si="0"/>
        <v>9</v>
      </c>
      <c r="B19" s="342" t="s">
        <v>181</v>
      </c>
      <c r="C19" s="32"/>
      <c r="D19" s="32"/>
      <c r="E19" s="8">
        <f>-'Stmt AQ'!E11</f>
        <v>-1304.0991895338727</v>
      </c>
      <c r="G19" s="31" t="s">
        <v>182</v>
      </c>
      <c r="I19" s="32"/>
      <c r="J19" s="4">
        <f t="shared" si="1"/>
        <v>9</v>
      </c>
    </row>
    <row r="20" spans="1:12" x14ac:dyDescent="0.25">
      <c r="A20" s="4">
        <f t="shared" si="0"/>
        <v>10</v>
      </c>
      <c r="B20" s="5"/>
      <c r="C20" s="32"/>
      <c r="D20" s="32"/>
      <c r="E20" s="8"/>
      <c r="I20" s="32"/>
      <c r="J20" s="4">
        <f t="shared" si="1"/>
        <v>10</v>
      </c>
      <c r="K20" s="358"/>
    </row>
    <row r="21" spans="1:12" x14ac:dyDescent="0.25">
      <c r="A21" s="4">
        <f t="shared" si="0"/>
        <v>11</v>
      </c>
      <c r="B21" s="5" t="s">
        <v>1861</v>
      </c>
      <c r="C21" s="32"/>
      <c r="D21" s="32"/>
      <c r="E21" s="1185">
        <v>-252.2003661</v>
      </c>
      <c r="G21" s="31" t="s">
        <v>258</v>
      </c>
      <c r="I21" s="32"/>
      <c r="J21" s="4">
        <f t="shared" si="1"/>
        <v>11</v>
      </c>
      <c r="K21" s="358"/>
    </row>
    <row r="22" spans="1:12" x14ac:dyDescent="0.25">
      <c r="A22" s="4">
        <f t="shared" si="0"/>
        <v>12</v>
      </c>
      <c r="B22" s="5"/>
      <c r="E22" s="10"/>
      <c r="G22" s="32"/>
      <c r="H22" s="32"/>
      <c r="I22" s="32"/>
      <c r="J22" s="4">
        <f t="shared" si="1"/>
        <v>12</v>
      </c>
      <c r="K22" s="358"/>
      <c r="L22" s="255"/>
    </row>
    <row r="23" spans="1:12" ht="19.5" thickBot="1" x14ac:dyDescent="0.3">
      <c r="A23" s="4">
        <f t="shared" si="0"/>
        <v>13</v>
      </c>
      <c r="B23" s="5" t="s">
        <v>2105</v>
      </c>
      <c r="E23" s="24">
        <f>SUM(E11:E21)</f>
        <v>1117569.1199590927</v>
      </c>
      <c r="F23" s="218"/>
      <c r="G23" s="1304" t="s">
        <v>619</v>
      </c>
      <c r="H23" s="1304"/>
      <c r="I23" s="32"/>
      <c r="J23" s="4">
        <f t="shared" si="1"/>
        <v>13</v>
      </c>
      <c r="K23" s="358"/>
    </row>
    <row r="24" spans="1:12" ht="16.5" thickTop="1" x14ac:dyDescent="0.25">
      <c r="A24" s="4">
        <f t="shared" si="0"/>
        <v>14</v>
      </c>
      <c r="B24" s="33"/>
      <c r="C24" s="33"/>
      <c r="D24" s="33"/>
      <c r="E24" s="10"/>
      <c r="G24" s="622"/>
      <c r="H24" s="622"/>
      <c r="I24" s="4"/>
      <c r="J24" s="4">
        <f t="shared" si="1"/>
        <v>14</v>
      </c>
      <c r="K24" s="358"/>
    </row>
    <row r="25" spans="1:12" ht="18.75" x14ac:dyDescent="0.25">
      <c r="A25" s="4">
        <f t="shared" si="0"/>
        <v>15</v>
      </c>
      <c r="B25" s="33" t="s">
        <v>183</v>
      </c>
      <c r="C25" s="33"/>
      <c r="D25" s="33"/>
      <c r="E25" s="34" t="s">
        <v>184</v>
      </c>
      <c r="F25" s="4"/>
      <c r="G25" s="4" t="s">
        <v>185</v>
      </c>
      <c r="H25" s="4" t="s">
        <v>186</v>
      </c>
      <c r="I25" s="4"/>
      <c r="J25" s="4">
        <f t="shared" si="1"/>
        <v>15</v>
      </c>
      <c r="K25" s="358"/>
    </row>
    <row r="26" spans="1:12" x14ac:dyDescent="0.25">
      <c r="A26" s="4">
        <f t="shared" si="0"/>
        <v>16</v>
      </c>
      <c r="B26" s="1" t="s">
        <v>187</v>
      </c>
      <c r="C26" s="1"/>
      <c r="D26" s="1"/>
      <c r="E26" s="849" t="s">
        <v>177</v>
      </c>
      <c r="F26" s="4"/>
      <c r="G26" s="849" t="s">
        <v>188</v>
      </c>
      <c r="H26" s="849" t="s">
        <v>189</v>
      </c>
      <c r="I26" s="849" t="s">
        <v>8</v>
      </c>
      <c r="J26" s="4">
        <f t="shared" si="1"/>
        <v>16</v>
      </c>
      <c r="K26" s="358"/>
    </row>
    <row r="27" spans="1:12" x14ac:dyDescent="0.25">
      <c r="A27" s="4">
        <f t="shared" si="0"/>
        <v>17</v>
      </c>
      <c r="B27" s="1" t="s">
        <v>190</v>
      </c>
      <c r="C27" s="1"/>
      <c r="D27" s="1"/>
      <c r="I27" s="4"/>
      <c r="J27" s="4">
        <f t="shared" si="1"/>
        <v>17</v>
      </c>
      <c r="K27" s="358"/>
      <c r="L27" s="255"/>
    </row>
    <row r="28" spans="1:12" ht="31.5" x14ac:dyDescent="0.25">
      <c r="A28" s="4">
        <f t="shared" si="0"/>
        <v>18</v>
      </c>
      <c r="B28" s="31" t="s">
        <v>191</v>
      </c>
      <c r="E28" s="27">
        <f>G28+H28</f>
        <v>0.99999999999999989</v>
      </c>
      <c r="F28" s="27"/>
      <c r="G28" s="1152">
        <f>'HV-LV Plant Study'!F44</f>
        <v>0.4969168783119442</v>
      </c>
      <c r="H28" s="1152">
        <f>'HV-LV Plant Study'!E44</f>
        <v>0.50308312168805569</v>
      </c>
      <c r="I28" s="91" t="s">
        <v>1678</v>
      </c>
      <c r="J28" s="4">
        <f t="shared" si="1"/>
        <v>18</v>
      </c>
      <c r="K28" s="358"/>
      <c r="L28" s="255"/>
    </row>
    <row r="29" spans="1:12" x14ac:dyDescent="0.25">
      <c r="A29" s="4">
        <f t="shared" si="0"/>
        <v>19</v>
      </c>
      <c r="B29" s="31" t="s">
        <v>192</v>
      </c>
      <c r="E29" s="911">
        <f>E23-E33</f>
        <v>1037675.3648020137</v>
      </c>
      <c r="F29" s="4"/>
      <c r="G29" s="911">
        <f>G28*E29</f>
        <v>515638.40297862457</v>
      </c>
      <c r="H29" s="911">
        <f>H28*E29</f>
        <v>522036.96182338905</v>
      </c>
      <c r="I29" s="4" t="s">
        <v>1782</v>
      </c>
      <c r="J29" s="4">
        <f t="shared" si="1"/>
        <v>19</v>
      </c>
      <c r="K29" s="358"/>
    </row>
    <row r="30" spans="1:12" x14ac:dyDescent="0.25">
      <c r="A30" s="4">
        <f t="shared" si="0"/>
        <v>20</v>
      </c>
      <c r="E30" s="35"/>
      <c r="G30" s="35"/>
      <c r="H30" s="10"/>
      <c r="I30" s="4" t="s">
        <v>1783</v>
      </c>
      <c r="J30" s="4">
        <f t="shared" si="1"/>
        <v>20</v>
      </c>
      <c r="K30" s="358"/>
    </row>
    <row r="31" spans="1:12" ht="15.75" customHeight="1" x14ac:dyDescent="0.25">
      <c r="A31" s="4">
        <f t="shared" si="0"/>
        <v>21</v>
      </c>
      <c r="B31" s="1" t="s">
        <v>193</v>
      </c>
      <c r="C31" s="1"/>
      <c r="D31" s="1"/>
      <c r="H31" s="29"/>
      <c r="I31" s="256"/>
      <c r="J31" s="4">
        <f t="shared" si="1"/>
        <v>21</v>
      </c>
      <c r="K31" s="358"/>
      <c r="L31" s="255"/>
    </row>
    <row r="32" spans="1:12" ht="31.5" x14ac:dyDescent="0.25">
      <c r="A32" s="4">
        <f t="shared" si="0"/>
        <v>22</v>
      </c>
      <c r="B32" s="31" t="s">
        <v>194</v>
      </c>
      <c r="E32" s="27">
        <f>+G32+H32</f>
        <v>1.0000000000000002</v>
      </c>
      <c r="F32" s="4"/>
      <c r="G32" s="133">
        <f>'Summary of HV-LV Splits'!G29</f>
        <v>0.32280321945424506</v>
      </c>
      <c r="H32" s="133">
        <f>'Summary of HV-LV Splits'!H29</f>
        <v>0.67719678054575516</v>
      </c>
      <c r="I32" s="91" t="s">
        <v>195</v>
      </c>
      <c r="J32" s="4">
        <f t="shared" si="1"/>
        <v>22</v>
      </c>
      <c r="K32" s="358"/>
      <c r="L32" s="568"/>
    </row>
    <row r="33" spans="1:12" ht="31.5" x14ac:dyDescent="0.25">
      <c r="A33" s="4">
        <f t="shared" si="0"/>
        <v>23</v>
      </c>
      <c r="B33" s="5" t="s">
        <v>2106</v>
      </c>
      <c r="E33" s="1256">
        <f>'BK-1 BTRR - EU'!E325+'BK-1 BTRR - EU'!E327+'BK-1 BTRR - EU'!E329</f>
        <v>79893.755157078951</v>
      </c>
      <c r="F33" s="4"/>
      <c r="G33" s="911">
        <f>G32*E33</f>
        <v>25789.961378994281</v>
      </c>
      <c r="H33" s="911">
        <f>H32*E33</f>
        <v>54103.793778084691</v>
      </c>
      <c r="I33" s="91" t="s">
        <v>196</v>
      </c>
      <c r="J33" s="4">
        <f t="shared" si="1"/>
        <v>23</v>
      </c>
      <c r="K33" s="358"/>
    </row>
    <row r="34" spans="1:12" x14ac:dyDescent="0.25">
      <c r="A34" s="4">
        <f t="shared" si="0"/>
        <v>24</v>
      </c>
      <c r="B34" s="5"/>
      <c r="E34" s="35"/>
      <c r="I34" s="4" t="s">
        <v>1784</v>
      </c>
      <c r="J34" s="4">
        <f t="shared" si="1"/>
        <v>24</v>
      </c>
      <c r="K34" s="358"/>
      <c r="L34" s="255"/>
    </row>
    <row r="35" spans="1:12" x14ac:dyDescent="0.25">
      <c r="A35" s="4">
        <f t="shared" si="0"/>
        <v>25</v>
      </c>
      <c r="B35" s="1291" t="s">
        <v>197</v>
      </c>
      <c r="C35" s="622"/>
      <c r="D35" s="622"/>
      <c r="I35" s="4"/>
      <c r="J35" s="4">
        <f t="shared" si="1"/>
        <v>25</v>
      </c>
      <c r="K35" s="358"/>
    </row>
    <row r="36" spans="1:12" x14ac:dyDescent="0.25">
      <c r="A36" s="4">
        <f t="shared" si="0"/>
        <v>26</v>
      </c>
      <c r="B36" s="1291" t="s">
        <v>198</v>
      </c>
      <c r="C36" s="622"/>
      <c r="D36" s="622"/>
      <c r="I36" s="4"/>
      <c r="J36" s="4">
        <f t="shared" si="1"/>
        <v>26</v>
      </c>
      <c r="K36" s="358"/>
      <c r="L36" s="1"/>
    </row>
    <row r="37" spans="1:12" ht="18.75" x14ac:dyDescent="0.25">
      <c r="A37" s="4">
        <f t="shared" si="0"/>
        <v>27</v>
      </c>
      <c r="B37" s="5" t="s">
        <v>2107</v>
      </c>
      <c r="E37" s="10">
        <f>+E29+E33</f>
        <v>1117569.1199590927</v>
      </c>
      <c r="F37" s="4"/>
      <c r="G37" s="10">
        <f>+G29+G33</f>
        <v>541428.36435761885</v>
      </c>
      <c r="H37" s="10">
        <f>+H29+H33</f>
        <v>576140.75560147373</v>
      </c>
      <c r="I37" s="4" t="s">
        <v>1785</v>
      </c>
      <c r="J37" s="4">
        <f t="shared" si="1"/>
        <v>27</v>
      </c>
      <c r="K37" s="358"/>
      <c r="L37" s="1"/>
    </row>
    <row r="38" spans="1:12" ht="18.75" x14ac:dyDescent="0.25">
      <c r="A38" s="4">
        <f t="shared" si="0"/>
        <v>28</v>
      </c>
      <c r="B38" s="5" t="s">
        <v>2108</v>
      </c>
      <c r="C38" s="30">
        <v>1.0207000000000001E-2</v>
      </c>
      <c r="D38" s="266">
        <v>3</v>
      </c>
      <c r="E38" s="914">
        <f>G38+H38</f>
        <v>11407.028007422459</v>
      </c>
      <c r="F38" s="4"/>
      <c r="G38" s="914">
        <f>G37*C38</f>
        <v>5526.3593149982162</v>
      </c>
      <c r="H38" s="914">
        <f>H37*C38</f>
        <v>5880.6686924242431</v>
      </c>
      <c r="I38" s="4" t="s">
        <v>1786</v>
      </c>
      <c r="J38" s="4">
        <f t="shared" si="1"/>
        <v>28</v>
      </c>
      <c r="K38" s="358"/>
      <c r="L38" s="1"/>
    </row>
    <row r="39" spans="1:12" ht="18.75" x14ac:dyDescent="0.25">
      <c r="A39" s="4">
        <f t="shared" si="0"/>
        <v>29</v>
      </c>
      <c r="B39" s="5" t="s">
        <v>2109</v>
      </c>
      <c r="E39" s="10">
        <f>E37+E38</f>
        <v>1128976.1479665153</v>
      </c>
      <c r="F39" s="4"/>
      <c r="G39" s="10">
        <f>G37+G38</f>
        <v>546954.72367261711</v>
      </c>
      <c r="H39" s="10">
        <f>H37+H38</f>
        <v>582021.42429389793</v>
      </c>
      <c r="I39" s="4" t="s">
        <v>1787</v>
      </c>
      <c r="J39" s="4">
        <f t="shared" si="1"/>
        <v>29</v>
      </c>
      <c r="K39" s="358"/>
      <c r="L39" s="873"/>
    </row>
    <row r="40" spans="1:12" x14ac:dyDescent="0.25">
      <c r="A40" s="4">
        <f t="shared" si="0"/>
        <v>30</v>
      </c>
      <c r="B40" s="5"/>
      <c r="E40" s="10"/>
      <c r="F40" s="4"/>
      <c r="G40" s="10"/>
      <c r="H40" s="10"/>
      <c r="I40" s="4"/>
      <c r="J40" s="4">
        <f t="shared" si="1"/>
        <v>30</v>
      </c>
      <c r="K40" s="358"/>
      <c r="L40" s="873"/>
    </row>
    <row r="41" spans="1:12" x14ac:dyDescent="0.25">
      <c r="A41" s="4">
        <f t="shared" si="0"/>
        <v>31</v>
      </c>
      <c r="B41" s="1291" t="s">
        <v>199</v>
      </c>
      <c r="E41" s="921">
        <v>3614</v>
      </c>
      <c r="F41" s="1257"/>
      <c r="G41" s="922">
        <f>E41*G28</f>
        <v>1795.8575982193663</v>
      </c>
      <c r="H41" s="922">
        <f>E41*H28</f>
        <v>1818.1424017806332</v>
      </c>
      <c r="I41" s="91" t="s">
        <v>200</v>
      </c>
      <c r="J41" s="4">
        <f t="shared" si="1"/>
        <v>31</v>
      </c>
      <c r="K41" s="358"/>
      <c r="L41"/>
    </row>
    <row r="42" spans="1:12" x14ac:dyDescent="0.25">
      <c r="A42" s="4">
        <f t="shared" si="0"/>
        <v>32</v>
      </c>
      <c r="B42" s="5"/>
      <c r="E42" s="6"/>
      <c r="F42" s="1257"/>
      <c r="G42" s="6"/>
      <c r="H42" s="6"/>
      <c r="I42" s="4" t="s">
        <v>1970</v>
      </c>
      <c r="J42" s="4">
        <f t="shared" si="1"/>
        <v>32</v>
      </c>
      <c r="K42" s="358"/>
      <c r="L42" s="873"/>
    </row>
    <row r="43" spans="1:12" x14ac:dyDescent="0.25">
      <c r="A43" s="4">
        <f t="shared" si="0"/>
        <v>33</v>
      </c>
      <c r="B43" s="5"/>
      <c r="E43" s="6"/>
      <c r="F43" s="1257"/>
      <c r="G43" s="6"/>
      <c r="H43" s="6"/>
      <c r="I43" s="4"/>
      <c r="J43" s="4">
        <f t="shared" si="1"/>
        <v>33</v>
      </c>
      <c r="K43" s="358"/>
      <c r="L43" s="873"/>
    </row>
    <row r="44" spans="1:12" ht="19.5" thickBot="1" x14ac:dyDescent="0.3">
      <c r="A44" s="4">
        <f t="shared" si="0"/>
        <v>34</v>
      </c>
      <c r="B44" s="1291" t="s">
        <v>2110</v>
      </c>
      <c r="E44" s="37">
        <f>E39+E41</f>
        <v>1132590.1479665153</v>
      </c>
      <c r="F44" s="1257"/>
      <c r="G44" s="37">
        <f>G39+G41</f>
        <v>548750.58127083653</v>
      </c>
      <c r="H44" s="37">
        <f>H39+H41</f>
        <v>583839.56669567851</v>
      </c>
      <c r="I44" s="91" t="s">
        <v>1971</v>
      </c>
      <c r="J44" s="4">
        <f t="shared" si="1"/>
        <v>34</v>
      </c>
      <c r="K44" s="358"/>
      <c r="L44" s="873"/>
    </row>
    <row r="45" spans="1:12" ht="16.5" thickTop="1" x14ac:dyDescent="0.25">
      <c r="B45" s="1291"/>
      <c r="E45" s="35"/>
      <c r="F45" s="257"/>
      <c r="G45" s="35"/>
      <c r="H45" s="35"/>
      <c r="I45" s="91"/>
      <c r="K45" s="358"/>
      <c r="L45" s="873"/>
    </row>
    <row r="46" spans="1:12" x14ac:dyDescent="0.25">
      <c r="B46" s="1291"/>
      <c r="E46" s="35"/>
      <c r="F46" s="257"/>
      <c r="G46" s="35"/>
      <c r="H46" s="35"/>
      <c r="I46" s="91"/>
      <c r="K46" s="358"/>
      <c r="L46" s="873"/>
    </row>
    <row r="47" spans="1:12" ht="18.75" x14ac:dyDescent="0.25">
      <c r="A47" s="253">
        <v>1</v>
      </c>
      <c r="B47" s="5" t="s">
        <v>201</v>
      </c>
      <c r="I47" s="4"/>
    </row>
    <row r="48" spans="1:12" ht="18.75" x14ac:dyDescent="0.25">
      <c r="A48" s="253">
        <v>2</v>
      </c>
      <c r="B48" s="5" t="s">
        <v>202</v>
      </c>
    </row>
    <row r="49" spans="1:2" ht="18.75" x14ac:dyDescent="0.25">
      <c r="A49" s="266">
        <v>3</v>
      </c>
      <c r="B49" s="5" t="s">
        <v>1717</v>
      </c>
    </row>
    <row r="50" spans="1:2" ht="18.75" x14ac:dyDescent="0.25">
      <c r="A50" s="253">
        <v>4</v>
      </c>
      <c r="B50" s="5" t="s">
        <v>2111</v>
      </c>
    </row>
    <row r="51" spans="1:2" x14ac:dyDescent="0.25">
      <c r="A51" s="31"/>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48"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94" t="s">
        <v>0</v>
      </c>
      <c r="C2" s="1294"/>
      <c r="D2" s="1294"/>
    </row>
    <row r="3" spans="1:6" x14ac:dyDescent="0.25">
      <c r="B3" s="1294" t="s">
        <v>371</v>
      </c>
      <c r="C3" s="1294"/>
      <c r="D3" s="1294"/>
    </row>
    <row r="4" spans="1:6" x14ac:dyDescent="0.25">
      <c r="B4" s="1294" t="s">
        <v>372</v>
      </c>
      <c r="C4" s="1294"/>
      <c r="D4" s="1294"/>
    </row>
    <row r="5" spans="1:6" x14ac:dyDescent="0.25">
      <c r="B5" s="1294" t="str">
        <f>'AD-1'!B5</f>
        <v>BASE PERIOD / TRUE UP PERIOD - 12/31/2023 PER BOOK</v>
      </c>
      <c r="C5" s="1294"/>
      <c r="D5" s="1294"/>
    </row>
    <row r="6" spans="1:6" x14ac:dyDescent="0.25">
      <c r="B6" s="1299" t="s">
        <v>4</v>
      </c>
      <c r="C6" s="1299"/>
      <c r="D6" s="1299"/>
    </row>
    <row r="7" spans="1:6" x14ac:dyDescent="0.25">
      <c r="B7" s="267"/>
      <c r="C7" s="267"/>
      <c r="D7" s="267"/>
    </row>
    <row r="8" spans="1:6" x14ac:dyDescent="0.25">
      <c r="B8" s="1294" t="s">
        <v>333</v>
      </c>
      <c r="C8" s="1294"/>
      <c r="D8" s="1294"/>
    </row>
    <row r="9" spans="1:6" x14ac:dyDescent="0.25">
      <c r="A9" s="4"/>
    </row>
    <row r="10" spans="1:6" x14ac:dyDescent="0.25">
      <c r="A10" s="4"/>
      <c r="B10" s="311"/>
      <c r="C10" s="323" t="s">
        <v>334</v>
      </c>
      <c r="D10" s="965"/>
      <c r="E10" s="4"/>
    </row>
    <row r="11" spans="1:6" x14ac:dyDescent="0.25">
      <c r="A11" s="4" t="s">
        <v>5</v>
      </c>
      <c r="B11" s="298"/>
      <c r="C11" s="270" t="s">
        <v>384</v>
      </c>
      <c r="D11" s="929"/>
      <c r="E11" s="4" t="s">
        <v>5</v>
      </c>
    </row>
    <row r="12" spans="1:6" x14ac:dyDescent="0.25">
      <c r="A12" s="4" t="s">
        <v>6</v>
      </c>
      <c r="B12" s="306" t="s">
        <v>255</v>
      </c>
      <c r="C12" s="275" t="s">
        <v>336</v>
      </c>
      <c r="D12" s="275" t="s">
        <v>8</v>
      </c>
      <c r="E12" s="4" t="s">
        <v>6</v>
      </c>
    </row>
    <row r="13" spans="1:6" x14ac:dyDescent="0.25">
      <c r="A13" s="4"/>
      <c r="B13" s="314"/>
      <c r="C13" s="963"/>
      <c r="D13" s="966"/>
      <c r="E13" s="4"/>
    </row>
    <row r="14" spans="1:6" x14ac:dyDescent="0.25">
      <c r="A14" s="4">
        <v>1</v>
      </c>
      <c r="B14" s="629" t="str">
        <f>'AE-1'!B14</f>
        <v>Dec-22</v>
      </c>
      <c r="C14" s="232">
        <v>69951.332410000017</v>
      </c>
      <c r="D14" s="941" t="s">
        <v>374</v>
      </c>
      <c r="E14" s="4">
        <f>A14</f>
        <v>1</v>
      </c>
      <c r="F14" s="277"/>
    </row>
    <row r="15" spans="1:6" x14ac:dyDescent="0.25">
      <c r="A15" s="4">
        <f>A14+1</f>
        <v>2</v>
      </c>
      <c r="B15" s="317"/>
      <c r="C15" s="945"/>
      <c r="D15" s="945"/>
      <c r="E15" s="4">
        <f>E14+1</f>
        <v>2</v>
      </c>
    </row>
    <row r="16" spans="1:6" x14ac:dyDescent="0.25">
      <c r="A16" s="4">
        <f t="shared" ref="A16:A20" si="0">A15+1</f>
        <v>3</v>
      </c>
      <c r="B16" s="629" t="str">
        <f>'AE-1'!B26</f>
        <v>Dec-23</v>
      </c>
      <c r="C16" s="233">
        <v>76610.14694999998</v>
      </c>
      <c r="D16" s="941" t="s">
        <v>1486</v>
      </c>
      <c r="E16" s="4">
        <f t="shared" ref="E16:E20" si="1">E15+1</f>
        <v>3</v>
      </c>
      <c r="F16" s="277"/>
    </row>
    <row r="17" spans="1:7" x14ac:dyDescent="0.25">
      <c r="A17" s="4">
        <f t="shared" si="0"/>
        <v>4</v>
      </c>
      <c r="B17" s="332"/>
      <c r="C17" s="81"/>
      <c r="D17" s="81"/>
      <c r="E17" s="4">
        <f t="shared" si="1"/>
        <v>4</v>
      </c>
    </row>
    <row r="18" spans="1:7" x14ac:dyDescent="0.25">
      <c r="A18" s="4">
        <f t="shared" si="0"/>
        <v>5</v>
      </c>
      <c r="B18" s="311"/>
      <c r="C18" s="963"/>
      <c r="D18" s="966"/>
      <c r="E18" s="4">
        <f t="shared" si="1"/>
        <v>5</v>
      </c>
    </row>
    <row r="19" spans="1:7" x14ac:dyDescent="0.25">
      <c r="A19" s="4">
        <f t="shared" si="0"/>
        <v>6</v>
      </c>
      <c r="B19" s="319" t="s">
        <v>287</v>
      </c>
      <c r="C19" s="964">
        <f>(C14+C16)/2</f>
        <v>73280.739679999999</v>
      </c>
      <c r="D19" s="942" t="s">
        <v>288</v>
      </c>
      <c r="E19" s="4">
        <f t="shared" si="1"/>
        <v>6</v>
      </c>
    </row>
    <row r="20" spans="1:7" x14ac:dyDescent="0.25">
      <c r="A20" s="4">
        <f t="shared" si="0"/>
        <v>7</v>
      </c>
      <c r="B20" s="328"/>
      <c r="C20" s="67"/>
      <c r="D20" s="93"/>
      <c r="E20" s="4">
        <f t="shared" si="1"/>
        <v>7</v>
      </c>
    </row>
    <row r="21" spans="1:7" x14ac:dyDescent="0.25">
      <c r="A21" s="4"/>
      <c r="B21" s="31"/>
      <c r="C21" s="29"/>
      <c r="D21" s="31"/>
      <c r="E21" s="4"/>
    </row>
    <row r="22" spans="1:7" x14ac:dyDescent="0.25">
      <c r="A22" s="4"/>
      <c r="B22" s="31"/>
      <c r="C22" s="31"/>
      <c r="D22" s="31"/>
    </row>
    <row r="23" spans="1:7" ht="18.75" x14ac:dyDescent="0.25">
      <c r="A23" s="871"/>
      <c r="B23"/>
      <c r="C23"/>
      <c r="D23"/>
      <c r="E23"/>
      <c r="G23" s="255"/>
    </row>
    <row r="24" spans="1:7" x14ac:dyDescent="0.25">
      <c r="A24" s="872"/>
      <c r="B24"/>
      <c r="C24"/>
      <c r="D24"/>
      <c r="E24"/>
    </row>
    <row r="25" spans="1:7" x14ac:dyDescent="0.25">
      <c r="A25" s="872"/>
      <c r="B25"/>
      <c r="C25"/>
      <c r="D25"/>
      <c r="E25"/>
    </row>
    <row r="26" spans="1:7" x14ac:dyDescent="0.25">
      <c r="B26" s="31"/>
      <c r="C26" s="31"/>
      <c r="D26" s="31"/>
    </row>
    <row r="27" spans="1:7" x14ac:dyDescent="0.25">
      <c r="B27" s="31"/>
      <c r="C27" s="31"/>
      <c r="D27" s="31"/>
    </row>
    <row r="28" spans="1:7" x14ac:dyDescent="0.25">
      <c r="B28" s="31"/>
      <c r="C28" s="31"/>
      <c r="D28" s="31"/>
    </row>
    <row r="29" spans="1:7" x14ac:dyDescent="0.25">
      <c r="B29" s="31"/>
      <c r="C29" s="31"/>
      <c r="D29" s="31"/>
    </row>
    <row r="30" spans="1:7" x14ac:dyDescent="0.25">
      <c r="B30" s="31"/>
      <c r="C30" s="31"/>
      <c r="D30" s="31"/>
    </row>
    <row r="31" spans="1:7" x14ac:dyDescent="0.25">
      <c r="B31" s="31"/>
      <c r="C31" s="31"/>
      <c r="D31" s="31"/>
    </row>
    <row r="32" spans="1:7"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6" x14ac:dyDescent="0.25">
      <c r="B2" s="1294" t="s">
        <v>0</v>
      </c>
      <c r="C2" s="1294"/>
      <c r="D2" s="1294"/>
    </row>
    <row r="3" spans="1:6" x14ac:dyDescent="0.25">
      <c r="B3" s="1294" t="s">
        <v>371</v>
      </c>
      <c r="C3" s="1294"/>
      <c r="D3" s="1294"/>
    </row>
    <row r="4" spans="1:6" x14ac:dyDescent="0.25">
      <c r="B4" s="1294" t="s">
        <v>372</v>
      </c>
      <c r="C4" s="1294"/>
      <c r="D4" s="1294"/>
    </row>
    <row r="5" spans="1:6" x14ac:dyDescent="0.25">
      <c r="B5" s="1294" t="str">
        <f>'AD-1'!B5</f>
        <v>BASE PERIOD / TRUE UP PERIOD - 12/31/2023 PER BOOK</v>
      </c>
      <c r="C5" s="1294"/>
      <c r="D5" s="1294"/>
    </row>
    <row r="6" spans="1:6" x14ac:dyDescent="0.25">
      <c r="B6" s="1299" t="s">
        <v>4</v>
      </c>
      <c r="C6" s="1299"/>
      <c r="D6" s="1299"/>
    </row>
    <row r="7" spans="1:6" x14ac:dyDescent="0.25">
      <c r="B7" s="267"/>
      <c r="C7" s="267"/>
      <c r="D7" s="267"/>
    </row>
    <row r="8" spans="1:6" x14ac:dyDescent="0.25">
      <c r="A8" s="4"/>
      <c r="B8" s="1294" t="s">
        <v>337</v>
      </c>
      <c r="C8" s="1294"/>
      <c r="D8" s="1294"/>
    </row>
    <row r="9" spans="1:6" x14ac:dyDescent="0.25">
      <c r="A9" s="4"/>
      <c r="E9" s="4"/>
    </row>
    <row r="10" spans="1:6" x14ac:dyDescent="0.25">
      <c r="A10" s="4"/>
      <c r="B10" s="311"/>
      <c r="C10" s="975" t="s">
        <v>334</v>
      </c>
      <c r="D10" s="965"/>
      <c r="E10" s="4"/>
    </row>
    <row r="11" spans="1:6" x14ac:dyDescent="0.25">
      <c r="A11" s="4" t="s">
        <v>5</v>
      </c>
      <c r="B11" s="298"/>
      <c r="C11" s="270" t="s">
        <v>385</v>
      </c>
      <c r="D11" s="929"/>
      <c r="E11" s="4" t="s">
        <v>5</v>
      </c>
    </row>
    <row r="12" spans="1:6" x14ac:dyDescent="0.25">
      <c r="A12" s="4" t="s">
        <v>6</v>
      </c>
      <c r="B12" s="306" t="s">
        <v>255</v>
      </c>
      <c r="C12" s="275" t="s">
        <v>336</v>
      </c>
      <c r="D12" s="275" t="s">
        <v>8</v>
      </c>
      <c r="E12" s="4" t="s">
        <v>6</v>
      </c>
    </row>
    <row r="13" spans="1:6" x14ac:dyDescent="0.25">
      <c r="A13" s="4"/>
      <c r="B13" s="314"/>
      <c r="C13" s="963"/>
      <c r="D13" s="966"/>
      <c r="E13" s="4"/>
    </row>
    <row r="14" spans="1:6" x14ac:dyDescent="0.25">
      <c r="A14" s="4">
        <v>1</v>
      </c>
      <c r="B14" s="629" t="str">
        <f>'AE-2'!B14</f>
        <v>Dec-22</v>
      </c>
      <c r="C14" s="232">
        <v>243049.82983647494</v>
      </c>
      <c r="D14" s="941" t="s">
        <v>374</v>
      </c>
      <c r="E14" s="4">
        <f>A14</f>
        <v>1</v>
      </c>
      <c r="F14" s="277"/>
    </row>
    <row r="15" spans="1:6" x14ac:dyDescent="0.25">
      <c r="A15" s="4">
        <f>A14+1</f>
        <v>2</v>
      </c>
      <c r="B15" s="317"/>
      <c r="C15" s="945"/>
      <c r="D15" s="945"/>
      <c r="E15" s="4">
        <f>E14+1</f>
        <v>2</v>
      </c>
    </row>
    <row r="16" spans="1:6" x14ac:dyDescent="0.25">
      <c r="A16" s="4">
        <f t="shared" ref="A16:A20" si="0">A15+1</f>
        <v>3</v>
      </c>
      <c r="B16" s="629" t="str">
        <f>'AE-2'!B16</f>
        <v>Dec-23</v>
      </c>
      <c r="C16" s="233">
        <v>268071.91264152038</v>
      </c>
      <c r="D16" s="941" t="s">
        <v>1486</v>
      </c>
      <c r="E16" s="4">
        <f t="shared" ref="E16:E20" si="1">E15+1</f>
        <v>3</v>
      </c>
      <c r="F16" s="277"/>
    </row>
    <row r="17" spans="1:5" x14ac:dyDescent="0.25">
      <c r="A17" s="4">
        <f t="shared" si="0"/>
        <v>4</v>
      </c>
      <c r="B17" s="328"/>
      <c r="C17" s="82"/>
      <c r="D17" s="66"/>
      <c r="E17" s="4">
        <f t="shared" si="1"/>
        <v>4</v>
      </c>
    </row>
    <row r="18" spans="1:5" x14ac:dyDescent="0.25">
      <c r="A18" s="4">
        <f t="shared" si="0"/>
        <v>5</v>
      </c>
      <c r="B18" s="319"/>
      <c r="C18" s="963"/>
      <c r="D18" s="966"/>
      <c r="E18" s="4">
        <f t="shared" si="1"/>
        <v>5</v>
      </c>
    </row>
    <row r="19" spans="1:5" x14ac:dyDescent="0.25">
      <c r="A19" s="4">
        <f t="shared" si="0"/>
        <v>6</v>
      </c>
      <c r="B19" s="319" t="s">
        <v>287</v>
      </c>
      <c r="C19" s="964">
        <f>(C14+C16)/2</f>
        <v>255560.87123899767</v>
      </c>
      <c r="D19" s="942" t="s">
        <v>288</v>
      </c>
      <c r="E19" s="4">
        <f t="shared" si="1"/>
        <v>6</v>
      </c>
    </row>
    <row r="20" spans="1:5" x14ac:dyDescent="0.25">
      <c r="A20" s="4">
        <f t="shared" si="0"/>
        <v>7</v>
      </c>
      <c r="B20" s="328"/>
      <c r="C20" s="67"/>
      <c r="D20" s="93"/>
      <c r="E20" s="4">
        <f t="shared" si="1"/>
        <v>7</v>
      </c>
    </row>
    <row r="21" spans="1:5" x14ac:dyDescent="0.25">
      <c r="A21" s="4"/>
      <c r="B21" s="31"/>
      <c r="C21" s="29"/>
      <c r="D21" s="31"/>
      <c r="E21" s="4"/>
    </row>
    <row r="22" spans="1:5" x14ac:dyDescent="0.25">
      <c r="A22" s="4"/>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x14ac:dyDescent="0.25">
      <c r="B31" s="31"/>
      <c r="C31" s="31"/>
      <c r="D31" s="31"/>
    </row>
    <row r="32" spans="1:5" x14ac:dyDescent="0.25">
      <c r="B32" s="31"/>
      <c r="C32" s="31"/>
      <c r="D32" s="31"/>
    </row>
    <row r="33" spans="1:5" x14ac:dyDescent="0.25">
      <c r="B33" s="31"/>
      <c r="C33" s="31"/>
      <c r="D33" s="31"/>
    </row>
    <row r="34" spans="1:5" x14ac:dyDescent="0.25">
      <c r="B34" s="31"/>
      <c r="C34" s="31"/>
      <c r="D34" s="31"/>
    </row>
    <row r="35" spans="1:5" s="31" customFormat="1" x14ac:dyDescent="0.25">
      <c r="A35" s="4"/>
      <c r="E35" s="4"/>
    </row>
    <row r="36" spans="1:5" s="31" customFormat="1" x14ac:dyDescent="0.25">
      <c r="A36" s="4"/>
      <c r="E36" s="4"/>
    </row>
    <row r="37" spans="1:5" s="31" customFormat="1" x14ac:dyDescent="0.25">
      <c r="A37" s="4"/>
      <c r="E37" s="4"/>
    </row>
    <row r="38" spans="1:5" s="31" customFormat="1" x14ac:dyDescent="0.25">
      <c r="A38" s="4"/>
      <c r="E38" s="4"/>
    </row>
    <row r="39" spans="1:5" s="31" customFormat="1" x14ac:dyDescent="0.25">
      <c r="A39" s="4"/>
      <c r="E39" s="4"/>
    </row>
    <row r="40" spans="1:5" s="31" customFormat="1" x14ac:dyDescent="0.25">
      <c r="A40" s="4"/>
      <c r="E40" s="4"/>
    </row>
    <row r="41" spans="1:5" s="31" customFormat="1" x14ac:dyDescent="0.2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30"/>
  <sheetViews>
    <sheetView workbookViewId="0"/>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94" t="s">
        <v>0</v>
      </c>
      <c r="C2" s="1294"/>
      <c r="D2" s="1294"/>
      <c r="E2" s="1294"/>
      <c r="G2"/>
    </row>
    <row r="3" spans="1:7" x14ac:dyDescent="0.25">
      <c r="B3" s="1294" t="s">
        <v>371</v>
      </c>
      <c r="C3" s="1294"/>
      <c r="D3" s="1294"/>
      <c r="E3" s="1294"/>
    </row>
    <row r="4" spans="1:7" x14ac:dyDescent="0.25">
      <c r="B4" s="1294" t="s">
        <v>372</v>
      </c>
      <c r="C4" s="1294"/>
      <c r="D4" s="1294"/>
      <c r="E4" s="1294"/>
    </row>
    <row r="5" spans="1:7" x14ac:dyDescent="0.25">
      <c r="B5" s="1294" t="str">
        <f>'AD-1'!B5</f>
        <v>BASE PERIOD / TRUE UP PERIOD - 12/31/2023 PER BOOK</v>
      </c>
      <c r="C5" s="1294"/>
      <c r="D5" s="1294"/>
      <c r="E5" s="1294"/>
    </row>
    <row r="6" spans="1:7" x14ac:dyDescent="0.25">
      <c r="B6" s="1299" t="s">
        <v>4</v>
      </c>
      <c r="C6" s="1299"/>
      <c r="D6" s="1299"/>
      <c r="E6" s="1299"/>
    </row>
    <row r="7" spans="1:7" x14ac:dyDescent="0.25">
      <c r="B7" s="267"/>
      <c r="C7" s="267"/>
      <c r="D7" s="267"/>
      <c r="E7" s="267"/>
    </row>
    <row r="8" spans="1:7" x14ac:dyDescent="0.25">
      <c r="B8" s="1294" t="s">
        <v>339</v>
      </c>
      <c r="C8" s="1294"/>
      <c r="D8" s="1294"/>
      <c r="E8" s="1294"/>
    </row>
    <row r="9" spans="1:7" x14ac:dyDescent="0.25">
      <c r="A9" s="4"/>
      <c r="F9" s="4"/>
    </row>
    <row r="10" spans="1:7" x14ac:dyDescent="0.25">
      <c r="A10" s="4" t="s">
        <v>5</v>
      </c>
      <c r="B10" s="321"/>
      <c r="C10" s="321"/>
      <c r="D10" s="322"/>
      <c r="E10" s="323"/>
      <c r="F10" s="4" t="s">
        <v>5</v>
      </c>
    </row>
    <row r="11" spans="1:7" x14ac:dyDescent="0.25">
      <c r="A11" s="4" t="s">
        <v>6</v>
      </c>
      <c r="B11" s="306" t="s">
        <v>255</v>
      </c>
      <c r="C11" s="306" t="s">
        <v>306</v>
      </c>
      <c r="D11" s="306" t="s">
        <v>7</v>
      </c>
      <c r="E11" s="275" t="s">
        <v>8</v>
      </c>
      <c r="F11" s="4" t="s">
        <v>6</v>
      </c>
      <c r="G11" s="277"/>
    </row>
    <row r="12" spans="1:7" x14ac:dyDescent="0.25">
      <c r="A12" s="4"/>
      <c r="B12" s="324"/>
      <c r="C12" s="324"/>
      <c r="D12" s="324"/>
      <c r="E12" s="325"/>
      <c r="F12" s="4"/>
    </row>
    <row r="13" spans="1:7" x14ac:dyDescent="0.25">
      <c r="A13" s="4">
        <v>1</v>
      </c>
      <c r="B13" s="629" t="str">
        <f>'AE-3'!B14</f>
        <v>Dec-22</v>
      </c>
      <c r="C13" s="326" t="s">
        <v>340</v>
      </c>
      <c r="D13" s="336">
        <v>883346.59900000005</v>
      </c>
      <c r="E13" s="1208" t="s">
        <v>1972</v>
      </c>
      <c r="F13" s="4">
        <f>A13</f>
        <v>1</v>
      </c>
    </row>
    <row r="14" spans="1:7" x14ac:dyDescent="0.25">
      <c r="A14" s="4">
        <f>A13+1</f>
        <v>2</v>
      </c>
      <c r="B14" s="326"/>
      <c r="C14" s="326" t="s">
        <v>342</v>
      </c>
      <c r="D14" s="247">
        <v>0.73170000000000002</v>
      </c>
      <c r="E14" s="1208" t="s">
        <v>1973</v>
      </c>
      <c r="F14" s="4">
        <f>F13+1</f>
        <v>2</v>
      </c>
    </row>
    <row r="15" spans="1:7" x14ac:dyDescent="0.25">
      <c r="A15" s="4">
        <f t="shared" ref="A15:A23" si="0">A14+1</f>
        <v>3</v>
      </c>
      <c r="B15" s="326"/>
      <c r="C15" s="326" t="s">
        <v>386</v>
      </c>
      <c r="D15" s="570">
        <f>D13*D14</f>
        <v>646344.7064883</v>
      </c>
      <c r="E15" s="941" t="s">
        <v>345</v>
      </c>
      <c r="F15" s="4">
        <f t="shared" ref="F15:F22" si="1">F14+1</f>
        <v>3</v>
      </c>
    </row>
    <row r="16" spans="1:7" x14ac:dyDescent="0.25">
      <c r="A16" s="4">
        <f t="shared" si="0"/>
        <v>4</v>
      </c>
      <c r="B16" s="326"/>
      <c r="C16" s="326"/>
      <c r="D16" s="570"/>
      <c r="E16" s="941"/>
      <c r="F16" s="4">
        <f t="shared" si="1"/>
        <v>4</v>
      </c>
    </row>
    <row r="17" spans="1:7" x14ac:dyDescent="0.25">
      <c r="A17" s="4">
        <f t="shared" si="0"/>
        <v>5</v>
      </c>
      <c r="B17" s="629" t="str">
        <f>'AE-3'!B16</f>
        <v>Dec-23</v>
      </c>
      <c r="C17" s="326" t="s">
        <v>340</v>
      </c>
      <c r="D17" s="336">
        <v>1023506.296</v>
      </c>
      <c r="E17" s="1208" t="s">
        <v>1974</v>
      </c>
      <c r="F17" s="4">
        <f t="shared" si="1"/>
        <v>5</v>
      </c>
      <c r="G17" s="255"/>
    </row>
    <row r="18" spans="1:7" x14ac:dyDescent="0.25">
      <c r="A18" s="4">
        <f t="shared" si="0"/>
        <v>6</v>
      </c>
      <c r="B18" s="326"/>
      <c r="C18" s="326" t="s">
        <v>342</v>
      </c>
      <c r="D18" s="247">
        <v>0.73899999999999999</v>
      </c>
      <c r="E18" s="1208" t="s">
        <v>1975</v>
      </c>
      <c r="F18" s="4">
        <f t="shared" si="1"/>
        <v>6</v>
      </c>
      <c r="G18" s="255"/>
    </row>
    <row r="19" spans="1:7" x14ac:dyDescent="0.25">
      <c r="A19" s="4">
        <f t="shared" si="0"/>
        <v>7</v>
      </c>
      <c r="B19" s="326"/>
      <c r="C19" s="326" t="s">
        <v>386</v>
      </c>
      <c r="D19" s="570">
        <f>D17*D18</f>
        <v>756371.15274399996</v>
      </c>
      <c r="E19" s="941" t="s">
        <v>347</v>
      </c>
      <c r="F19" s="4">
        <f t="shared" si="1"/>
        <v>7</v>
      </c>
    </row>
    <row r="20" spans="1:7" x14ac:dyDescent="0.25">
      <c r="A20" s="4">
        <f t="shared" si="0"/>
        <v>8</v>
      </c>
      <c r="B20" s="327"/>
      <c r="C20" s="306"/>
      <c r="D20" s="327"/>
      <c r="E20" s="291"/>
      <c r="F20" s="4">
        <f t="shared" si="1"/>
        <v>8</v>
      </c>
    </row>
    <row r="21" spans="1:7" x14ac:dyDescent="0.25">
      <c r="A21" s="4">
        <f t="shared" si="0"/>
        <v>9</v>
      </c>
      <c r="B21" s="311"/>
      <c r="D21" s="319"/>
      <c r="E21" s="278"/>
      <c r="F21" s="4">
        <f t="shared" si="1"/>
        <v>9</v>
      </c>
    </row>
    <row r="22" spans="1:7" x14ac:dyDescent="0.25">
      <c r="A22" s="4">
        <f t="shared" si="0"/>
        <v>10</v>
      </c>
      <c r="B22" s="319" t="s">
        <v>287</v>
      </c>
      <c r="D22" s="964">
        <f>(D15+D19)/2</f>
        <v>701357.92961614998</v>
      </c>
      <c r="E22" s="935" t="s">
        <v>348</v>
      </c>
      <c r="F22" s="4">
        <f t="shared" si="1"/>
        <v>10</v>
      </c>
    </row>
    <row r="23" spans="1:7" x14ac:dyDescent="0.25">
      <c r="A23" s="4">
        <f t="shared" si="0"/>
        <v>11</v>
      </c>
      <c r="B23" s="328"/>
      <c r="C23" s="969"/>
      <c r="D23" s="328"/>
      <c r="E23" s="66"/>
      <c r="F23" s="4">
        <f t="shared" ref="F23" si="2">F22+1</f>
        <v>11</v>
      </c>
    </row>
    <row r="24" spans="1:7" x14ac:dyDescent="0.25">
      <c r="A24" s="4"/>
      <c r="B24" s="293"/>
      <c r="C24" s="293"/>
      <c r="D24" s="31"/>
      <c r="E24" s="31"/>
    </row>
    <row r="25" spans="1:7" x14ac:dyDescent="0.25">
      <c r="B25" s="31"/>
      <c r="C25" s="31"/>
      <c r="D25" s="31"/>
      <c r="E25" s="31"/>
    </row>
    <row r="26" spans="1:7" x14ac:dyDescent="0.25">
      <c r="B26" s="31"/>
      <c r="C26" s="31"/>
      <c r="D26" s="31"/>
      <c r="E26" s="34"/>
    </row>
    <row r="27" spans="1:7" x14ac:dyDescent="0.25">
      <c r="B27" s="31"/>
      <c r="C27" s="31"/>
      <c r="D27" s="31"/>
      <c r="E27" s="31"/>
    </row>
    <row r="28" spans="1:7" x14ac:dyDescent="0.25">
      <c r="E28" s="34"/>
    </row>
    <row r="30" spans="1:7" x14ac:dyDescent="0.25">
      <c r="E30" s="34"/>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7" x14ac:dyDescent="0.25">
      <c r="B2" s="1294" t="s">
        <v>0</v>
      </c>
      <c r="C2" s="1294"/>
      <c r="D2" s="1294"/>
      <c r="E2" s="1294"/>
      <c r="F2" s="1294"/>
    </row>
    <row r="3" spans="1:7" x14ac:dyDescent="0.25">
      <c r="B3" s="1294" t="s">
        <v>371</v>
      </c>
      <c r="C3" s="1294"/>
      <c r="D3" s="1294"/>
      <c r="E3" s="1294"/>
      <c r="F3" s="1294"/>
    </row>
    <row r="4" spans="1:7" x14ac:dyDescent="0.25">
      <c r="B4" s="1294" t="s">
        <v>387</v>
      </c>
      <c r="C4" s="1294"/>
      <c r="D4" s="1294"/>
      <c r="E4" s="1294"/>
      <c r="F4" s="1294"/>
    </row>
    <row r="5" spans="1:7" x14ac:dyDescent="0.25">
      <c r="B5" s="1294" t="str">
        <f>'AD-1'!B5</f>
        <v>BASE PERIOD / TRUE UP PERIOD - 12/31/2023 PER BOOK</v>
      </c>
      <c r="C5" s="1294"/>
      <c r="D5" s="1294"/>
      <c r="E5" s="1294"/>
      <c r="F5" s="1294"/>
      <c r="G5" s="4"/>
    </row>
    <row r="6" spans="1:7" x14ac:dyDescent="0.25">
      <c r="B6" s="1299" t="s">
        <v>4</v>
      </c>
      <c r="C6" s="1299"/>
      <c r="D6" s="1299"/>
      <c r="E6" s="1299"/>
      <c r="F6" s="1299"/>
      <c r="G6" s="4"/>
    </row>
    <row r="7" spans="1:7" x14ac:dyDescent="0.25">
      <c r="B7" s="337"/>
      <c r="C7" s="268"/>
      <c r="D7" s="268"/>
      <c r="E7" s="267"/>
      <c r="F7" s="267"/>
      <c r="G7" s="4"/>
    </row>
    <row r="8" spans="1:7" x14ac:dyDescent="0.25">
      <c r="B8" s="1307" t="s">
        <v>329</v>
      </c>
      <c r="C8" s="1308"/>
      <c r="D8" s="1308"/>
      <c r="E8" s="1308"/>
      <c r="F8" s="1308"/>
      <c r="G8" s="4"/>
    </row>
    <row r="9" spans="1:7" x14ac:dyDescent="0.25">
      <c r="G9" s="4"/>
    </row>
    <row r="10" spans="1:7" x14ac:dyDescent="0.25">
      <c r="A10" s="4"/>
      <c r="B10" s="927"/>
      <c r="C10" s="269" t="s">
        <v>388</v>
      </c>
      <c r="D10" s="928"/>
      <c r="E10" s="269" t="s">
        <v>330</v>
      </c>
      <c r="F10" s="928"/>
      <c r="G10" s="4"/>
    </row>
    <row r="11" spans="1:7" x14ac:dyDescent="0.25">
      <c r="A11" s="4"/>
      <c r="B11" s="270"/>
      <c r="C11" s="218" t="s">
        <v>290</v>
      </c>
      <c r="D11" s="270"/>
      <c r="E11" s="274" t="s">
        <v>331</v>
      </c>
      <c r="F11" s="270"/>
      <c r="G11" s="4"/>
    </row>
    <row r="12" spans="1:7" x14ac:dyDescent="0.25">
      <c r="A12" s="4" t="s">
        <v>5</v>
      </c>
      <c r="B12" s="273"/>
      <c r="C12" s="218" t="s">
        <v>373</v>
      </c>
      <c r="D12" s="270"/>
      <c r="E12" s="274" t="s">
        <v>373</v>
      </c>
      <c r="F12" s="270"/>
      <c r="G12" s="4" t="s">
        <v>5</v>
      </c>
    </row>
    <row r="13" spans="1:7" x14ac:dyDescent="0.25">
      <c r="A13" s="4" t="s">
        <v>6</v>
      </c>
      <c r="B13" s="275" t="s">
        <v>255</v>
      </c>
      <c r="C13" s="930" t="s">
        <v>256</v>
      </c>
      <c r="D13" s="275" t="s">
        <v>8</v>
      </c>
      <c r="E13" s="276" t="s">
        <v>332</v>
      </c>
      <c r="F13" s="275" t="s">
        <v>8</v>
      </c>
      <c r="G13" s="4" t="s">
        <v>6</v>
      </c>
    </row>
    <row r="14" spans="1:7" x14ac:dyDescent="0.25">
      <c r="A14" s="4">
        <v>1</v>
      </c>
      <c r="B14" s="931" t="str">
        <f>'AE-1'!B14</f>
        <v>Dec-22</v>
      </c>
      <c r="C14" s="58">
        <v>0</v>
      </c>
      <c r="D14" s="942" t="s">
        <v>258</v>
      </c>
      <c r="E14" s="58">
        <v>0</v>
      </c>
      <c r="F14" s="942" t="s">
        <v>258</v>
      </c>
      <c r="G14" s="4">
        <f>A14</f>
        <v>1</v>
      </c>
    </row>
    <row r="15" spans="1:7" x14ac:dyDescent="0.25">
      <c r="A15" s="4">
        <f>A14+1</f>
        <v>2</v>
      </c>
      <c r="B15" s="931" t="str">
        <f>'AE-1'!B15</f>
        <v>Jan-23</v>
      </c>
      <c r="C15" s="52">
        <v>0</v>
      </c>
      <c r="D15" s="941"/>
      <c r="E15" s="52">
        <v>0</v>
      </c>
      <c r="F15" s="941"/>
      <c r="G15" s="4">
        <f>G14+1</f>
        <v>2</v>
      </c>
    </row>
    <row r="16" spans="1:7" x14ac:dyDescent="0.25">
      <c r="A16" s="4">
        <f t="shared" ref="A16:A32" si="0">A15+1</f>
        <v>3</v>
      </c>
      <c r="B16" s="934" t="s">
        <v>260</v>
      </c>
      <c r="C16" s="52">
        <v>0</v>
      </c>
      <c r="D16" s="941"/>
      <c r="E16" s="52">
        <v>0</v>
      </c>
      <c r="F16" s="941"/>
      <c r="G16" s="4">
        <f t="shared" ref="G16:G32" si="1">G15+1</f>
        <v>3</v>
      </c>
    </row>
    <row r="17" spans="1:7" x14ac:dyDescent="0.25">
      <c r="A17" s="4">
        <f t="shared" si="0"/>
        <v>4</v>
      </c>
      <c r="B17" s="934" t="s">
        <v>261</v>
      </c>
      <c r="C17" s="52">
        <v>0</v>
      </c>
      <c r="D17" s="941"/>
      <c r="E17" s="65">
        <v>0</v>
      </c>
      <c r="F17" s="941"/>
      <c r="G17" s="4">
        <f t="shared" si="1"/>
        <v>4</v>
      </c>
    </row>
    <row r="18" spans="1:7" x14ac:dyDescent="0.25">
      <c r="A18" s="4">
        <f t="shared" si="0"/>
        <v>5</v>
      </c>
      <c r="B18" s="934" t="s">
        <v>262</v>
      </c>
      <c r="C18" s="52">
        <v>0</v>
      </c>
      <c r="D18" s="941"/>
      <c r="E18" s="65">
        <v>0</v>
      </c>
      <c r="F18" s="941"/>
      <c r="G18" s="4">
        <f t="shared" si="1"/>
        <v>5</v>
      </c>
    </row>
    <row r="19" spans="1:7" x14ac:dyDescent="0.25">
      <c r="A19" s="4">
        <f t="shared" si="0"/>
        <v>6</v>
      </c>
      <c r="B19" s="934" t="s">
        <v>263</v>
      </c>
      <c r="C19" s="52">
        <v>0</v>
      </c>
      <c r="D19" s="941"/>
      <c r="E19" s="65">
        <v>0</v>
      </c>
      <c r="F19" s="941"/>
      <c r="G19" s="4">
        <f t="shared" si="1"/>
        <v>6</v>
      </c>
    </row>
    <row r="20" spans="1:7" x14ac:dyDescent="0.25">
      <c r="A20" s="4">
        <f>A19+1</f>
        <v>7</v>
      </c>
      <c r="B20" s="934" t="s">
        <v>264</v>
      </c>
      <c r="C20" s="52">
        <v>0</v>
      </c>
      <c r="D20" s="941"/>
      <c r="E20" s="65">
        <v>0</v>
      </c>
      <c r="F20" s="941"/>
      <c r="G20" s="4">
        <f>G19+1</f>
        <v>7</v>
      </c>
    </row>
    <row r="21" spans="1:7" x14ac:dyDescent="0.25">
      <c r="A21" s="4">
        <f t="shared" si="0"/>
        <v>8</v>
      </c>
      <c r="B21" s="934" t="s">
        <v>265</v>
      </c>
      <c r="C21" s="52">
        <v>0</v>
      </c>
      <c r="D21" s="941"/>
      <c r="E21" s="65">
        <v>0</v>
      </c>
      <c r="F21" s="941"/>
      <c r="G21" s="4">
        <f t="shared" si="1"/>
        <v>8</v>
      </c>
    </row>
    <row r="22" spans="1:7" x14ac:dyDescent="0.25">
      <c r="A22" s="4">
        <f t="shared" si="0"/>
        <v>9</v>
      </c>
      <c r="B22" s="934" t="s">
        <v>266</v>
      </c>
      <c r="C22" s="52">
        <v>0</v>
      </c>
      <c r="D22" s="941"/>
      <c r="E22" s="65">
        <v>0</v>
      </c>
      <c r="F22" s="941"/>
      <c r="G22" s="4">
        <f t="shared" si="1"/>
        <v>9</v>
      </c>
    </row>
    <row r="23" spans="1:7" x14ac:dyDescent="0.25">
      <c r="A23" s="4">
        <f t="shared" si="0"/>
        <v>10</v>
      </c>
      <c r="B23" s="934" t="s">
        <v>267</v>
      </c>
      <c r="C23" s="52">
        <v>0</v>
      </c>
      <c r="D23" s="941"/>
      <c r="E23" s="65">
        <v>0</v>
      </c>
      <c r="F23" s="941"/>
      <c r="G23" s="4">
        <f t="shared" si="1"/>
        <v>10</v>
      </c>
    </row>
    <row r="24" spans="1:7" x14ac:dyDescent="0.25">
      <c r="A24" s="4">
        <f t="shared" si="0"/>
        <v>11</v>
      </c>
      <c r="B24" s="934" t="s">
        <v>268</v>
      </c>
      <c r="C24" s="52">
        <v>0</v>
      </c>
      <c r="D24" s="941"/>
      <c r="E24" s="65">
        <v>0</v>
      </c>
      <c r="F24" s="941"/>
      <c r="G24" s="4">
        <f t="shared" si="1"/>
        <v>11</v>
      </c>
    </row>
    <row r="25" spans="1:7" x14ac:dyDescent="0.25">
      <c r="A25" s="4">
        <f t="shared" si="0"/>
        <v>12</v>
      </c>
      <c r="B25" s="934" t="s">
        <v>269</v>
      </c>
      <c r="C25" s="52">
        <v>0</v>
      </c>
      <c r="D25" s="941"/>
      <c r="E25" s="65">
        <v>0</v>
      </c>
      <c r="F25" s="941"/>
      <c r="G25" s="4">
        <f t="shared" si="1"/>
        <v>12</v>
      </c>
    </row>
    <row r="26" spans="1:7" x14ac:dyDescent="0.25">
      <c r="A26" s="4">
        <f t="shared" si="0"/>
        <v>13</v>
      </c>
      <c r="B26" s="630" t="str">
        <f>'AE-1'!B26</f>
        <v>Dec-23</v>
      </c>
      <c r="C26" s="53">
        <v>0</v>
      </c>
      <c r="D26" s="591" t="s">
        <v>258</v>
      </c>
      <c r="E26" s="53">
        <v>0</v>
      </c>
      <c r="F26" s="942" t="s">
        <v>258</v>
      </c>
      <c r="G26" s="4">
        <f t="shared" si="1"/>
        <v>13</v>
      </c>
    </row>
    <row r="27" spans="1:7" x14ac:dyDescent="0.25">
      <c r="A27" s="4">
        <f t="shared" si="0"/>
        <v>14</v>
      </c>
      <c r="B27" s="278"/>
      <c r="C27" s="59"/>
      <c r="D27" s="927"/>
      <c r="E27" s="60"/>
      <c r="F27" s="946"/>
      <c r="G27" s="4">
        <f t="shared" si="1"/>
        <v>14</v>
      </c>
    </row>
    <row r="28" spans="1:7" x14ac:dyDescent="0.25">
      <c r="A28" s="4">
        <f t="shared" si="0"/>
        <v>15</v>
      </c>
      <c r="B28" s="278" t="s">
        <v>271</v>
      </c>
      <c r="C28" s="55">
        <f>SUM(C14:C26)</f>
        <v>0</v>
      </c>
      <c r="D28" s="942" t="s">
        <v>272</v>
      </c>
      <c r="E28" s="55">
        <f>SUM(E14:E26)</f>
        <v>0</v>
      </c>
      <c r="F28" s="942" t="s">
        <v>272</v>
      </c>
      <c r="G28" s="4">
        <f t="shared" si="1"/>
        <v>15</v>
      </c>
    </row>
    <row r="29" spans="1:7" x14ac:dyDescent="0.25">
      <c r="A29" s="4">
        <f t="shared" si="0"/>
        <v>16</v>
      </c>
      <c r="B29" s="117"/>
      <c r="C29" s="61"/>
      <c r="D29" s="81"/>
      <c r="E29" s="61"/>
      <c r="F29" s="81"/>
      <c r="G29" s="4">
        <f t="shared" si="1"/>
        <v>16</v>
      </c>
    </row>
    <row r="30" spans="1:7" x14ac:dyDescent="0.25">
      <c r="A30" s="4">
        <f t="shared" si="0"/>
        <v>17</v>
      </c>
      <c r="B30" s="278"/>
      <c r="C30" s="79"/>
      <c r="D30" s="672"/>
      <c r="E30" s="79"/>
      <c r="F30" s="672"/>
      <c r="G30" s="4">
        <f t="shared" si="1"/>
        <v>17</v>
      </c>
    </row>
    <row r="31" spans="1:7" x14ac:dyDescent="0.25">
      <c r="A31" s="4">
        <f t="shared" si="0"/>
        <v>18</v>
      </c>
      <c r="B31" s="278" t="s">
        <v>273</v>
      </c>
      <c r="C31" s="55">
        <f>C28/13</f>
        <v>0</v>
      </c>
      <c r="D31" s="671" t="s">
        <v>274</v>
      </c>
      <c r="E31" s="55">
        <f>E28/13</f>
        <v>0</v>
      </c>
      <c r="F31" s="671" t="s">
        <v>274</v>
      </c>
      <c r="G31" s="4">
        <f t="shared" si="1"/>
        <v>18</v>
      </c>
    </row>
    <row r="32" spans="1:7" x14ac:dyDescent="0.25">
      <c r="A32" s="4">
        <f t="shared" si="0"/>
        <v>19</v>
      </c>
      <c r="B32" s="117"/>
      <c r="C32" s="279"/>
      <c r="D32" s="292"/>
      <c r="E32" s="279"/>
      <c r="F32" s="292"/>
      <c r="G32" s="4">
        <f t="shared" si="1"/>
        <v>19</v>
      </c>
    </row>
    <row r="33" spans="1:7" x14ac:dyDescent="0.25">
      <c r="A33" s="4"/>
      <c r="B33" s="31"/>
      <c r="C33" s="31"/>
      <c r="D33" s="31"/>
      <c r="E33" s="31"/>
      <c r="F33" s="31"/>
      <c r="G33" s="4"/>
    </row>
    <row r="34" spans="1:7" x14ac:dyDescent="0.25">
      <c r="A34" s="4"/>
      <c r="B34" s="293"/>
      <c r="C34" s="31"/>
      <c r="D34" s="31"/>
      <c r="E34" s="106"/>
      <c r="F34" s="31"/>
      <c r="G34" s="4"/>
    </row>
    <row r="35" spans="1:7" x14ac:dyDescent="0.25">
      <c r="A35" s="4"/>
      <c r="B35" s="293"/>
      <c r="C35" s="31"/>
      <c r="D35" s="31"/>
      <c r="E35" s="31"/>
      <c r="F35" s="31"/>
      <c r="G35" s="4"/>
    </row>
    <row r="36" spans="1:7" x14ac:dyDescent="0.25">
      <c r="A36" s="4"/>
      <c r="B36" s="31"/>
      <c r="C36" s="31"/>
      <c r="D36" s="31"/>
      <c r="E36" s="31"/>
      <c r="F36" s="31"/>
      <c r="G36" s="4"/>
    </row>
    <row r="37" spans="1:7" x14ac:dyDescent="0.25">
      <c r="B37" s="31"/>
      <c r="C37" s="31"/>
      <c r="D37" s="31"/>
      <c r="E37" s="31"/>
      <c r="F37" s="31"/>
      <c r="G37" s="4"/>
    </row>
    <row r="38" spans="1:7" x14ac:dyDescent="0.25">
      <c r="B38" s="31"/>
      <c r="C38" s="31"/>
      <c r="D38" s="31"/>
      <c r="E38" s="31"/>
      <c r="F38" s="3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workbookViewId="0"/>
  </sheetViews>
  <sheetFormatPr defaultColWidth="9.28515625" defaultRowHeight="15.75" x14ac:dyDescent="0.25"/>
  <cols>
    <col min="1" max="1" width="5.28515625" style="4" customWidth="1"/>
    <col min="2" max="2" width="56" style="31" customWidth="1"/>
    <col min="3" max="3" width="33" style="31"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40.28515625" style="31" customWidth="1"/>
    <col min="12" max="12" width="5.28515625" style="31" customWidth="1"/>
    <col min="13" max="13" width="9.28515625" style="31"/>
    <col min="14" max="14" width="20.42578125" style="31" bestFit="1" customWidth="1"/>
    <col min="15" max="16384" width="9.28515625" style="31"/>
  </cols>
  <sheetData>
    <row r="1" spans="1:14" x14ac:dyDescent="0.25">
      <c r="H1" s="4"/>
      <c r="I1" s="4"/>
      <c r="J1" s="4"/>
      <c r="K1" s="4"/>
      <c r="L1" s="4"/>
    </row>
    <row r="2" spans="1:14" x14ac:dyDescent="0.25">
      <c r="B2" s="1294" t="s">
        <v>0</v>
      </c>
      <c r="C2" s="1294"/>
      <c r="D2" s="1294"/>
      <c r="E2" s="1294"/>
      <c r="F2" s="1294"/>
      <c r="G2" s="1294"/>
      <c r="H2" s="1294"/>
      <c r="I2" s="1294"/>
      <c r="J2" s="1294"/>
      <c r="K2" s="1294"/>
      <c r="L2" s="4"/>
    </row>
    <row r="3" spans="1:14" x14ac:dyDescent="0.25">
      <c r="B3" s="1294" t="s">
        <v>389</v>
      </c>
      <c r="C3" s="1294"/>
      <c r="D3" s="1294"/>
      <c r="E3" s="1294"/>
      <c r="F3" s="1294"/>
      <c r="G3" s="1294"/>
      <c r="H3" s="1294"/>
      <c r="I3" s="1294"/>
      <c r="J3" s="1294"/>
      <c r="K3" s="1294"/>
      <c r="L3" s="4"/>
    </row>
    <row r="4" spans="1:14" x14ac:dyDescent="0.25">
      <c r="B4" s="1294" t="s">
        <v>390</v>
      </c>
      <c r="C4" s="1294"/>
      <c r="D4" s="1294"/>
      <c r="E4" s="1294"/>
      <c r="F4" s="1294"/>
      <c r="G4" s="1294"/>
      <c r="H4" s="1294"/>
      <c r="I4" s="1294"/>
      <c r="J4" s="1294"/>
      <c r="K4" s="1294"/>
      <c r="L4" s="4"/>
    </row>
    <row r="5" spans="1:14" x14ac:dyDescent="0.25">
      <c r="B5" s="1300" t="str">
        <f>'Stmt AD'!B5</f>
        <v>Base Period &amp; True-Up Period 12 - Months Ending December 31, 2023</v>
      </c>
      <c r="C5" s="1300"/>
      <c r="D5" s="1300"/>
      <c r="E5" s="1300"/>
      <c r="F5" s="1300"/>
      <c r="G5" s="1300"/>
      <c r="H5" s="1300"/>
      <c r="I5" s="1300"/>
      <c r="J5" s="1300"/>
      <c r="K5" s="1300"/>
      <c r="L5" s="4"/>
    </row>
    <row r="6" spans="1:14" x14ac:dyDescent="0.25">
      <c r="B6" s="1299" t="s">
        <v>4</v>
      </c>
      <c r="C6" s="1295"/>
      <c r="D6" s="1295"/>
      <c r="E6" s="1295"/>
      <c r="F6" s="1295"/>
      <c r="G6" s="1295"/>
      <c r="H6" s="1295"/>
      <c r="I6" s="1295"/>
      <c r="J6" s="1295"/>
      <c r="K6" s="1295"/>
      <c r="L6" s="4"/>
    </row>
    <row r="7" spans="1:14" x14ac:dyDescent="0.25">
      <c r="B7" s="4"/>
      <c r="C7" s="4"/>
      <c r="D7" s="4"/>
      <c r="E7" s="4"/>
      <c r="F7" s="4"/>
      <c r="G7" s="4"/>
      <c r="H7" s="4"/>
      <c r="I7" s="4"/>
      <c r="J7" s="4"/>
      <c r="K7" s="4"/>
      <c r="L7" s="4"/>
    </row>
    <row r="8" spans="1:14" x14ac:dyDescent="0.25">
      <c r="A8" s="4" t="s">
        <v>5</v>
      </c>
      <c r="B8" s="218"/>
      <c r="C8" s="4" t="s">
        <v>205</v>
      </c>
      <c r="D8" s="218"/>
      <c r="E8" s="34" t="s">
        <v>184</v>
      </c>
      <c r="F8" s="4"/>
      <c r="G8" s="34" t="s">
        <v>185</v>
      </c>
      <c r="H8" s="4"/>
      <c r="I8" s="34" t="s">
        <v>206</v>
      </c>
      <c r="J8" s="4"/>
      <c r="K8" s="4"/>
      <c r="L8" s="4" t="s">
        <v>5</v>
      </c>
    </row>
    <row r="9" spans="1:14" x14ac:dyDescent="0.25">
      <c r="A9" s="4" t="s">
        <v>6</v>
      </c>
      <c r="C9" s="849" t="s">
        <v>207</v>
      </c>
      <c r="E9" s="970">
        <f>'Stmt AD'!E9</f>
        <v>44926</v>
      </c>
      <c r="F9" s="218"/>
      <c r="G9" s="970">
        <f>'Stmt AD'!G9</f>
        <v>45291</v>
      </c>
      <c r="H9" s="218"/>
      <c r="I9" s="850" t="s">
        <v>208</v>
      </c>
      <c r="J9" s="218"/>
      <c r="K9" s="849" t="s">
        <v>8</v>
      </c>
      <c r="L9" s="4" t="s">
        <v>6</v>
      </c>
    </row>
    <row r="10" spans="1:14" x14ac:dyDescent="0.25">
      <c r="H10" s="4"/>
      <c r="I10" s="4"/>
      <c r="J10" s="4"/>
      <c r="K10" s="4"/>
      <c r="L10" s="4"/>
    </row>
    <row r="11" spans="1:14" s="255" customFormat="1" x14ac:dyDescent="0.25">
      <c r="A11" s="4">
        <v>1</v>
      </c>
      <c r="B11" s="31" t="s">
        <v>391</v>
      </c>
      <c r="C11" s="4" t="s">
        <v>392</v>
      </c>
      <c r="D11" s="31"/>
      <c r="E11" s="1095">
        <f>'AF-1'!I18</f>
        <v>105148.9305942592</v>
      </c>
      <c r="F11" s="1092" t="s">
        <v>1460</v>
      </c>
      <c r="G11" s="83">
        <f>'AF-2'!I18</f>
        <v>103537.42708935875</v>
      </c>
      <c r="H11" s="4"/>
      <c r="I11" s="35">
        <f>(E11+G11)/2</f>
        <v>104343.17884180899</v>
      </c>
      <c r="J11" s="4"/>
      <c r="K11" s="4" t="s">
        <v>393</v>
      </c>
      <c r="L11" s="4">
        <f>A11</f>
        <v>1</v>
      </c>
      <c r="M11" s="31"/>
    </row>
    <row r="12" spans="1:14" s="255" customFormat="1" x14ac:dyDescent="0.25">
      <c r="A12" s="4">
        <f>A11+1</f>
        <v>2</v>
      </c>
      <c r="B12" s="31"/>
      <c r="C12" s="31"/>
      <c r="D12" s="31"/>
      <c r="E12" s="31"/>
      <c r="F12" s="31"/>
      <c r="G12" s="31"/>
      <c r="H12" s="4"/>
      <c r="I12" s="4"/>
      <c r="J12" s="4"/>
      <c r="K12" s="4"/>
      <c r="L12" s="4">
        <f>L11+1</f>
        <v>2</v>
      </c>
    </row>
    <row r="13" spans="1:14" s="255" customFormat="1" x14ac:dyDescent="0.25">
      <c r="A13" s="4">
        <f>A12+1</f>
        <v>3</v>
      </c>
      <c r="B13" s="31" t="s">
        <v>394</v>
      </c>
      <c r="C13" s="4" t="s">
        <v>395</v>
      </c>
      <c r="D13" s="31"/>
      <c r="E13" s="84">
        <f>'AF-1'!I25</f>
        <v>-1202338.2788327192</v>
      </c>
      <c r="F13" s="1092"/>
      <c r="G13" s="84">
        <f>'AF-2'!I25</f>
        <v>-1224604.6554616399</v>
      </c>
      <c r="H13" s="4"/>
      <c r="I13" s="85">
        <f>(E13+G13)/2</f>
        <v>-1213471.4671471794</v>
      </c>
      <c r="J13" s="4"/>
      <c r="K13" s="4" t="s">
        <v>396</v>
      </c>
      <c r="L13" s="4">
        <f>L12+1</f>
        <v>3</v>
      </c>
      <c r="M13" s="31"/>
    </row>
    <row r="14" spans="1:14" s="255" customFormat="1" x14ac:dyDescent="0.25">
      <c r="A14" s="4">
        <f t="shared" ref="A14:A15" si="0">A13+1</f>
        <v>4</v>
      </c>
      <c r="B14" s="31"/>
      <c r="C14" s="31"/>
      <c r="D14" s="31"/>
      <c r="E14" s="31"/>
      <c r="F14" s="31"/>
      <c r="G14" s="31"/>
      <c r="H14" s="4"/>
      <c r="I14" s="4"/>
      <c r="J14" s="4"/>
      <c r="K14" s="4"/>
      <c r="L14" s="4">
        <f t="shared" ref="L14:L20" si="1">L13+1</f>
        <v>4</v>
      </c>
      <c r="M14" s="31"/>
    </row>
    <row r="15" spans="1:14" s="255" customFormat="1" x14ac:dyDescent="0.25">
      <c r="A15" s="4">
        <f t="shared" si="0"/>
        <v>5</v>
      </c>
      <c r="B15" s="31" t="s">
        <v>397</v>
      </c>
      <c r="C15" s="4" t="s">
        <v>398</v>
      </c>
      <c r="D15" s="31"/>
      <c r="E15" s="921">
        <f>'AF-1'!I33</f>
        <v>-8583.7620040680013</v>
      </c>
      <c r="F15" s="31"/>
      <c r="G15" s="921">
        <f>'AF-2'!I33</f>
        <v>-9530.1858252439943</v>
      </c>
      <c r="H15" s="4"/>
      <c r="I15" s="976">
        <f>(E15+G15)/2</f>
        <v>-9056.9739146559987</v>
      </c>
      <c r="J15" s="4"/>
      <c r="K15" s="4" t="s">
        <v>399</v>
      </c>
      <c r="L15" s="4">
        <f t="shared" si="1"/>
        <v>5</v>
      </c>
      <c r="M15" s="31"/>
      <c r="N15" s="31"/>
    </row>
    <row r="16" spans="1:14" x14ac:dyDescent="0.25">
      <c r="A16" s="4">
        <f>A15+1</f>
        <v>6</v>
      </c>
      <c r="E16" s="35"/>
      <c r="F16" s="35"/>
      <c r="G16" s="35"/>
      <c r="I16" s="35"/>
      <c r="J16" s="4"/>
      <c r="K16" s="4"/>
      <c r="L16" s="4">
        <f>L15+1</f>
        <v>6</v>
      </c>
    </row>
    <row r="17" spans="1:12" ht="19.5" thickBot="1" x14ac:dyDescent="0.3">
      <c r="A17" s="4">
        <f t="shared" ref="A17:A19" si="2">A16+1</f>
        <v>7</v>
      </c>
      <c r="B17" s="31" t="s">
        <v>400</v>
      </c>
      <c r="C17" s="4"/>
      <c r="E17" s="102">
        <f>SUM(E11:E15)</f>
        <v>-1105773.1102425279</v>
      </c>
      <c r="F17" s="1092" t="s">
        <v>1460</v>
      </c>
      <c r="G17" s="37">
        <f>SUM(G11:G15)</f>
        <v>-1130597.4141975252</v>
      </c>
      <c r="H17" s="86"/>
      <c r="I17" s="37">
        <f>SUM(I11:I15)</f>
        <v>-1118185.2622200265</v>
      </c>
      <c r="J17" s="4"/>
      <c r="K17" s="46" t="s">
        <v>14</v>
      </c>
      <c r="L17" s="4">
        <f t="shared" si="1"/>
        <v>7</v>
      </c>
    </row>
    <row r="18" spans="1:12" ht="16.5" thickTop="1" x14ac:dyDescent="0.25">
      <c r="A18" s="4">
        <f t="shared" si="2"/>
        <v>8</v>
      </c>
      <c r="J18" s="4"/>
      <c r="K18" s="338"/>
      <c r="L18" s="4">
        <f t="shared" si="1"/>
        <v>8</v>
      </c>
    </row>
    <row r="19" spans="1:12" ht="16.5" thickBot="1" x14ac:dyDescent="0.3">
      <c r="A19" s="4">
        <f t="shared" si="2"/>
        <v>9</v>
      </c>
      <c r="B19" s="31" t="s">
        <v>401</v>
      </c>
      <c r="E19" s="92">
        <f>'AF-3'!C11</f>
        <v>0</v>
      </c>
      <c r="F19" s="35"/>
      <c r="G19" s="92">
        <f>'AF-3'!E11</f>
        <v>0</v>
      </c>
      <c r="H19" s="35"/>
      <c r="I19" s="37">
        <f>(E19+G19)/2</f>
        <v>0</v>
      </c>
      <c r="K19" s="4" t="s">
        <v>402</v>
      </c>
      <c r="L19" s="4">
        <f t="shared" si="1"/>
        <v>9</v>
      </c>
    </row>
    <row r="20" spans="1:12" ht="16.5" thickTop="1" x14ac:dyDescent="0.25">
      <c r="A20" s="4">
        <f t="shared" ref="A20:A25" si="3">A19+1</f>
        <v>10</v>
      </c>
      <c r="E20" s="1"/>
      <c r="F20" s="1"/>
      <c r="G20" s="1"/>
      <c r="H20" s="1"/>
      <c r="I20" s="1"/>
      <c r="K20" s="4"/>
      <c r="L20" s="4">
        <f t="shared" si="1"/>
        <v>10</v>
      </c>
    </row>
    <row r="21" spans="1:12" ht="16.5" thickBot="1" x14ac:dyDescent="0.3">
      <c r="A21" s="4">
        <f t="shared" si="3"/>
        <v>11</v>
      </c>
      <c r="B21" s="31" t="s">
        <v>403</v>
      </c>
      <c r="E21" s="92">
        <f>'AF-3'!C13</f>
        <v>0</v>
      </c>
      <c r="F21" s="87"/>
      <c r="G21" s="92">
        <f>'AF-3'!E13</f>
        <v>0</v>
      </c>
      <c r="H21" s="87"/>
      <c r="I21" s="37">
        <f>(E21+G21)/2</f>
        <v>0</v>
      </c>
      <c r="K21" s="4" t="s">
        <v>404</v>
      </c>
      <c r="L21" s="4">
        <f t="shared" ref="L21:L25" si="4">L20+1</f>
        <v>11</v>
      </c>
    </row>
    <row r="22" spans="1:12" ht="16.5" thickTop="1" x14ac:dyDescent="0.25">
      <c r="A22" s="4">
        <f t="shared" si="3"/>
        <v>12</v>
      </c>
      <c r="E22" s="1"/>
      <c r="F22" s="1"/>
      <c r="G22" s="1"/>
      <c r="H22" s="1"/>
      <c r="I22" s="1"/>
      <c r="L22" s="4">
        <f t="shared" si="4"/>
        <v>12</v>
      </c>
    </row>
    <row r="23" spans="1:12" ht="16.5" thickBot="1" x14ac:dyDescent="0.3">
      <c r="A23" s="4">
        <f t="shared" si="3"/>
        <v>13</v>
      </c>
      <c r="B23" s="31" t="s">
        <v>405</v>
      </c>
      <c r="E23" s="92">
        <f>'AF-3'!C15</f>
        <v>0</v>
      </c>
      <c r="F23" s="35"/>
      <c r="G23" s="92">
        <f>'AF-3'!E15</f>
        <v>0</v>
      </c>
      <c r="H23" s="35"/>
      <c r="I23" s="37">
        <f>(E23+G23)/2</f>
        <v>0</v>
      </c>
      <c r="K23" s="4" t="s">
        <v>406</v>
      </c>
      <c r="L23" s="4">
        <f t="shared" si="4"/>
        <v>13</v>
      </c>
    </row>
    <row r="24" spans="1:12" ht="16.5" thickTop="1" x14ac:dyDescent="0.25">
      <c r="A24" s="4">
        <f t="shared" si="3"/>
        <v>14</v>
      </c>
      <c r="L24" s="4">
        <f t="shared" si="4"/>
        <v>14</v>
      </c>
    </row>
    <row r="25" spans="1:12" ht="16.5" thickBot="1" x14ac:dyDescent="0.3">
      <c r="A25" s="4">
        <f t="shared" si="3"/>
        <v>15</v>
      </c>
      <c r="B25" s="31" t="s">
        <v>1713</v>
      </c>
      <c r="E25" s="1156">
        <f>'AF-4'!C11</f>
        <v>-651642.851874299</v>
      </c>
      <c r="F25" s="1190"/>
      <c r="G25" s="1156">
        <f>'AF-4'!E11</f>
        <v>-713526.22864224005</v>
      </c>
      <c r="I25" s="37">
        <f>(E25+G25)/2</f>
        <v>-682584.54025826952</v>
      </c>
      <c r="K25" s="4" t="s">
        <v>1712</v>
      </c>
      <c r="L25" s="4">
        <f t="shared" si="4"/>
        <v>15</v>
      </c>
    </row>
    <row r="26" spans="1:12" ht="16.5" thickTop="1" x14ac:dyDescent="0.25"/>
    <row r="28" spans="1:12" x14ac:dyDescent="0.25">
      <c r="A28" s="1092" t="s">
        <v>1460</v>
      </c>
      <c r="B28" s="1093" t="s">
        <v>1496</v>
      </c>
    </row>
    <row r="29" spans="1:12" ht="18.75" x14ac:dyDescent="0.25">
      <c r="A29" s="253">
        <v>1</v>
      </c>
      <c r="B29" s="31" t="s">
        <v>407</v>
      </c>
    </row>
    <row r="30" spans="1:12" ht="18.75" x14ac:dyDescent="0.25">
      <c r="A30" s="253">
        <v>2</v>
      </c>
      <c r="B30" s="31" t="s">
        <v>109</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4"/>
  <sheetViews>
    <sheetView workbookViewId="0"/>
  </sheetViews>
  <sheetFormatPr defaultColWidth="8.5703125" defaultRowHeight="15.75" x14ac:dyDescent="0.25"/>
  <cols>
    <col min="1" max="1" width="5.5703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2.28515625" style="31" bestFit="1" customWidth="1"/>
    <col min="11" max="11" width="62.5703125" style="31" customWidth="1"/>
    <col min="12" max="12" width="5.42578125" style="4" customWidth="1"/>
    <col min="13" max="13" width="18.42578125" style="31" bestFit="1" customWidth="1"/>
    <col min="14" max="16384" width="8.5703125" style="31"/>
  </cols>
  <sheetData>
    <row r="2" spans="1:14" x14ac:dyDescent="0.25">
      <c r="B2" s="1294" t="s">
        <v>0</v>
      </c>
      <c r="C2" s="1294"/>
      <c r="D2" s="1294"/>
      <c r="E2" s="1294"/>
      <c r="F2" s="1294"/>
      <c r="G2" s="1294"/>
      <c r="H2" s="1294"/>
      <c r="I2" s="1294"/>
      <c r="J2" s="1294"/>
      <c r="K2" s="1294"/>
    </row>
    <row r="3" spans="1:14" x14ac:dyDescent="0.25">
      <c r="B3" s="1294" t="s">
        <v>408</v>
      </c>
      <c r="C3" s="1294"/>
      <c r="D3" s="1294"/>
      <c r="E3" s="1294"/>
      <c r="F3" s="1294"/>
      <c r="G3" s="1294"/>
      <c r="H3" s="1294"/>
      <c r="I3" s="1294"/>
      <c r="J3" s="1294"/>
      <c r="K3" s="1294"/>
    </row>
    <row r="4" spans="1:14" x14ac:dyDescent="0.25">
      <c r="B4" s="1294" t="s">
        <v>409</v>
      </c>
      <c r="C4" s="1294"/>
      <c r="D4" s="1294"/>
      <c r="E4" s="1294"/>
      <c r="F4" s="1294"/>
      <c r="G4" s="1294"/>
      <c r="H4" s="1294"/>
      <c r="I4" s="1294"/>
      <c r="J4" s="1294"/>
      <c r="K4" s="1294"/>
    </row>
    <row r="5" spans="1:14" x14ac:dyDescent="0.25">
      <c r="B5" s="1294" t="s">
        <v>1685</v>
      </c>
      <c r="C5" s="1294"/>
      <c r="D5" s="1294"/>
      <c r="E5" s="1294"/>
      <c r="F5" s="1294"/>
      <c r="G5" s="1294"/>
      <c r="H5" s="1294"/>
      <c r="I5" s="1294"/>
      <c r="J5" s="1294"/>
      <c r="K5" s="1294"/>
    </row>
    <row r="6" spans="1:14" ht="15.75" customHeight="1" x14ac:dyDescent="0.25">
      <c r="B6" s="1299" t="s">
        <v>4</v>
      </c>
      <c r="C6" s="1299"/>
      <c r="D6" s="1299"/>
      <c r="E6" s="1299"/>
      <c r="F6" s="1299"/>
      <c r="G6" s="1299"/>
      <c r="H6" s="1299"/>
      <c r="I6" s="1299"/>
      <c r="J6" s="1299"/>
      <c r="K6" s="1299"/>
    </row>
    <row r="8" spans="1:14" x14ac:dyDescent="0.25">
      <c r="B8" s="1"/>
      <c r="C8" s="262" t="s">
        <v>184</v>
      </c>
      <c r="D8" s="262"/>
      <c r="E8" s="262" t="s">
        <v>185</v>
      </c>
      <c r="F8" s="262"/>
      <c r="G8" s="262" t="s">
        <v>186</v>
      </c>
      <c r="H8" s="262"/>
      <c r="I8" s="262" t="s">
        <v>410</v>
      </c>
      <c r="J8" s="262"/>
      <c r="K8" s="262"/>
    </row>
    <row r="9" spans="1:14" ht="18.75" x14ac:dyDescent="0.25">
      <c r="A9" s="4" t="s">
        <v>5</v>
      </c>
      <c r="B9" s="1"/>
      <c r="C9" s="262" t="s">
        <v>411</v>
      </c>
      <c r="D9" s="262"/>
      <c r="E9" s="262" t="s">
        <v>412</v>
      </c>
      <c r="F9" s="262"/>
      <c r="G9" s="262" t="s">
        <v>413</v>
      </c>
      <c r="H9" s="262"/>
      <c r="I9" s="262"/>
      <c r="J9" s="262"/>
      <c r="K9" s="262"/>
      <c r="L9" s="4" t="s">
        <v>5</v>
      </c>
    </row>
    <row r="10" spans="1:14" x14ac:dyDescent="0.25">
      <c r="A10" s="4" t="s">
        <v>6</v>
      </c>
      <c r="B10" s="930" t="s">
        <v>306</v>
      </c>
      <c r="C10" s="728" t="s">
        <v>414</v>
      </c>
      <c r="D10" s="728"/>
      <c r="E10" s="728" t="s">
        <v>415</v>
      </c>
      <c r="F10" s="728"/>
      <c r="G10" s="728" t="s">
        <v>416</v>
      </c>
      <c r="H10" s="728"/>
      <c r="I10" s="930" t="s">
        <v>177</v>
      </c>
      <c r="J10" s="930"/>
      <c r="K10" s="930" t="s">
        <v>8</v>
      </c>
      <c r="L10" s="4" t="s">
        <v>6</v>
      </c>
    </row>
    <row r="11" spans="1:14" x14ac:dyDescent="0.25">
      <c r="B11" s="1"/>
      <c r="C11" s="339"/>
      <c r="D11" s="339"/>
      <c r="E11" s="339"/>
      <c r="F11" s="339"/>
      <c r="G11" s="339"/>
      <c r="H11" s="339"/>
      <c r="I11" s="91"/>
      <c r="J11" s="91"/>
      <c r="K11" s="91"/>
    </row>
    <row r="12" spans="1:14" x14ac:dyDescent="0.25">
      <c r="A12" s="4">
        <v>1</v>
      </c>
      <c r="B12" s="32" t="s">
        <v>417</v>
      </c>
      <c r="C12" s="90"/>
      <c r="D12" s="90"/>
      <c r="E12" s="90"/>
      <c r="F12" s="90"/>
      <c r="G12" s="90"/>
      <c r="H12" s="90"/>
      <c r="I12" s="91"/>
      <c r="J12" s="91"/>
      <c r="K12" s="91"/>
      <c r="L12" s="4">
        <f>A12</f>
        <v>1</v>
      </c>
    </row>
    <row r="13" spans="1:14" x14ac:dyDescent="0.25">
      <c r="A13" s="4">
        <f>A12+1</f>
        <v>2</v>
      </c>
      <c r="B13" s="32" t="s">
        <v>418</v>
      </c>
      <c r="C13" s="43">
        <v>1253.3836893890293</v>
      </c>
      <c r="D13" s="1092" t="s">
        <v>1460</v>
      </c>
      <c r="E13" s="35">
        <f>SUM('Order 864-1'!M15:M17,'Order 864-1'!M19)</f>
        <v>0</v>
      </c>
      <c r="F13" s="35"/>
      <c r="G13" s="35">
        <f>SUM('Order 864-1'!N15:N17,'Order 864-1'!N19)</f>
        <v>0</v>
      </c>
      <c r="H13" s="88"/>
      <c r="I13" s="43">
        <f>SUM(C13:G13)</f>
        <v>1253.3836893890293</v>
      </c>
      <c r="J13" s="1092" t="s">
        <v>1460</v>
      </c>
      <c r="K13" s="44" t="s">
        <v>1494</v>
      </c>
      <c r="L13" s="4">
        <f>L12+1</f>
        <v>2</v>
      </c>
    </row>
    <row r="14" spans="1:14" x14ac:dyDescent="0.25">
      <c r="A14" s="4">
        <f>A13+1</f>
        <v>3</v>
      </c>
      <c r="B14" s="32" t="s">
        <v>419</v>
      </c>
      <c r="C14" s="6">
        <v>0</v>
      </c>
      <c r="D14" s="6"/>
      <c r="E14" s="6">
        <f>'Order 864-1'!M27</f>
        <v>103895.54690487018</v>
      </c>
      <c r="F14" s="6"/>
      <c r="G14" s="6">
        <f>'Order 864-1'!N27</f>
        <v>0</v>
      </c>
      <c r="H14" s="6"/>
      <c r="I14" s="6">
        <f>SUM(C14:G14)</f>
        <v>103895.54690487018</v>
      </c>
      <c r="J14" s="6"/>
      <c r="K14" s="44" t="s">
        <v>1494</v>
      </c>
      <c r="L14" s="4">
        <f>L13+1</f>
        <v>3</v>
      </c>
      <c r="M14" s="885"/>
      <c r="N14" s="808"/>
    </row>
    <row r="15" spans="1:14" ht="18.75" x14ac:dyDescent="0.25">
      <c r="A15" s="4">
        <f>A14+1</f>
        <v>4</v>
      </c>
      <c r="B15" s="32" t="s">
        <v>1766</v>
      </c>
      <c r="C15" s="6">
        <v>0</v>
      </c>
      <c r="D15" s="35"/>
      <c r="E15" s="6">
        <v>0</v>
      </c>
      <c r="F15" s="35"/>
      <c r="G15" s="6">
        <v>0</v>
      </c>
      <c r="H15" s="88"/>
      <c r="I15" s="6">
        <f>SUM(C15:G15)</f>
        <v>0</v>
      </c>
      <c r="J15" s="6"/>
      <c r="K15" s="44" t="s">
        <v>1767</v>
      </c>
      <c r="L15" s="4">
        <f t="shared" ref="L15:L17" si="0">L14+1</f>
        <v>4</v>
      </c>
      <c r="M15" s="886"/>
      <c r="N15" s="808"/>
    </row>
    <row r="16" spans="1:14" x14ac:dyDescent="0.25">
      <c r="A16" s="4">
        <f>A15+1</f>
        <v>5</v>
      </c>
      <c r="B16" s="32"/>
      <c r="C16" s="6">
        <v>0</v>
      </c>
      <c r="D16" s="6"/>
      <c r="E16" s="6">
        <v>0</v>
      </c>
      <c r="F16" s="6"/>
      <c r="G16" s="6">
        <v>0</v>
      </c>
      <c r="H16" s="6"/>
      <c r="I16" s="6">
        <f>SUM(C16:G16)</f>
        <v>0</v>
      </c>
      <c r="J16" s="6"/>
      <c r="K16" s="6"/>
      <c r="L16" s="4">
        <f t="shared" si="0"/>
        <v>5</v>
      </c>
      <c r="M16" s="358"/>
    </row>
    <row r="17" spans="1:13" x14ac:dyDescent="0.25">
      <c r="A17" s="4">
        <f t="shared" ref="A17:A35" si="1">A16+1</f>
        <v>6</v>
      </c>
      <c r="C17" s="6">
        <v>0</v>
      </c>
      <c r="D17" s="6"/>
      <c r="E17" s="6">
        <v>0</v>
      </c>
      <c r="F17" s="6"/>
      <c r="G17" s="6">
        <v>0</v>
      </c>
      <c r="H17" s="6"/>
      <c r="I17" s="6">
        <f>SUM(C17:G17)</f>
        <v>0</v>
      </c>
      <c r="J17" s="6"/>
      <c r="K17" s="6"/>
      <c r="L17" s="4">
        <f t="shared" si="0"/>
        <v>6</v>
      </c>
      <c r="M17" s="886"/>
    </row>
    <row r="18" spans="1:13" ht="16.5" thickBot="1" x14ac:dyDescent="0.3">
      <c r="A18" s="4">
        <f t="shared" si="1"/>
        <v>7</v>
      </c>
      <c r="B18" s="340" t="s">
        <v>420</v>
      </c>
      <c r="C18" s="89">
        <f>SUM(C13:C17)</f>
        <v>1253.3836893890293</v>
      </c>
      <c r="D18" s="1092" t="s">
        <v>1460</v>
      </c>
      <c r="E18" s="89">
        <f>SUM(E13:E17)</f>
        <v>103895.54690487018</v>
      </c>
      <c r="F18" s="43"/>
      <c r="G18" s="89">
        <f>SUM(G13:G17)</f>
        <v>0</v>
      </c>
      <c r="H18" s="6"/>
      <c r="I18" s="89">
        <f>SUM(I13:I17)</f>
        <v>105148.9305942592</v>
      </c>
      <c r="J18" s="1092" t="s">
        <v>1460</v>
      </c>
      <c r="K18" s="44" t="s">
        <v>421</v>
      </c>
      <c r="L18" s="4">
        <f t="shared" ref="L18:L35" si="2">L17+1</f>
        <v>7</v>
      </c>
    </row>
    <row r="19" spans="1:13" ht="16.5" thickTop="1" x14ac:dyDescent="0.25">
      <c r="A19" s="4">
        <f t="shared" si="1"/>
        <v>8</v>
      </c>
      <c r="C19" s="85"/>
      <c r="D19" s="85"/>
      <c r="E19" s="85"/>
      <c r="F19" s="85"/>
      <c r="G19" s="85"/>
      <c r="H19" s="85"/>
      <c r="I19" s="85"/>
      <c r="J19" s="85"/>
      <c r="K19" s="85"/>
      <c r="L19" s="4">
        <f t="shared" si="2"/>
        <v>8</v>
      </c>
    </row>
    <row r="20" spans="1:13" x14ac:dyDescent="0.25">
      <c r="A20" s="4">
        <f t="shared" si="1"/>
        <v>9</v>
      </c>
      <c r="B20" s="32" t="s">
        <v>422</v>
      </c>
      <c r="C20" s="90"/>
      <c r="D20" s="90"/>
      <c r="E20" s="90"/>
      <c r="F20" s="90"/>
      <c r="G20" s="90"/>
      <c r="H20" s="90"/>
      <c r="I20" s="91"/>
      <c r="J20" s="91"/>
      <c r="K20" s="91"/>
      <c r="L20" s="4">
        <f t="shared" si="2"/>
        <v>9</v>
      </c>
    </row>
    <row r="21" spans="1:13" x14ac:dyDescent="0.25">
      <c r="A21" s="4">
        <f t="shared" si="1"/>
        <v>10</v>
      </c>
      <c r="B21" s="724" t="s">
        <v>419</v>
      </c>
      <c r="C21" s="35">
        <v>-844678.63211961079</v>
      </c>
      <c r="D21" s="1092"/>
      <c r="E21" s="35">
        <f>SUM('Order 864-1'!M29:M30,'Order 864-1'!M37,'Order 864-1'!M40)</f>
        <v>51366.178021585656</v>
      </c>
      <c r="F21" s="35"/>
      <c r="G21" s="35">
        <f>SUM('Order 864-1'!N29:N30,'Order 864-1'!N37,'Order 864-1'!N40)</f>
        <v>-409025.82473469403</v>
      </c>
      <c r="H21" s="35"/>
      <c r="I21" s="35">
        <f t="shared" ref="I21:I24" si="3">SUM(C21:G21)</f>
        <v>-1202338.2788327192</v>
      </c>
      <c r="J21" s="1092"/>
      <c r="K21" s="44" t="s">
        <v>258</v>
      </c>
      <c r="L21" s="4">
        <f t="shared" si="2"/>
        <v>10</v>
      </c>
    </row>
    <row r="22" spans="1:13" ht="18.75" x14ac:dyDescent="0.25">
      <c r="A22" s="4">
        <f t="shared" si="1"/>
        <v>11</v>
      </c>
      <c r="B22" s="32" t="s">
        <v>1766</v>
      </c>
      <c r="C22" s="6">
        <v>0</v>
      </c>
      <c r="D22" s="6"/>
      <c r="E22" s="6">
        <v>0</v>
      </c>
      <c r="F22" s="6"/>
      <c r="G22" s="6">
        <v>0</v>
      </c>
      <c r="H22" s="6"/>
      <c r="I22" s="6">
        <f t="shared" si="3"/>
        <v>0</v>
      </c>
      <c r="J22" s="6"/>
      <c r="K22" s="44" t="s">
        <v>1767</v>
      </c>
      <c r="L22" s="4">
        <f t="shared" si="2"/>
        <v>11</v>
      </c>
    </row>
    <row r="23" spans="1:13" x14ac:dyDescent="0.25">
      <c r="A23" s="4">
        <f t="shared" si="1"/>
        <v>12</v>
      </c>
      <c r="B23" s="724"/>
      <c r="C23" s="6">
        <v>0</v>
      </c>
      <c r="D23" s="6"/>
      <c r="E23" s="6">
        <v>0</v>
      </c>
      <c r="F23" s="6"/>
      <c r="G23" s="6">
        <v>0</v>
      </c>
      <c r="H23" s="6"/>
      <c r="I23" s="6">
        <f t="shared" si="3"/>
        <v>0</v>
      </c>
      <c r="J23" s="6"/>
      <c r="K23" s="807"/>
      <c r="L23" s="4">
        <f t="shared" si="2"/>
        <v>12</v>
      </c>
    </row>
    <row r="24" spans="1:13" x14ac:dyDescent="0.25">
      <c r="A24" s="4">
        <f t="shared" si="1"/>
        <v>13</v>
      </c>
      <c r="B24" s="724"/>
      <c r="C24" s="6">
        <v>0</v>
      </c>
      <c r="D24" s="6"/>
      <c r="E24" s="6">
        <v>0</v>
      </c>
      <c r="F24" s="6"/>
      <c r="G24" s="6">
        <v>0</v>
      </c>
      <c r="H24" s="6"/>
      <c r="I24" s="6">
        <f t="shared" si="3"/>
        <v>0</v>
      </c>
      <c r="J24" s="6"/>
      <c r="K24" s="807"/>
      <c r="L24" s="4">
        <f t="shared" si="2"/>
        <v>13</v>
      </c>
    </row>
    <row r="25" spans="1:13" ht="16.5" thickBot="1" x14ac:dyDescent="0.3">
      <c r="A25" s="4">
        <f t="shared" si="1"/>
        <v>14</v>
      </c>
      <c r="B25" s="340" t="s">
        <v>423</v>
      </c>
      <c r="C25" s="89">
        <f>SUM(C21:C24)</f>
        <v>-844678.63211961079</v>
      </c>
      <c r="D25" s="1092"/>
      <c r="E25" s="89">
        <f>SUM(E21:E24)</f>
        <v>51366.178021585656</v>
      </c>
      <c r="F25" s="43"/>
      <c r="G25" s="89">
        <f>SUM(G21:G24)</f>
        <v>-409025.82473469403</v>
      </c>
      <c r="H25" s="6"/>
      <c r="I25" s="89">
        <f>SUM(I21:I24)</f>
        <v>-1202338.2788327192</v>
      </c>
      <c r="J25" s="1092"/>
      <c r="K25" s="44" t="s">
        <v>424</v>
      </c>
      <c r="L25" s="4">
        <f t="shared" si="2"/>
        <v>14</v>
      </c>
    </row>
    <row r="26" spans="1:13" ht="16.5" thickTop="1" x14ac:dyDescent="0.25">
      <c r="A26" s="4">
        <f t="shared" si="1"/>
        <v>15</v>
      </c>
      <c r="L26" s="4">
        <f t="shared" si="2"/>
        <v>15</v>
      </c>
    </row>
    <row r="27" spans="1:13" x14ac:dyDescent="0.25">
      <c r="A27" s="4">
        <f t="shared" si="1"/>
        <v>16</v>
      </c>
      <c r="B27" s="32" t="s">
        <v>425</v>
      </c>
      <c r="C27" s="90"/>
      <c r="D27" s="90"/>
      <c r="E27" s="90"/>
      <c r="F27" s="90"/>
      <c r="G27" s="90"/>
      <c r="H27" s="90"/>
      <c r="I27" s="91"/>
      <c r="J27" s="91"/>
      <c r="K27" s="4"/>
      <c r="L27" s="4">
        <f t="shared" si="2"/>
        <v>16</v>
      </c>
    </row>
    <row r="28" spans="1:13" x14ac:dyDescent="0.25">
      <c r="A28" s="4">
        <f t="shared" si="1"/>
        <v>17</v>
      </c>
      <c r="B28" s="32" t="s">
        <v>418</v>
      </c>
      <c r="C28" s="35">
        <v>-8583.7620040680013</v>
      </c>
      <c r="D28" s="35"/>
      <c r="E28" s="35">
        <f>SUM('Order 864-1'!M21:M22)</f>
        <v>0</v>
      </c>
      <c r="F28" s="35"/>
      <c r="G28" s="35">
        <f>SUM('Order 864-1'!N21:N22)</f>
        <v>0</v>
      </c>
      <c r="H28" s="88"/>
      <c r="I28" s="35">
        <f>SUM(C28:G28)</f>
        <v>-8583.7620040680013</v>
      </c>
      <c r="J28" s="35"/>
      <c r="K28" s="44" t="s">
        <v>1495</v>
      </c>
      <c r="L28" s="4">
        <f t="shared" si="2"/>
        <v>17</v>
      </c>
    </row>
    <row r="29" spans="1:13" ht="18.75" x14ac:dyDescent="0.25">
      <c r="A29" s="4">
        <f t="shared" si="1"/>
        <v>18</v>
      </c>
      <c r="B29" s="32" t="s">
        <v>1766</v>
      </c>
      <c r="C29" s="6">
        <v>0</v>
      </c>
      <c r="D29" s="6"/>
      <c r="E29" s="6">
        <v>0</v>
      </c>
      <c r="F29" s="6"/>
      <c r="G29" s="6">
        <v>0</v>
      </c>
      <c r="H29" s="6"/>
      <c r="I29" s="6">
        <f>SUM(C29:G29)</f>
        <v>0</v>
      </c>
      <c r="J29" s="6"/>
      <c r="K29" s="44" t="s">
        <v>1767</v>
      </c>
      <c r="L29" s="4">
        <f t="shared" si="2"/>
        <v>18</v>
      </c>
    </row>
    <row r="30" spans="1:13" x14ac:dyDescent="0.25">
      <c r="A30" s="4">
        <f t="shared" si="1"/>
        <v>19</v>
      </c>
      <c r="B30" s="32"/>
      <c r="C30" s="6">
        <v>0</v>
      </c>
      <c r="D30" s="6"/>
      <c r="E30" s="6">
        <v>0</v>
      </c>
      <c r="F30" s="6"/>
      <c r="G30" s="6">
        <v>0</v>
      </c>
      <c r="H30" s="6"/>
      <c r="I30" s="6">
        <f>SUM(C30:G30)</f>
        <v>0</v>
      </c>
      <c r="J30" s="6"/>
      <c r="K30" s="6"/>
      <c r="L30" s="4">
        <f t="shared" si="2"/>
        <v>19</v>
      </c>
    </row>
    <row r="31" spans="1:13" x14ac:dyDescent="0.25">
      <c r="A31" s="4">
        <f t="shared" si="1"/>
        <v>20</v>
      </c>
      <c r="B31" s="32"/>
      <c r="C31" s="6">
        <v>0</v>
      </c>
      <c r="D31" s="6"/>
      <c r="E31" s="6">
        <v>0</v>
      </c>
      <c r="F31" s="6"/>
      <c r="G31" s="6">
        <v>0</v>
      </c>
      <c r="H31" s="6"/>
      <c r="I31" s="6">
        <f>SUM(C31:G31)</f>
        <v>0</v>
      </c>
      <c r="J31" s="6"/>
      <c r="K31" s="6"/>
      <c r="L31" s="4">
        <f t="shared" si="2"/>
        <v>20</v>
      </c>
    </row>
    <row r="32" spans="1:13" x14ac:dyDescent="0.25">
      <c r="A32" s="4">
        <f t="shared" si="1"/>
        <v>21</v>
      </c>
      <c r="B32" s="32"/>
      <c r="C32" s="6">
        <v>0</v>
      </c>
      <c r="D32" s="6"/>
      <c r="E32" s="6">
        <v>0</v>
      </c>
      <c r="F32" s="6"/>
      <c r="G32" s="6">
        <v>0</v>
      </c>
      <c r="H32" s="6"/>
      <c r="I32" s="6">
        <f>SUM(C32:G32)</f>
        <v>0</v>
      </c>
      <c r="J32" s="6"/>
      <c r="K32" s="6"/>
      <c r="L32" s="4">
        <f t="shared" si="2"/>
        <v>21</v>
      </c>
    </row>
    <row r="33" spans="1:12" ht="16.5" thickBot="1" x14ac:dyDescent="0.3">
      <c r="A33" s="4">
        <f t="shared" si="1"/>
        <v>22</v>
      </c>
      <c r="B33" s="340" t="s">
        <v>426</v>
      </c>
      <c r="C33" s="89">
        <f>SUM(C28:C32)</f>
        <v>-8583.7620040680013</v>
      </c>
      <c r="D33" s="6"/>
      <c r="E33" s="89">
        <f>SUM(E28:E32)</f>
        <v>0</v>
      </c>
      <c r="F33" s="43"/>
      <c r="G33" s="89">
        <f>SUM(G28:G32)</f>
        <v>0</v>
      </c>
      <c r="H33" s="6"/>
      <c r="I33" s="89">
        <f>SUM(I28:I32)</f>
        <v>-8583.7620040680013</v>
      </c>
      <c r="J33" s="43"/>
      <c r="K33" s="44" t="s">
        <v>427</v>
      </c>
      <c r="L33" s="4">
        <f t="shared" si="2"/>
        <v>22</v>
      </c>
    </row>
    <row r="34" spans="1:12" ht="16.5" thickTop="1" x14ac:dyDescent="0.25">
      <c r="A34" s="4">
        <f t="shared" si="1"/>
        <v>23</v>
      </c>
      <c r="L34" s="4">
        <f t="shared" si="2"/>
        <v>23</v>
      </c>
    </row>
    <row r="35" spans="1:12" ht="19.5" thickBot="1" x14ac:dyDescent="0.3">
      <c r="A35" s="4">
        <f t="shared" si="1"/>
        <v>24</v>
      </c>
      <c r="B35" s="1" t="s">
        <v>428</v>
      </c>
      <c r="C35" s="89">
        <f>+C18+C25+C33</f>
        <v>-852009.01043428981</v>
      </c>
      <c r="D35" s="1092" t="s">
        <v>1460</v>
      </c>
      <c r="E35" s="89">
        <f>+E18+E25+E33</f>
        <v>155261.72492645582</v>
      </c>
      <c r="F35" s="43"/>
      <c r="G35" s="89">
        <f>+G18+G25+G33</f>
        <v>-409025.82473469403</v>
      </c>
      <c r="H35" s="35"/>
      <c r="I35" s="89">
        <f>+I18+I25+I33</f>
        <v>-1105773.1102425279</v>
      </c>
      <c r="J35" s="1092" t="s">
        <v>1460</v>
      </c>
      <c r="K35" s="44" t="s">
        <v>429</v>
      </c>
      <c r="L35" s="4">
        <f t="shared" si="2"/>
        <v>24</v>
      </c>
    </row>
    <row r="36" spans="1:12" ht="16.5" thickTop="1" x14ac:dyDescent="0.25">
      <c r="B36" s="1"/>
      <c r="C36" s="43"/>
      <c r="D36" s="35"/>
      <c r="E36" s="43"/>
      <c r="F36" s="43"/>
      <c r="G36" s="43"/>
      <c r="H36" s="35"/>
      <c r="I36" s="43"/>
      <c r="J36" s="43"/>
      <c r="K36" s="44"/>
    </row>
    <row r="37" spans="1:12" x14ac:dyDescent="0.25">
      <c r="B37" s="1"/>
      <c r="C37" s="43"/>
      <c r="D37" s="35"/>
      <c r="E37" s="43"/>
      <c r="F37" s="43"/>
      <c r="G37" s="43"/>
      <c r="H37" s="35"/>
      <c r="I37" s="43"/>
      <c r="J37" s="43"/>
      <c r="K37" s="44"/>
    </row>
    <row r="38" spans="1:12" x14ac:dyDescent="0.25">
      <c r="A38" s="1092" t="s">
        <v>1460</v>
      </c>
      <c r="B38" s="1093" t="s">
        <v>1496</v>
      </c>
      <c r="E38" s="35"/>
      <c r="I38" s="35"/>
      <c r="J38" s="35"/>
    </row>
    <row r="39" spans="1:12" ht="18.75" x14ac:dyDescent="0.25">
      <c r="A39" s="253">
        <v>1</v>
      </c>
      <c r="B39" s="31" t="s">
        <v>430</v>
      </c>
    </row>
    <row r="40" spans="1:12" ht="18.75" x14ac:dyDescent="0.25">
      <c r="A40" s="253">
        <v>2</v>
      </c>
      <c r="B40" s="31" t="s">
        <v>431</v>
      </c>
    </row>
    <row r="41" spans="1:12" ht="18.75" x14ac:dyDescent="0.25">
      <c r="A41" s="253">
        <v>3</v>
      </c>
      <c r="B41" s="31" t="s">
        <v>432</v>
      </c>
    </row>
    <row r="42" spans="1:12" ht="18.75" x14ac:dyDescent="0.25">
      <c r="A42" s="253">
        <v>4</v>
      </c>
      <c r="B42" s="31" t="s">
        <v>1497</v>
      </c>
    </row>
    <row r="43" spans="1:12" x14ac:dyDescent="0.25">
      <c r="B43" s="31" t="s">
        <v>1498</v>
      </c>
    </row>
    <row r="44" spans="1:12" ht="18.75" x14ac:dyDescent="0.25">
      <c r="A44" s="253">
        <v>5</v>
      </c>
      <c r="B44" s="31" t="s">
        <v>1768</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workbookViewId="0"/>
  </sheetViews>
  <sheetFormatPr defaultColWidth="8.5703125" defaultRowHeight="15.75" x14ac:dyDescent="0.25"/>
  <cols>
    <col min="1" max="1" width="5.42578125" style="4" customWidth="1"/>
    <col min="2" max="2" width="52.28515625" style="31" customWidth="1"/>
    <col min="3" max="3" width="16.7109375" style="31" customWidth="1"/>
    <col min="4" max="4" width="1.5703125" style="31" customWidth="1"/>
    <col min="5" max="5" width="20.42578125" style="31" customWidth="1"/>
    <col min="6" max="6" width="1.5703125" style="31" customWidth="1"/>
    <col min="7" max="7" width="20.42578125" style="31" customWidth="1"/>
    <col min="8" max="8" width="1.5703125" style="31" customWidth="1"/>
    <col min="9" max="9" width="23.42578125" style="31" bestFit="1" customWidth="1"/>
    <col min="10" max="10" width="62.5703125" style="31" customWidth="1"/>
    <col min="11" max="11" width="5.42578125" style="4" customWidth="1"/>
    <col min="12" max="16384" width="8.5703125" style="31"/>
  </cols>
  <sheetData>
    <row r="2" spans="1:11" x14ac:dyDescent="0.25">
      <c r="B2" s="1294" t="s">
        <v>0</v>
      </c>
      <c r="C2" s="1294"/>
      <c r="D2" s="1294"/>
      <c r="E2" s="1294"/>
      <c r="F2" s="1294"/>
      <c r="G2" s="1294"/>
      <c r="H2" s="1294"/>
      <c r="I2" s="1294"/>
      <c r="J2" s="1294"/>
    </row>
    <row r="3" spans="1:11" x14ac:dyDescent="0.25">
      <c r="B3" s="1294" t="s">
        <v>408</v>
      </c>
      <c r="C3" s="1294"/>
      <c r="D3" s="1294"/>
      <c r="E3" s="1294"/>
      <c r="F3" s="1294"/>
      <c r="G3" s="1294"/>
      <c r="H3" s="1294"/>
      <c r="I3" s="1294"/>
      <c r="J3" s="1294"/>
    </row>
    <row r="4" spans="1:11" x14ac:dyDescent="0.25">
      <c r="B4" s="1294" t="s">
        <v>409</v>
      </c>
      <c r="C4" s="1294"/>
      <c r="D4" s="1294"/>
      <c r="E4" s="1294"/>
      <c r="F4" s="1294"/>
      <c r="G4" s="1294"/>
      <c r="H4" s="1294"/>
      <c r="I4" s="1294"/>
      <c r="J4" s="1294"/>
    </row>
    <row r="5" spans="1:11" x14ac:dyDescent="0.25">
      <c r="B5" s="1294" t="s">
        <v>1684</v>
      </c>
      <c r="C5" s="1294"/>
      <c r="D5" s="1294"/>
      <c r="E5" s="1294"/>
      <c r="F5" s="1294"/>
      <c r="G5" s="1294"/>
      <c r="H5" s="1294"/>
      <c r="I5" s="1294"/>
      <c r="J5" s="1294"/>
    </row>
    <row r="6" spans="1:11" ht="15.75" customHeight="1" x14ac:dyDescent="0.25">
      <c r="B6" s="1299" t="s">
        <v>4</v>
      </c>
      <c r="C6" s="1299"/>
      <c r="D6" s="1299"/>
      <c r="E6" s="1299"/>
      <c r="F6" s="1299"/>
      <c r="G6" s="1299"/>
      <c r="H6" s="1299"/>
      <c r="I6" s="1299"/>
      <c r="J6" s="1299"/>
    </row>
    <row r="8" spans="1:11" x14ac:dyDescent="0.25">
      <c r="B8" s="1"/>
      <c r="C8" s="262" t="s">
        <v>184</v>
      </c>
      <c r="D8" s="262"/>
      <c r="E8" s="262" t="s">
        <v>185</v>
      </c>
      <c r="F8" s="262"/>
      <c r="G8" s="262" t="s">
        <v>186</v>
      </c>
      <c r="H8" s="262"/>
      <c r="I8" s="262" t="s">
        <v>410</v>
      </c>
      <c r="J8" s="262"/>
    </row>
    <row r="9" spans="1:11" ht="18.75" x14ac:dyDescent="0.25">
      <c r="A9" s="4" t="s">
        <v>5</v>
      </c>
      <c r="B9" s="1"/>
      <c r="C9" s="262" t="s">
        <v>411</v>
      </c>
      <c r="D9" s="262"/>
      <c r="E9" s="262" t="s">
        <v>412</v>
      </c>
      <c r="F9" s="262"/>
      <c r="G9" s="262" t="s">
        <v>413</v>
      </c>
      <c r="H9" s="262"/>
      <c r="I9" s="262"/>
      <c r="J9" s="262"/>
      <c r="K9" s="4" t="s">
        <v>5</v>
      </c>
    </row>
    <row r="10" spans="1:11" x14ac:dyDescent="0.25">
      <c r="A10" s="4" t="s">
        <v>6</v>
      </c>
      <c r="B10" s="930" t="s">
        <v>306</v>
      </c>
      <c r="C10" s="728" t="s">
        <v>414</v>
      </c>
      <c r="D10" s="728"/>
      <c r="E10" s="728" t="s">
        <v>415</v>
      </c>
      <c r="F10" s="728"/>
      <c r="G10" s="728" t="s">
        <v>416</v>
      </c>
      <c r="H10" s="728"/>
      <c r="I10" s="930" t="s">
        <v>177</v>
      </c>
      <c r="J10" s="930" t="s">
        <v>8</v>
      </c>
      <c r="K10" s="4" t="s">
        <v>6</v>
      </c>
    </row>
    <row r="11" spans="1:11" x14ac:dyDescent="0.25">
      <c r="B11" s="1"/>
      <c r="C11" s="339"/>
      <c r="D11" s="339"/>
      <c r="E11" s="339"/>
      <c r="F11" s="339"/>
      <c r="G11" s="339"/>
      <c r="H11" s="339"/>
      <c r="I11" s="91"/>
      <c r="J11" s="91"/>
    </row>
    <row r="12" spans="1:11" x14ac:dyDescent="0.25">
      <c r="A12" s="4">
        <v>1</v>
      </c>
      <c r="B12" s="32" t="s">
        <v>417</v>
      </c>
      <c r="C12" s="90"/>
      <c r="D12" s="90"/>
      <c r="E12" s="90"/>
      <c r="F12" s="90"/>
      <c r="G12" s="90"/>
      <c r="H12" s="90"/>
      <c r="I12" s="91"/>
      <c r="J12" s="91"/>
      <c r="K12" s="4">
        <f>A12</f>
        <v>1</v>
      </c>
    </row>
    <row r="13" spans="1:11" x14ac:dyDescent="0.25">
      <c r="A13" s="4">
        <f>A12+1</f>
        <v>2</v>
      </c>
      <c r="B13" s="32" t="s">
        <v>418</v>
      </c>
      <c r="C13" s="35">
        <v>1155.0862694845919</v>
      </c>
      <c r="D13" s="35"/>
      <c r="E13" s="35">
        <f>SUM('Order 864-3'!M15:M17,'Order 864-3'!M19)</f>
        <v>0</v>
      </c>
      <c r="F13" s="35"/>
      <c r="G13" s="35">
        <f>SUM('Order 864-3'!N15:N17,'Order 864-3'!N19)</f>
        <v>0</v>
      </c>
      <c r="H13" s="88"/>
      <c r="I13" s="35">
        <f>SUM(C13:G13)</f>
        <v>1155.0862694845919</v>
      </c>
      <c r="J13" s="44" t="s">
        <v>1489</v>
      </c>
      <c r="K13" s="4">
        <f>K12+1</f>
        <v>2</v>
      </c>
    </row>
    <row r="14" spans="1:11" x14ac:dyDescent="0.25">
      <c r="A14" s="4">
        <f>A13+1</f>
        <v>3</v>
      </c>
      <c r="B14" s="32" t="s">
        <v>419</v>
      </c>
      <c r="C14" s="6">
        <v>0</v>
      </c>
      <c r="D14" s="6"/>
      <c r="E14" s="6">
        <f>'Order 864-3'!M27</f>
        <v>102382.34081987417</v>
      </c>
      <c r="F14" s="6"/>
      <c r="G14" s="6">
        <f>'Order 864-3'!N27</f>
        <v>0</v>
      </c>
      <c r="H14" s="6"/>
      <c r="I14" s="6">
        <f>SUM(C14:G14)</f>
        <v>102382.34081987417</v>
      </c>
      <c r="J14" s="44" t="s">
        <v>1489</v>
      </c>
      <c r="K14" s="4">
        <f>K13+1</f>
        <v>3</v>
      </c>
    </row>
    <row r="15" spans="1:11" ht="18.75" x14ac:dyDescent="0.25">
      <c r="A15" s="4">
        <f>A14+1</f>
        <v>4</v>
      </c>
      <c r="B15" s="32" t="s">
        <v>1766</v>
      </c>
      <c r="C15" s="6">
        <v>0</v>
      </c>
      <c r="D15" s="35"/>
      <c r="E15" s="6">
        <v>0</v>
      </c>
      <c r="F15" s="35"/>
      <c r="G15" s="6">
        <v>0</v>
      </c>
      <c r="H15" s="88"/>
      <c r="I15" s="6">
        <f>SUM(C15:G15)</f>
        <v>0</v>
      </c>
      <c r="J15" s="44" t="s">
        <v>1767</v>
      </c>
      <c r="K15" s="4">
        <f>K14+1</f>
        <v>4</v>
      </c>
    </row>
    <row r="16" spans="1:11" x14ac:dyDescent="0.25">
      <c r="A16" s="4">
        <f>A15+1</f>
        <v>5</v>
      </c>
      <c r="B16" s="32"/>
      <c r="C16" s="6">
        <v>0</v>
      </c>
      <c r="D16" s="6"/>
      <c r="E16" s="6">
        <v>0</v>
      </c>
      <c r="F16" s="6"/>
      <c r="G16" s="6">
        <v>0</v>
      </c>
      <c r="H16" s="6"/>
      <c r="I16" s="6">
        <f>SUM(C16:G16)</f>
        <v>0</v>
      </c>
      <c r="J16" s="6"/>
      <c r="K16" s="4">
        <f>K15+1</f>
        <v>5</v>
      </c>
    </row>
    <row r="17" spans="1:11" x14ac:dyDescent="0.25">
      <c r="A17" s="4">
        <f>A16+1</f>
        <v>6</v>
      </c>
      <c r="C17" s="6">
        <v>0</v>
      </c>
      <c r="D17" s="6"/>
      <c r="E17" s="6">
        <v>0</v>
      </c>
      <c r="F17" s="6"/>
      <c r="G17" s="6">
        <v>0</v>
      </c>
      <c r="H17" s="6"/>
      <c r="I17" s="6">
        <f>SUM(C17:G17)</f>
        <v>0</v>
      </c>
      <c r="J17" s="6"/>
      <c r="K17" s="4">
        <f>K16+1</f>
        <v>6</v>
      </c>
    </row>
    <row r="18" spans="1:11" ht="16.5" thickBot="1" x14ac:dyDescent="0.3">
      <c r="A18" s="4">
        <f t="shared" ref="A18" si="0">A17+1</f>
        <v>7</v>
      </c>
      <c r="B18" s="340" t="s">
        <v>420</v>
      </c>
      <c r="C18" s="89">
        <f>SUM(C13:C17)</f>
        <v>1155.0862694845919</v>
      </c>
      <c r="D18" s="6"/>
      <c r="E18" s="89">
        <f>SUM(E13:E17)</f>
        <v>102382.34081987417</v>
      </c>
      <c r="F18" s="43"/>
      <c r="G18" s="89">
        <f>SUM(G13:G17)</f>
        <v>0</v>
      </c>
      <c r="H18" s="6"/>
      <c r="I18" s="89">
        <f>SUM(I13:I17)</f>
        <v>103537.42708935875</v>
      </c>
      <c r="J18" s="44" t="s">
        <v>421</v>
      </c>
      <c r="K18" s="4">
        <f t="shared" ref="K18" si="1">K17+1</f>
        <v>7</v>
      </c>
    </row>
    <row r="19" spans="1:11" ht="16.5" thickTop="1" x14ac:dyDescent="0.25">
      <c r="A19" s="4">
        <f t="shared" ref="A19:A35" si="2">A18+1</f>
        <v>8</v>
      </c>
      <c r="C19" s="85"/>
      <c r="D19" s="85"/>
      <c r="E19" s="85"/>
      <c r="F19" s="85"/>
      <c r="G19" s="85"/>
      <c r="H19" s="85"/>
      <c r="I19" s="85"/>
      <c r="J19" s="85"/>
      <c r="K19" s="4">
        <f t="shared" ref="K19:K35" si="3">K18+1</f>
        <v>8</v>
      </c>
    </row>
    <row r="20" spans="1:11" x14ac:dyDescent="0.25">
      <c r="A20" s="4">
        <f t="shared" si="2"/>
        <v>9</v>
      </c>
      <c r="B20" s="32" t="s">
        <v>422</v>
      </c>
      <c r="C20" s="90"/>
      <c r="D20" s="90"/>
      <c r="E20" s="90"/>
      <c r="F20" s="90"/>
      <c r="G20" s="90"/>
      <c r="H20" s="90"/>
      <c r="I20" s="91"/>
      <c r="J20" s="91"/>
      <c r="K20" s="4">
        <f t="shared" si="3"/>
        <v>9</v>
      </c>
    </row>
    <row r="21" spans="1:11" x14ac:dyDescent="0.25">
      <c r="A21" s="4">
        <f t="shared" si="2"/>
        <v>10</v>
      </c>
      <c r="B21" s="724" t="s">
        <v>419</v>
      </c>
      <c r="C21" s="35">
        <v>-872111.19599224033</v>
      </c>
      <c r="D21" s="35"/>
      <c r="E21" s="35">
        <f>SUM('Order 864-3'!M29:M30,'Order 864-3'!M37,'Order 864-3'!M40)</f>
        <v>50564.911232233288</v>
      </c>
      <c r="F21" s="35"/>
      <c r="G21" s="35">
        <f>SUM('Order 864-3'!N29:N30,'Order 864-3'!N37,'Order 864-3'!N40)</f>
        <v>-403058.37070163281</v>
      </c>
      <c r="H21" s="35"/>
      <c r="I21" s="35">
        <f>SUM(C21:G21)</f>
        <v>-1224604.6554616399</v>
      </c>
      <c r="J21" s="44" t="s">
        <v>1490</v>
      </c>
      <c r="K21" s="4">
        <f t="shared" si="3"/>
        <v>10</v>
      </c>
    </row>
    <row r="22" spans="1:11" ht="18.75" x14ac:dyDescent="0.25">
      <c r="A22" s="4">
        <f t="shared" si="2"/>
        <v>11</v>
      </c>
      <c r="B22" s="32" t="s">
        <v>1766</v>
      </c>
      <c r="C22" s="6">
        <v>0</v>
      </c>
      <c r="D22" s="6"/>
      <c r="E22" s="6">
        <v>0</v>
      </c>
      <c r="F22" s="6"/>
      <c r="G22" s="6">
        <v>0</v>
      </c>
      <c r="H22" s="6"/>
      <c r="I22" s="6">
        <f>SUM(C22:G22)</f>
        <v>0</v>
      </c>
      <c r="J22" s="44" t="s">
        <v>1767</v>
      </c>
      <c r="K22" s="4">
        <f t="shared" si="3"/>
        <v>11</v>
      </c>
    </row>
    <row r="23" spans="1:11" x14ac:dyDescent="0.25">
      <c r="A23" s="4">
        <f t="shared" si="2"/>
        <v>12</v>
      </c>
      <c r="C23" s="6">
        <v>0</v>
      </c>
      <c r="D23" s="6"/>
      <c r="E23" s="6">
        <v>0</v>
      </c>
      <c r="F23" s="6"/>
      <c r="G23" s="6">
        <v>0</v>
      </c>
      <c r="H23" s="6"/>
      <c r="I23" s="6">
        <f>SUM(C23:G23)</f>
        <v>0</v>
      </c>
      <c r="J23" s="6"/>
      <c r="K23" s="4">
        <f t="shared" si="3"/>
        <v>12</v>
      </c>
    </row>
    <row r="24" spans="1:11" x14ac:dyDescent="0.25">
      <c r="A24" s="4">
        <f t="shared" si="2"/>
        <v>13</v>
      </c>
      <c r="C24" s="6">
        <v>0</v>
      </c>
      <c r="D24" s="6"/>
      <c r="E24" s="6">
        <v>0</v>
      </c>
      <c r="F24" s="6"/>
      <c r="G24" s="6">
        <v>0</v>
      </c>
      <c r="H24" s="6"/>
      <c r="I24" s="6">
        <f>SUM(C24:G24)</f>
        <v>0</v>
      </c>
      <c r="J24" s="6"/>
      <c r="K24" s="4">
        <f t="shared" si="3"/>
        <v>13</v>
      </c>
    </row>
    <row r="25" spans="1:11" ht="16.5" thickBot="1" x14ac:dyDescent="0.3">
      <c r="A25" s="4">
        <f t="shared" si="2"/>
        <v>14</v>
      </c>
      <c r="B25" s="340" t="s">
        <v>423</v>
      </c>
      <c r="C25" s="89">
        <f>SUM(C21:C24)</f>
        <v>-872111.19599224033</v>
      </c>
      <c r="D25" s="6"/>
      <c r="E25" s="89">
        <f>SUM(E21:E24)</f>
        <v>50564.911232233288</v>
      </c>
      <c r="F25" s="43"/>
      <c r="G25" s="89">
        <f>SUM(G21:G24)</f>
        <v>-403058.37070163281</v>
      </c>
      <c r="H25" s="6"/>
      <c r="I25" s="89">
        <f>SUM(I21:I24)</f>
        <v>-1224604.6554616399</v>
      </c>
      <c r="J25" s="44" t="s">
        <v>424</v>
      </c>
      <c r="K25" s="4">
        <f t="shared" si="3"/>
        <v>14</v>
      </c>
    </row>
    <row r="26" spans="1:11" ht="16.5" thickTop="1" x14ac:dyDescent="0.25">
      <c r="A26" s="4">
        <f t="shared" si="2"/>
        <v>15</v>
      </c>
      <c r="K26" s="4">
        <f t="shared" si="3"/>
        <v>15</v>
      </c>
    </row>
    <row r="27" spans="1:11" x14ac:dyDescent="0.25">
      <c r="A27" s="4">
        <f t="shared" si="2"/>
        <v>16</v>
      </c>
      <c r="B27" s="32" t="s">
        <v>425</v>
      </c>
      <c r="C27" s="90"/>
      <c r="D27" s="90"/>
      <c r="E27" s="90"/>
      <c r="F27" s="90"/>
      <c r="G27" s="90"/>
      <c r="H27" s="90"/>
      <c r="I27" s="91"/>
      <c r="J27" s="4"/>
      <c r="K27" s="4">
        <f t="shared" si="3"/>
        <v>16</v>
      </c>
    </row>
    <row r="28" spans="1:11" x14ac:dyDescent="0.25">
      <c r="A28" s="4">
        <f t="shared" si="2"/>
        <v>17</v>
      </c>
      <c r="B28" s="32" t="s">
        <v>418</v>
      </c>
      <c r="C28" s="35">
        <v>-9530.1858252439943</v>
      </c>
      <c r="D28" s="35"/>
      <c r="E28" s="35">
        <f>SUM('Order 864-3'!M21:M22)</f>
        <v>0</v>
      </c>
      <c r="F28" s="35"/>
      <c r="G28" s="35">
        <f>SUM('Order 864-3'!N21:N22)</f>
        <v>0</v>
      </c>
      <c r="H28" s="35"/>
      <c r="I28" s="35">
        <f>SUM(C28:G28)</f>
        <v>-9530.1858252439943</v>
      </c>
      <c r="J28" s="44" t="s">
        <v>1491</v>
      </c>
      <c r="K28" s="4">
        <f t="shared" si="3"/>
        <v>17</v>
      </c>
    </row>
    <row r="29" spans="1:11" ht="18.75" x14ac:dyDescent="0.25">
      <c r="A29" s="4">
        <f t="shared" si="2"/>
        <v>18</v>
      </c>
      <c r="B29" s="32" t="s">
        <v>1766</v>
      </c>
      <c r="C29" s="6">
        <v>0</v>
      </c>
      <c r="D29" s="6"/>
      <c r="E29" s="6">
        <v>0</v>
      </c>
      <c r="F29" s="6"/>
      <c r="G29" s="6">
        <v>0</v>
      </c>
      <c r="H29" s="6"/>
      <c r="I29" s="6">
        <f>SUM(C29:G29)</f>
        <v>0</v>
      </c>
      <c r="J29" s="44" t="s">
        <v>1767</v>
      </c>
      <c r="K29" s="4">
        <f t="shared" si="3"/>
        <v>18</v>
      </c>
    </row>
    <row r="30" spans="1:11" x14ac:dyDescent="0.25">
      <c r="A30" s="4">
        <f t="shared" si="2"/>
        <v>19</v>
      </c>
      <c r="B30" s="32"/>
      <c r="C30" s="6">
        <v>0</v>
      </c>
      <c r="D30" s="6"/>
      <c r="E30" s="6">
        <v>0</v>
      </c>
      <c r="F30" s="6"/>
      <c r="G30" s="6">
        <v>0</v>
      </c>
      <c r="H30" s="6"/>
      <c r="I30" s="6">
        <f>SUM(C30:G30)</f>
        <v>0</v>
      </c>
      <c r="J30" s="6"/>
      <c r="K30" s="4">
        <f t="shared" si="3"/>
        <v>19</v>
      </c>
    </row>
    <row r="31" spans="1:11" x14ac:dyDescent="0.25">
      <c r="A31" s="4">
        <f t="shared" si="2"/>
        <v>20</v>
      </c>
      <c r="B31" s="32"/>
      <c r="C31" s="6">
        <v>0</v>
      </c>
      <c r="D31" s="6"/>
      <c r="E31" s="6">
        <v>0</v>
      </c>
      <c r="F31" s="6"/>
      <c r="G31" s="6">
        <v>0</v>
      </c>
      <c r="H31" s="6"/>
      <c r="I31" s="6">
        <f>SUM(C31:G31)</f>
        <v>0</v>
      </c>
      <c r="J31" s="6"/>
      <c r="K31" s="4">
        <f t="shared" si="3"/>
        <v>20</v>
      </c>
    </row>
    <row r="32" spans="1:11" x14ac:dyDescent="0.25">
      <c r="A32" s="4">
        <f t="shared" si="2"/>
        <v>21</v>
      </c>
      <c r="B32" s="32"/>
      <c r="C32" s="6">
        <v>0</v>
      </c>
      <c r="D32" s="6"/>
      <c r="E32" s="6">
        <v>0</v>
      </c>
      <c r="F32" s="6"/>
      <c r="G32" s="6">
        <v>0</v>
      </c>
      <c r="H32" s="6"/>
      <c r="I32" s="6">
        <f>SUM(C32:G32)</f>
        <v>0</v>
      </c>
      <c r="J32" s="6"/>
      <c r="K32" s="4">
        <f t="shared" si="3"/>
        <v>21</v>
      </c>
    </row>
    <row r="33" spans="1:11" ht="16.5" thickBot="1" x14ac:dyDescent="0.3">
      <c r="A33" s="4">
        <f t="shared" si="2"/>
        <v>22</v>
      </c>
      <c r="B33" s="340" t="s">
        <v>426</v>
      </c>
      <c r="C33" s="89">
        <f>SUM(C28:C32)</f>
        <v>-9530.1858252439943</v>
      </c>
      <c r="D33" s="6"/>
      <c r="E33" s="89">
        <f>SUM(E28:E32)</f>
        <v>0</v>
      </c>
      <c r="F33" s="43"/>
      <c r="G33" s="89">
        <f>SUM(G28:G32)</f>
        <v>0</v>
      </c>
      <c r="H33" s="6"/>
      <c r="I33" s="89">
        <f>SUM(I28:I32)</f>
        <v>-9530.1858252439943</v>
      </c>
      <c r="J33" s="44" t="s">
        <v>427</v>
      </c>
      <c r="K33" s="4">
        <f t="shared" si="3"/>
        <v>22</v>
      </c>
    </row>
    <row r="34" spans="1:11" ht="16.5" thickTop="1" x14ac:dyDescent="0.25">
      <c r="A34" s="4">
        <f t="shared" si="2"/>
        <v>23</v>
      </c>
      <c r="K34" s="4">
        <f t="shared" si="3"/>
        <v>23</v>
      </c>
    </row>
    <row r="35" spans="1:11" ht="19.5" thickBot="1" x14ac:dyDescent="0.3">
      <c r="A35" s="4">
        <f t="shared" si="2"/>
        <v>24</v>
      </c>
      <c r="B35" s="1" t="s">
        <v>428</v>
      </c>
      <c r="C35" s="89">
        <f>+C18+C25+C33</f>
        <v>-880486.29554799967</v>
      </c>
      <c r="E35" s="89">
        <f>+E18+E25+E33</f>
        <v>152947.25205210745</v>
      </c>
      <c r="F35" s="43"/>
      <c r="G35" s="89">
        <f>+G18+G25+G33</f>
        <v>-403058.37070163281</v>
      </c>
      <c r="I35" s="89">
        <f>+I18+I25+I33</f>
        <v>-1130597.4141975252</v>
      </c>
      <c r="J35" s="44" t="s">
        <v>429</v>
      </c>
      <c r="K35" s="4">
        <f t="shared" si="3"/>
        <v>24</v>
      </c>
    </row>
    <row r="36" spans="1:11" ht="16.5" thickTop="1" x14ac:dyDescent="0.25">
      <c r="B36" s="1"/>
      <c r="C36" s="43"/>
      <c r="E36" s="43"/>
      <c r="F36" s="43"/>
      <c r="G36" s="43"/>
      <c r="I36" s="43"/>
      <c r="J36" s="44"/>
    </row>
    <row r="38" spans="1:11" ht="18.75" x14ac:dyDescent="0.25">
      <c r="A38" s="253">
        <v>1</v>
      </c>
      <c r="B38" s="31" t="s">
        <v>430</v>
      </c>
    </row>
    <row r="39" spans="1:11" ht="18.75" x14ac:dyDescent="0.25">
      <c r="A39" s="253">
        <v>2</v>
      </c>
      <c r="B39" s="31" t="s">
        <v>433</v>
      </c>
    </row>
    <row r="40" spans="1:11" ht="18.75" x14ac:dyDescent="0.25">
      <c r="A40" s="253">
        <v>3</v>
      </c>
      <c r="B40" s="31" t="s">
        <v>434</v>
      </c>
    </row>
    <row r="41" spans="1:11" ht="19.5" customHeight="1" x14ac:dyDescent="0.25">
      <c r="A41" s="253">
        <v>4</v>
      </c>
      <c r="B41" s="32" t="s">
        <v>1492</v>
      </c>
      <c r="C41" s="881"/>
      <c r="D41" s="881"/>
      <c r="E41" s="881"/>
      <c r="F41" s="881"/>
      <c r="G41" s="881"/>
      <c r="H41" s="881"/>
      <c r="I41" s="881"/>
      <c r="J41" s="881"/>
    </row>
    <row r="42" spans="1:11" x14ac:dyDescent="0.25">
      <c r="B42" s="32" t="s">
        <v>1493</v>
      </c>
    </row>
    <row r="43" spans="1:11" ht="18.75" x14ac:dyDescent="0.25">
      <c r="A43" s="253">
        <v>5</v>
      </c>
      <c r="B43" s="31" t="s">
        <v>1768</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workbookViewId="0"/>
  </sheetViews>
  <sheetFormatPr defaultColWidth="8.7109375" defaultRowHeight="15.75" x14ac:dyDescent="0.25"/>
  <cols>
    <col min="1" max="1" width="5.28515625" style="341" customWidth="1"/>
    <col min="2" max="2" width="56.28515625" style="5" customWidth="1"/>
    <col min="3" max="3" width="16.7109375" style="5" customWidth="1"/>
    <col min="4" max="4" width="1.5703125" style="5" customWidth="1"/>
    <col min="5" max="5" width="16.7109375" style="5" customWidth="1"/>
    <col min="6" max="6" width="1.5703125" style="5" customWidth="1"/>
    <col min="7" max="7" width="15.7109375" style="5" customWidth="1"/>
    <col min="8" max="8" width="62.42578125" style="5" customWidth="1"/>
    <col min="9" max="9" width="5.28515625" style="341" customWidth="1"/>
    <col min="10" max="16384" width="8.7109375" style="5"/>
  </cols>
  <sheetData>
    <row r="2" spans="1:9" x14ac:dyDescent="0.25">
      <c r="B2" s="1294" t="s">
        <v>0</v>
      </c>
      <c r="C2" s="1294"/>
      <c r="D2" s="1294"/>
      <c r="E2" s="1294"/>
      <c r="F2" s="1294"/>
      <c r="G2" s="1294"/>
      <c r="H2" s="1294"/>
    </row>
    <row r="3" spans="1:9" x14ac:dyDescent="0.25">
      <c r="B3" s="1294" t="s">
        <v>408</v>
      </c>
      <c r="C3" s="1294"/>
      <c r="D3" s="1294"/>
      <c r="E3" s="1294"/>
      <c r="F3" s="1294"/>
      <c r="G3" s="1294"/>
      <c r="H3" s="1294"/>
    </row>
    <row r="4" spans="1:9" x14ac:dyDescent="0.25">
      <c r="B4" s="1294" t="s">
        <v>435</v>
      </c>
      <c r="C4" s="1294"/>
      <c r="D4" s="1294"/>
      <c r="E4" s="1294"/>
      <c r="F4" s="1294"/>
      <c r="G4" s="1294"/>
      <c r="H4" s="1294"/>
    </row>
    <row r="5" spans="1:9" x14ac:dyDescent="0.25">
      <c r="B5" s="1294" t="str">
        <f>'AF-2'!B5</f>
        <v>BASE PERIOD 12 MONTHS ENDING DECEMBER 31, 2023</v>
      </c>
      <c r="C5" s="1294"/>
      <c r="D5" s="1294"/>
      <c r="E5" s="1294"/>
      <c r="F5" s="1294"/>
      <c r="G5" s="1294"/>
      <c r="H5" s="1294"/>
    </row>
    <row r="6" spans="1:9" ht="15.75" customHeight="1" x14ac:dyDescent="0.25">
      <c r="B6" s="1299" t="s">
        <v>4</v>
      </c>
      <c r="C6" s="1299"/>
      <c r="D6" s="1299"/>
      <c r="E6" s="1299"/>
      <c r="F6" s="1299"/>
      <c r="G6" s="1299"/>
      <c r="H6" s="1299"/>
    </row>
    <row r="8" spans="1:9" x14ac:dyDescent="0.25">
      <c r="A8" s="341" t="s">
        <v>5</v>
      </c>
      <c r="B8" s="31"/>
      <c r="C8" s="262" t="s">
        <v>184</v>
      </c>
      <c r="D8" s="262"/>
      <c r="E8" s="262" t="s">
        <v>185</v>
      </c>
      <c r="F8" s="31"/>
      <c r="G8" s="262" t="s">
        <v>206</v>
      </c>
      <c r="H8" s="262"/>
      <c r="I8" s="341" t="s">
        <v>5</v>
      </c>
    </row>
    <row r="9" spans="1:9" x14ac:dyDescent="0.25">
      <c r="A9" s="341" t="s">
        <v>6</v>
      </c>
      <c r="B9" s="930" t="s">
        <v>306</v>
      </c>
      <c r="C9" s="728">
        <f>'Stmt AD'!E9</f>
        <v>44926</v>
      </c>
      <c r="D9" s="977"/>
      <c r="E9" s="728">
        <f>'Stmt AD'!G9</f>
        <v>45291</v>
      </c>
      <c r="F9" s="978"/>
      <c r="G9" s="930" t="s">
        <v>208</v>
      </c>
      <c r="H9" s="930" t="s">
        <v>8</v>
      </c>
      <c r="I9" s="341" t="s">
        <v>6</v>
      </c>
    </row>
    <row r="10" spans="1:9" x14ac:dyDescent="0.25">
      <c r="B10" s="31"/>
      <c r="C10" s="31"/>
      <c r="D10" s="31"/>
      <c r="E10" s="31"/>
      <c r="F10" s="31"/>
      <c r="G10" s="31"/>
      <c r="H10" s="31"/>
      <c r="I10" s="4"/>
    </row>
    <row r="11" spans="1:9" ht="16.5" thickBot="1" x14ac:dyDescent="0.3">
      <c r="A11" s="341">
        <v>1</v>
      </c>
      <c r="B11" s="31" t="s">
        <v>401</v>
      </c>
      <c r="C11" s="917">
        <v>0</v>
      </c>
      <c r="D11" s="6"/>
      <c r="E11" s="917">
        <v>0</v>
      </c>
      <c r="F11" s="35"/>
      <c r="G11" s="37">
        <f>(C11+E11)/2</f>
        <v>0</v>
      </c>
      <c r="H11" s="44" t="s">
        <v>1487</v>
      </c>
      <c r="I11" s="4">
        <f>A11</f>
        <v>1</v>
      </c>
    </row>
    <row r="12" spans="1:9" ht="16.5" thickTop="1" x14ac:dyDescent="0.25">
      <c r="A12" s="341">
        <f>A11+1</f>
        <v>2</v>
      </c>
      <c r="B12" s="31"/>
      <c r="C12" s="35"/>
      <c r="D12" s="6"/>
      <c r="E12" s="35"/>
      <c r="F12" s="35"/>
      <c r="G12" s="35"/>
      <c r="H12" s="35"/>
      <c r="I12" s="4">
        <f>I11+1</f>
        <v>2</v>
      </c>
    </row>
    <row r="13" spans="1:9" ht="16.5" thickBot="1" x14ac:dyDescent="0.3">
      <c r="A13" s="341">
        <f t="shared" ref="A13:A15" si="0">A12+1</f>
        <v>3</v>
      </c>
      <c r="B13" s="31" t="s">
        <v>403</v>
      </c>
      <c r="C13" s="917">
        <v>0</v>
      </c>
      <c r="D13" s="6"/>
      <c r="E13" s="917">
        <v>0</v>
      </c>
      <c r="F13" s="35"/>
      <c r="G13" s="37">
        <f>(C13+E13)/2</f>
        <v>0</v>
      </c>
      <c r="H13" s="44" t="s">
        <v>1487</v>
      </c>
      <c r="I13" s="4">
        <f t="shared" ref="I13:I15" si="1">I12+1</f>
        <v>3</v>
      </c>
    </row>
    <row r="14" spans="1:9" ht="16.5" thickTop="1" x14ac:dyDescent="0.25">
      <c r="A14" s="341">
        <f t="shared" si="0"/>
        <v>4</v>
      </c>
      <c r="B14" s="31"/>
      <c r="C14" s="35"/>
      <c r="D14" s="6"/>
      <c r="E14" s="35"/>
      <c r="F14" s="35"/>
      <c r="G14" s="35"/>
      <c r="H14" s="44"/>
      <c r="I14" s="4">
        <f t="shared" si="1"/>
        <v>4</v>
      </c>
    </row>
    <row r="15" spans="1:9" ht="16.5" thickBot="1" x14ac:dyDescent="0.3">
      <c r="A15" s="341">
        <f t="shared" si="0"/>
        <v>5</v>
      </c>
      <c r="B15" s="31" t="s">
        <v>405</v>
      </c>
      <c r="C15" s="917">
        <v>0</v>
      </c>
      <c r="D15" s="6"/>
      <c r="E15" s="917">
        <v>0</v>
      </c>
      <c r="F15" s="35"/>
      <c r="G15" s="37">
        <f>(C15+E15)/2</f>
        <v>0</v>
      </c>
      <c r="H15" s="44" t="s">
        <v>1487</v>
      </c>
      <c r="I15" s="4">
        <f t="shared" si="1"/>
        <v>5</v>
      </c>
    </row>
    <row r="16" spans="1:9" ht="16.5" thickTop="1" x14ac:dyDescent="0.25">
      <c r="B16" s="31"/>
      <c r="C16" s="11"/>
      <c r="D16" s="11"/>
      <c r="E16" s="11"/>
      <c r="F16" s="11"/>
      <c r="G16" s="11"/>
      <c r="H16" s="11"/>
      <c r="I16" s="4"/>
    </row>
    <row r="17" spans="2:9" x14ac:dyDescent="0.25">
      <c r="B17" s="31"/>
      <c r="C17" s="6"/>
      <c r="D17" s="6"/>
      <c r="E17" s="6"/>
      <c r="F17" s="6"/>
      <c r="G17" s="6"/>
      <c r="H17" s="6"/>
      <c r="I17" s="4"/>
    </row>
    <row r="18" spans="2:9" x14ac:dyDescent="0.25">
      <c r="B18" s="29"/>
      <c r="C18" s="31"/>
      <c r="D18" s="31"/>
      <c r="E18" s="6"/>
      <c r="F18" s="6"/>
      <c r="G18" s="6"/>
      <c r="H18" s="6"/>
      <c r="I18" s="4"/>
    </row>
    <row r="19" spans="2:9" x14ac:dyDescent="0.25">
      <c r="B19" s="31"/>
      <c r="C19" s="31"/>
      <c r="D19" s="31"/>
      <c r="E19" s="31"/>
      <c r="F19" s="31"/>
      <c r="G19" s="31"/>
      <c r="H19" s="31"/>
      <c r="I19" s="4"/>
    </row>
    <row r="28" spans="2:9" x14ac:dyDescent="0.25">
      <c r="B28" s="343"/>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workbookViewId="0"/>
  </sheetViews>
  <sheetFormatPr defaultColWidth="8.7109375" defaultRowHeight="15.75" x14ac:dyDescent="0.25"/>
  <cols>
    <col min="1" max="1" width="5.28515625" style="4" customWidth="1"/>
    <col min="2" max="2" width="56.28515625" style="31" customWidth="1"/>
    <col min="3" max="3" width="16.7109375" style="31" customWidth="1"/>
    <col min="4" max="4" width="2.7109375" style="31" bestFit="1" customWidth="1"/>
    <col min="5" max="5" width="16.7109375" style="31" customWidth="1"/>
    <col min="6" max="6" width="1.5703125" style="31" customWidth="1"/>
    <col min="7" max="7" width="18.42578125" style="31" customWidth="1"/>
    <col min="8" max="8" width="62.42578125" style="31" customWidth="1"/>
    <col min="9" max="9" width="5.28515625" style="4" customWidth="1"/>
    <col min="10" max="16384" width="8.7109375" style="31"/>
  </cols>
  <sheetData>
    <row r="2" spans="1:9" x14ac:dyDescent="0.25">
      <c r="B2" s="1294" t="s">
        <v>0</v>
      </c>
      <c r="C2" s="1294"/>
      <c r="D2" s="1294"/>
      <c r="E2" s="1294"/>
      <c r="F2" s="1294"/>
      <c r="G2" s="1294"/>
      <c r="H2" s="1294"/>
    </row>
    <row r="3" spans="1:9" x14ac:dyDescent="0.25">
      <c r="B3" s="1294" t="s">
        <v>1692</v>
      </c>
      <c r="C3" s="1294"/>
      <c r="D3" s="1294"/>
      <c r="E3" s="1294"/>
      <c r="F3" s="1294"/>
      <c r="G3" s="1294"/>
      <c r="H3" s="1294"/>
    </row>
    <row r="4" spans="1:9" x14ac:dyDescent="0.25">
      <c r="B4" s="1294" t="s">
        <v>1760</v>
      </c>
      <c r="C4" s="1294"/>
      <c r="D4" s="1294"/>
      <c r="E4" s="1294"/>
      <c r="F4" s="1294"/>
      <c r="G4" s="1294"/>
      <c r="H4" s="1294"/>
    </row>
    <row r="5" spans="1:9" x14ac:dyDescent="0.25">
      <c r="B5" s="1294" t="str">
        <f>'AF-2'!B5</f>
        <v>BASE PERIOD 12 MONTHS ENDING DECEMBER 31, 2023</v>
      </c>
      <c r="C5" s="1294"/>
      <c r="D5" s="1294"/>
      <c r="E5" s="1294"/>
      <c r="F5" s="1294"/>
      <c r="G5" s="1294"/>
      <c r="H5" s="1294"/>
    </row>
    <row r="6" spans="1:9" ht="15.75" customHeight="1" x14ac:dyDescent="0.25">
      <c r="B6" s="1299" t="s">
        <v>4</v>
      </c>
      <c r="C6" s="1299"/>
      <c r="D6" s="1299"/>
      <c r="E6" s="1299"/>
      <c r="F6" s="1299"/>
      <c r="G6" s="1299"/>
      <c r="H6" s="1299"/>
    </row>
    <row r="8" spans="1:9" x14ac:dyDescent="0.25">
      <c r="A8" s="4" t="s">
        <v>5</v>
      </c>
      <c r="C8" s="262" t="s">
        <v>184</v>
      </c>
      <c r="D8" s="262"/>
      <c r="E8" s="262" t="s">
        <v>185</v>
      </c>
      <c r="G8" s="262" t="s">
        <v>206</v>
      </c>
      <c r="H8" s="262"/>
      <c r="I8" s="4" t="s">
        <v>5</v>
      </c>
    </row>
    <row r="9" spans="1:9" x14ac:dyDescent="0.25">
      <c r="A9" s="4" t="s">
        <v>6</v>
      </c>
      <c r="B9" s="930" t="s">
        <v>306</v>
      </c>
      <c r="C9" s="728">
        <f>'Stmt AD'!E9</f>
        <v>44926</v>
      </c>
      <c r="D9" s="977"/>
      <c r="E9" s="728">
        <f>'Stmt AD'!G9</f>
        <v>45291</v>
      </c>
      <c r="F9" s="978"/>
      <c r="G9" s="930" t="s">
        <v>208</v>
      </c>
      <c r="H9" s="930" t="s">
        <v>8</v>
      </c>
      <c r="I9" s="4" t="s">
        <v>6</v>
      </c>
    </row>
    <row r="11" spans="1:9" ht="19.5" thickBot="1" x14ac:dyDescent="0.3">
      <c r="A11" s="4">
        <v>1</v>
      </c>
      <c r="B11" s="32" t="s">
        <v>1693</v>
      </c>
      <c r="C11" s="37">
        <v>-651642.851874299</v>
      </c>
      <c r="D11" s="6"/>
      <c r="E11" s="37">
        <v>-713526.22864224005</v>
      </c>
      <c r="F11" s="35"/>
      <c r="G11" s="1153">
        <f>(C11+E11)/2</f>
        <v>-682584.54025826952</v>
      </c>
      <c r="H11" s="44" t="s">
        <v>258</v>
      </c>
      <c r="I11" s="4">
        <f t="shared" ref="I11" si="0">A11</f>
        <v>1</v>
      </c>
    </row>
    <row r="12" spans="1:9" ht="16.5" thickTop="1" x14ac:dyDescent="0.25">
      <c r="C12" s="11"/>
      <c r="D12" s="11"/>
      <c r="E12" s="11"/>
      <c r="F12" s="11"/>
      <c r="G12" s="11"/>
      <c r="H12" s="11"/>
    </row>
    <row r="13" spans="1:9" x14ac:dyDescent="0.25">
      <c r="C13" s="11"/>
      <c r="D13" s="11"/>
      <c r="E13" s="11"/>
      <c r="F13" s="11"/>
      <c r="G13" s="11"/>
      <c r="H13" s="11"/>
    </row>
    <row r="14" spans="1:9" x14ac:dyDescent="0.25">
      <c r="C14" s="11"/>
      <c r="D14" s="11"/>
      <c r="E14" s="11"/>
      <c r="F14" s="11"/>
      <c r="G14" s="11"/>
      <c r="H14" s="11"/>
    </row>
    <row r="15" spans="1:9" x14ac:dyDescent="0.25">
      <c r="C15" s="6"/>
      <c r="D15" s="6"/>
      <c r="E15" s="6"/>
      <c r="F15" s="6"/>
      <c r="G15" s="6"/>
      <c r="H15" s="6"/>
    </row>
    <row r="16" spans="1:9" ht="18.75" x14ac:dyDescent="0.25">
      <c r="A16" s="266">
        <v>1</v>
      </c>
      <c r="B16" s="31" t="s">
        <v>1728</v>
      </c>
    </row>
    <row r="17" spans="2:3" x14ac:dyDescent="0.25">
      <c r="B17" s="31" t="s">
        <v>1729</v>
      </c>
    </row>
    <row r="22" spans="2:3" x14ac:dyDescent="0.25">
      <c r="C22" s="1175"/>
    </row>
    <row r="24" spans="2:3" x14ac:dyDescent="0.25">
      <c r="B24" s="624"/>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workbookViewId="0"/>
  </sheetViews>
  <sheetFormatPr defaultColWidth="9.28515625" defaultRowHeight="15.75" x14ac:dyDescent="0.25"/>
  <cols>
    <col min="1" max="1" width="5.28515625" style="4" bestFit="1" customWidth="1"/>
    <col min="2" max="2" width="50.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9.28515625" style="31"/>
    <col min="10" max="10" width="20.42578125" style="31" bestFit="1" customWidth="1"/>
    <col min="11" max="16384" width="9.28515625" style="31"/>
  </cols>
  <sheetData>
    <row r="1" spans="1:8" x14ac:dyDescent="0.25">
      <c r="E1" s="4"/>
      <c r="F1" s="4"/>
      <c r="G1" s="4"/>
      <c r="H1" s="4"/>
    </row>
    <row r="2" spans="1:8" x14ac:dyDescent="0.25">
      <c r="B2" s="1294" t="s">
        <v>0</v>
      </c>
      <c r="C2" s="1294"/>
      <c r="D2" s="1294"/>
      <c r="E2" s="1294"/>
      <c r="F2" s="1294"/>
      <c r="G2" s="1294"/>
      <c r="H2" s="4"/>
    </row>
    <row r="3" spans="1:8" x14ac:dyDescent="0.25">
      <c r="B3" s="1294" t="s">
        <v>436</v>
      </c>
      <c r="C3" s="1294"/>
      <c r="D3" s="1294"/>
      <c r="E3" s="1294"/>
      <c r="F3" s="1294"/>
      <c r="G3" s="1294"/>
      <c r="H3" s="4"/>
    </row>
    <row r="4" spans="1:8" x14ac:dyDescent="0.25">
      <c r="B4" s="1294" t="s">
        <v>437</v>
      </c>
      <c r="C4" s="1294"/>
      <c r="D4" s="1294"/>
      <c r="E4" s="1294"/>
      <c r="F4" s="1294"/>
      <c r="G4" s="1294"/>
      <c r="H4" s="4"/>
    </row>
    <row r="5" spans="1:8" x14ac:dyDescent="0.25">
      <c r="B5" s="1300" t="str">
        <f>'Stmt AD'!B5</f>
        <v>Base Period &amp; True-Up Period 12 - Months Ending December 31, 2023</v>
      </c>
      <c r="C5" s="1300"/>
      <c r="D5" s="1300"/>
      <c r="E5" s="1300"/>
      <c r="F5" s="1300"/>
      <c r="G5" s="1300"/>
      <c r="H5" s="4"/>
    </row>
    <row r="6" spans="1:8" x14ac:dyDescent="0.25">
      <c r="B6" s="1299" t="s">
        <v>4</v>
      </c>
      <c r="C6" s="1295"/>
      <c r="D6" s="1295"/>
      <c r="E6" s="1295"/>
      <c r="F6" s="1295"/>
      <c r="G6" s="1295"/>
      <c r="H6" s="4"/>
    </row>
    <row r="7" spans="1:8" x14ac:dyDescent="0.25">
      <c r="B7" s="4"/>
      <c r="C7" s="4"/>
      <c r="D7" s="4"/>
      <c r="E7" s="4"/>
      <c r="F7" s="4"/>
      <c r="G7" s="4"/>
      <c r="H7" s="4"/>
    </row>
    <row r="8" spans="1:8" x14ac:dyDescent="0.25">
      <c r="A8" s="4" t="s">
        <v>5</v>
      </c>
      <c r="B8" s="218"/>
      <c r="C8" s="4" t="s">
        <v>205</v>
      </c>
      <c r="D8" s="218"/>
      <c r="E8" s="344"/>
      <c r="F8" s="4"/>
      <c r="G8" s="4"/>
      <c r="H8" s="4" t="s">
        <v>5</v>
      </c>
    </row>
    <row r="9" spans="1:8" x14ac:dyDescent="0.25">
      <c r="A9" s="4" t="s">
        <v>6</v>
      </c>
      <c r="C9" s="849" t="s">
        <v>207</v>
      </c>
      <c r="E9" s="850" t="s">
        <v>208</v>
      </c>
      <c r="F9" s="218"/>
      <c r="G9" s="849" t="s">
        <v>8</v>
      </c>
      <c r="H9" s="4" t="s">
        <v>6</v>
      </c>
    </row>
    <row r="10" spans="1:8" x14ac:dyDescent="0.25">
      <c r="E10" s="4"/>
      <c r="F10" s="4"/>
      <c r="G10" s="4"/>
      <c r="H10" s="4"/>
    </row>
    <row r="11" spans="1:8" ht="19.5" thickBot="1" x14ac:dyDescent="0.3">
      <c r="A11" s="4">
        <f>A10+1</f>
        <v>1</v>
      </c>
      <c r="B11" s="32" t="s">
        <v>438</v>
      </c>
      <c r="C11" s="4">
        <v>214</v>
      </c>
      <c r="E11" s="92">
        <f>'AG-1'!C31</f>
        <v>0</v>
      </c>
      <c r="F11" s="71"/>
      <c r="G11" s="4" t="s">
        <v>439</v>
      </c>
      <c r="H11" s="4">
        <f>A11</f>
        <v>1</v>
      </c>
    </row>
    <row r="12" spans="1:8" ht="16.5" thickTop="1" x14ac:dyDescent="0.25">
      <c r="E12" s="35"/>
      <c r="H12" s="4"/>
    </row>
    <row r="13" spans="1:8" x14ac:dyDescent="0.25">
      <c r="H13" s="4"/>
    </row>
    <row r="14" spans="1:8" ht="18.75" x14ac:dyDescent="0.25">
      <c r="A14" s="253" t="s">
        <v>440</v>
      </c>
      <c r="B14" s="31" t="s">
        <v>441</v>
      </c>
      <c r="H14" s="4"/>
    </row>
    <row r="15" spans="1:8" x14ac:dyDescent="0.25">
      <c r="B15" s="31" t="s">
        <v>1518</v>
      </c>
      <c r="H15" s="4"/>
    </row>
    <row r="18" spans="1:2" x14ac:dyDescent="0.25">
      <c r="A18" s="71"/>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workbookViewId="0"/>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294" t="s">
        <v>0</v>
      </c>
      <c r="C2" s="1294"/>
      <c r="D2" s="1294"/>
      <c r="E2" s="1294"/>
      <c r="F2" s="1294"/>
      <c r="G2" s="1294"/>
      <c r="H2" s="1294"/>
      <c r="I2" s="1294"/>
      <c r="J2" s="1294"/>
      <c r="K2" s="1294"/>
      <c r="N2" s="256"/>
    </row>
    <row r="3" spans="1:14" x14ac:dyDescent="0.25">
      <c r="A3" s="31"/>
      <c r="B3" s="1294" t="s">
        <v>203</v>
      </c>
      <c r="C3" s="1294"/>
      <c r="D3" s="1294"/>
      <c r="E3" s="1294"/>
      <c r="F3" s="1294"/>
      <c r="G3" s="1294"/>
      <c r="H3" s="1294"/>
      <c r="I3" s="1294"/>
      <c r="J3" s="1294"/>
      <c r="K3" s="1294"/>
      <c r="N3" s="256"/>
    </row>
    <row r="4" spans="1:14" x14ac:dyDescent="0.25">
      <c r="A4" s="31"/>
      <c r="B4" s="1294" t="s">
        <v>204</v>
      </c>
      <c r="C4" s="1294"/>
      <c r="D4" s="1294"/>
      <c r="E4" s="1294"/>
      <c r="F4" s="1294"/>
      <c r="G4" s="1294"/>
      <c r="H4" s="1295"/>
      <c r="I4" s="1295"/>
      <c r="J4" s="1295"/>
      <c r="K4" s="1295"/>
    </row>
    <row r="5" spans="1:14" x14ac:dyDescent="0.25">
      <c r="B5" s="1298" t="s">
        <v>1549</v>
      </c>
      <c r="C5" s="1298"/>
      <c r="D5" s="1298"/>
      <c r="E5" s="1298"/>
      <c r="F5" s="1298"/>
      <c r="G5" s="1298"/>
      <c r="H5" s="1302"/>
      <c r="I5" s="1302"/>
      <c r="J5" s="1302"/>
      <c r="K5" s="1302"/>
      <c r="N5" s="1"/>
    </row>
    <row r="6" spans="1:14" x14ac:dyDescent="0.25">
      <c r="B6" s="1299" t="s">
        <v>4</v>
      </c>
      <c r="C6" s="1295"/>
      <c r="D6" s="1295"/>
      <c r="E6" s="1295"/>
      <c r="F6" s="1295"/>
      <c r="G6" s="1295"/>
      <c r="H6" s="1295"/>
      <c r="I6" s="1295"/>
      <c r="J6" s="1295"/>
      <c r="K6" s="1295"/>
      <c r="N6" s="256"/>
    </row>
    <row r="7" spans="1:14" x14ac:dyDescent="0.25">
      <c r="B7" s="262"/>
      <c r="C7" s="218"/>
      <c r="D7" s="1"/>
      <c r="E7" s="1"/>
      <c r="F7" s="1"/>
      <c r="G7" s="1"/>
      <c r="H7" s="1"/>
      <c r="I7" s="1"/>
      <c r="J7" s="1"/>
      <c r="K7" s="1"/>
      <c r="N7" s="256"/>
    </row>
    <row r="8" spans="1:14" x14ac:dyDescent="0.25">
      <c r="A8" s="4" t="s">
        <v>5</v>
      </c>
      <c r="B8" s="218"/>
      <c r="C8" s="4" t="s">
        <v>205</v>
      </c>
      <c r="D8" s="218"/>
      <c r="E8" s="34" t="s">
        <v>184</v>
      </c>
      <c r="F8" s="4"/>
      <c r="G8" s="34" t="s">
        <v>185</v>
      </c>
      <c r="H8" s="4"/>
      <c r="I8" s="34" t="s">
        <v>206</v>
      </c>
      <c r="J8" s="218"/>
      <c r="L8" s="4" t="s">
        <v>5</v>
      </c>
    </row>
    <row r="9" spans="1:14" x14ac:dyDescent="0.25">
      <c r="A9" s="4" t="s">
        <v>6</v>
      </c>
      <c r="B9" s="218"/>
      <c r="C9" s="849" t="s">
        <v>207</v>
      </c>
      <c r="D9" s="218"/>
      <c r="E9" s="923">
        <v>44926</v>
      </c>
      <c r="F9" s="218"/>
      <c r="G9" s="924">
        <v>45291</v>
      </c>
      <c r="H9" s="218"/>
      <c r="I9" s="850" t="s">
        <v>208</v>
      </c>
      <c r="J9" s="218"/>
      <c r="K9" s="849" t="s">
        <v>8</v>
      </c>
      <c r="L9" s="4" t="s">
        <v>6</v>
      </c>
    </row>
    <row r="10" spans="1:14" x14ac:dyDescent="0.25">
      <c r="E10" s="263"/>
      <c r="G10" s="263"/>
      <c r="H10" s="263"/>
      <c r="I10" s="263"/>
      <c r="J10" s="263"/>
      <c r="K10" s="263"/>
    </row>
    <row r="11" spans="1:14" ht="18.75" x14ac:dyDescent="0.25">
      <c r="A11" s="4">
        <v>1</v>
      </c>
      <c r="B11" s="31" t="s">
        <v>209</v>
      </c>
      <c r="C11" s="4" t="s">
        <v>210</v>
      </c>
      <c r="E11" s="38"/>
      <c r="G11" s="38"/>
      <c r="H11" s="39"/>
      <c r="I11" s="40">
        <f>'AD-1'!E31</f>
        <v>584038.95358923054</v>
      </c>
      <c r="J11" s="71"/>
      <c r="K11" s="4" t="s">
        <v>211</v>
      </c>
      <c r="L11" s="4">
        <f>A11</f>
        <v>1</v>
      </c>
    </row>
    <row r="12" spans="1:14" x14ac:dyDescent="0.25">
      <c r="A12" s="4">
        <f t="shared" ref="A12:A45" si="0">+A11+1</f>
        <v>2</v>
      </c>
      <c r="B12" s="31" t="s">
        <v>1</v>
      </c>
      <c r="E12" s="38"/>
      <c r="G12" s="38"/>
      <c r="H12" s="41"/>
      <c r="I12" s="38"/>
      <c r="J12" s="41"/>
      <c r="K12" s="4"/>
      <c r="L12" s="4">
        <f t="shared" ref="L12:L45" si="1">+L11+1</f>
        <v>2</v>
      </c>
      <c r="N12" s="808"/>
    </row>
    <row r="13" spans="1:14" ht="18.75" x14ac:dyDescent="0.25">
      <c r="A13" s="4">
        <f t="shared" si="0"/>
        <v>3</v>
      </c>
      <c r="B13" s="31" t="s">
        <v>212</v>
      </c>
      <c r="C13" s="4" t="s">
        <v>210</v>
      </c>
      <c r="E13" s="38"/>
      <c r="G13" s="38"/>
      <c r="H13" s="39"/>
      <c r="I13" s="42">
        <f>'AD-2'!E31</f>
        <v>0</v>
      </c>
      <c r="J13" s="71"/>
      <c r="K13" s="4" t="s">
        <v>213</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214</v>
      </c>
      <c r="E15" s="38"/>
      <c r="F15" s="1"/>
      <c r="G15" s="38"/>
      <c r="H15" s="39"/>
      <c r="I15" s="42">
        <f>'AD-3'!E31</f>
        <v>0</v>
      </c>
      <c r="J15" s="41"/>
      <c r="K15" s="4" t="s">
        <v>215</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216</v>
      </c>
      <c r="C17" s="4" t="s">
        <v>210</v>
      </c>
      <c r="E17" s="38"/>
      <c r="F17" s="1"/>
      <c r="G17" s="38"/>
      <c r="H17" s="39"/>
      <c r="I17" s="42">
        <f>'AD-4'!E31</f>
        <v>554696.24298076914</v>
      </c>
      <c r="J17" s="71"/>
      <c r="K17" s="4" t="s">
        <v>217</v>
      </c>
      <c r="L17" s="4">
        <f t="shared" si="1"/>
        <v>7</v>
      </c>
      <c r="N17" s="873"/>
    </row>
    <row r="18" spans="1:14" x14ac:dyDescent="0.25">
      <c r="A18" s="4">
        <f t="shared" si="0"/>
        <v>8</v>
      </c>
      <c r="E18" s="38"/>
      <c r="F18" s="1"/>
      <c r="G18" s="38"/>
      <c r="H18" s="41"/>
      <c r="I18" s="38"/>
      <c r="J18" s="41"/>
      <c r="K18" s="4"/>
      <c r="L18" s="4">
        <f t="shared" si="1"/>
        <v>8</v>
      </c>
      <c r="N18" s="873"/>
    </row>
    <row r="19" spans="1:14" ht="18.75" x14ac:dyDescent="0.25">
      <c r="A19" s="4">
        <f>+A18+1</f>
        <v>9</v>
      </c>
      <c r="B19" s="31" t="s">
        <v>218</v>
      </c>
      <c r="C19" s="4" t="s">
        <v>219</v>
      </c>
      <c r="E19" s="40">
        <f>'AD-5'!E15</f>
        <v>9750399.0658389479</v>
      </c>
      <c r="F19" s="43"/>
      <c r="G19" s="40">
        <f>'AD-5'!E17</f>
        <v>11031887.66371526</v>
      </c>
      <c r="H19" s="39"/>
      <c r="I19" s="38">
        <f>(E19+G19)/2</f>
        <v>10391143.364777103</v>
      </c>
      <c r="J19" s="41"/>
      <c r="K19" s="4" t="s">
        <v>220</v>
      </c>
      <c r="L19" s="4">
        <f>+L18+1</f>
        <v>9</v>
      </c>
      <c r="N19" s="873"/>
    </row>
    <row r="20" spans="1:14" x14ac:dyDescent="0.25">
      <c r="A20" s="4">
        <f t="shared" si="0"/>
        <v>10</v>
      </c>
      <c r="E20" s="38"/>
      <c r="G20" s="38"/>
      <c r="H20" s="41"/>
      <c r="I20" s="38"/>
      <c r="J20" s="41"/>
      <c r="K20" s="4"/>
      <c r="L20" s="4">
        <f t="shared" si="1"/>
        <v>10</v>
      </c>
      <c r="N20" s="873"/>
    </row>
    <row r="21" spans="1:14" ht="18.75" x14ac:dyDescent="0.25">
      <c r="A21" s="4">
        <f t="shared" si="0"/>
        <v>11</v>
      </c>
      <c r="B21" s="31" t="s">
        <v>221</v>
      </c>
      <c r="C21" s="4" t="s">
        <v>210</v>
      </c>
      <c r="E21" s="39"/>
      <c r="G21" s="39"/>
      <c r="H21" s="39"/>
      <c r="I21" s="42">
        <f>'AD-6'!F31</f>
        <v>7990057.3968355898</v>
      </c>
      <c r="J21" s="71"/>
      <c r="K21" s="4" t="s">
        <v>222</v>
      </c>
      <c r="L21" s="4">
        <f t="shared" si="1"/>
        <v>11</v>
      </c>
      <c r="N21" s="873"/>
    </row>
    <row r="22" spans="1:14" x14ac:dyDescent="0.25">
      <c r="A22" s="4">
        <f t="shared" si="0"/>
        <v>12</v>
      </c>
      <c r="E22" s="38"/>
      <c r="G22" s="38"/>
      <c r="H22" s="41"/>
      <c r="I22" s="38"/>
      <c r="J22" s="41"/>
      <c r="K22" s="4"/>
      <c r="L22" s="4">
        <f t="shared" si="1"/>
        <v>12</v>
      </c>
      <c r="N22" s="873"/>
    </row>
    <row r="23" spans="1:14" ht="18.75" x14ac:dyDescent="0.25">
      <c r="A23" s="4">
        <f t="shared" si="0"/>
        <v>13</v>
      </c>
      <c r="B23" s="31" t="s">
        <v>223</v>
      </c>
      <c r="E23" s="39"/>
      <c r="G23" s="39"/>
      <c r="H23" s="39"/>
      <c r="I23" s="42">
        <f>'AD-7'!E32</f>
        <v>0</v>
      </c>
      <c r="J23" s="41"/>
      <c r="K23" s="4" t="s">
        <v>224</v>
      </c>
      <c r="L23" s="4">
        <f t="shared" si="1"/>
        <v>13</v>
      </c>
      <c r="N23" s="873"/>
    </row>
    <row r="24" spans="1:14" x14ac:dyDescent="0.25">
      <c r="A24" s="4">
        <f t="shared" si="0"/>
        <v>14</v>
      </c>
      <c r="E24" s="38"/>
      <c r="G24" s="38"/>
      <c r="H24" s="41"/>
      <c r="I24" s="38"/>
      <c r="J24" s="41"/>
      <c r="K24" s="4"/>
      <c r="L24" s="4">
        <f t="shared" si="1"/>
        <v>14</v>
      </c>
      <c r="N24" s="873"/>
    </row>
    <row r="25" spans="1:14" ht="18.75" x14ac:dyDescent="0.25">
      <c r="A25" s="4">
        <f>+A24+1</f>
        <v>15</v>
      </c>
      <c r="B25" s="31" t="s">
        <v>225</v>
      </c>
      <c r="C25" s="4" t="s">
        <v>219</v>
      </c>
      <c r="D25" s="255"/>
      <c r="E25" s="42">
        <f>'AD-8'!C14</f>
        <v>112870.21667000001</v>
      </c>
      <c r="F25" s="1"/>
      <c r="G25" s="42">
        <f>'AD-8'!C16</f>
        <v>125194.79648999999</v>
      </c>
      <c r="H25" s="41"/>
      <c r="I25" s="38">
        <f>(E25+G25)/2</f>
        <v>119032.50658</v>
      </c>
      <c r="J25" s="264"/>
      <c r="K25" s="91" t="s">
        <v>226</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227</v>
      </c>
      <c r="C27" s="4" t="s">
        <v>219</v>
      </c>
      <c r="E27" s="42">
        <f>'AD-9'!C14</f>
        <v>571823.00716999953</v>
      </c>
      <c r="F27" s="1"/>
      <c r="G27" s="42">
        <f>'AD-9'!C16</f>
        <v>614792.31672999891</v>
      </c>
      <c r="H27" s="39"/>
      <c r="I27" s="38">
        <f>(E27+G27)/2</f>
        <v>593307.66194999916</v>
      </c>
      <c r="J27" s="41"/>
      <c r="K27" s="4" t="s">
        <v>228</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229</v>
      </c>
      <c r="E29" s="42">
        <f>'AD-10'!D15</f>
        <v>1555621.3643625001</v>
      </c>
      <c r="F29" s="1"/>
      <c r="G29" s="42">
        <f>'AD-10'!D19</f>
        <v>1812002.4911979998</v>
      </c>
      <c r="H29" s="39"/>
      <c r="I29" s="925">
        <f>(E29+G29)/2</f>
        <v>1683811.9277802501</v>
      </c>
      <c r="J29" s="41"/>
      <c r="K29" s="4" t="s">
        <v>230</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231</v>
      </c>
      <c r="E31" s="35"/>
      <c r="F31" s="43"/>
      <c r="G31" s="35"/>
      <c r="H31" s="44"/>
      <c r="I31" s="37">
        <f>I11+I13+I15+I17+I19+I21+I23+I25+I27+I29</f>
        <v>21916088.054492943</v>
      </c>
      <c r="J31" s="71"/>
      <c r="K31" s="4" t="s">
        <v>232</v>
      </c>
      <c r="L31" s="4">
        <f t="shared" si="1"/>
        <v>21</v>
      </c>
      <c r="M31" s="265"/>
    </row>
    <row r="32" spans="1:14" ht="16.5" thickTop="1" x14ac:dyDescent="0.25">
      <c r="A32" s="4">
        <f t="shared" si="0"/>
        <v>22</v>
      </c>
      <c r="E32" s="45"/>
      <c r="G32" s="45"/>
      <c r="H32" s="46"/>
      <c r="I32" s="45"/>
      <c r="J32" s="46"/>
      <c r="K32" s="4" t="s">
        <v>1</v>
      </c>
      <c r="L32" s="4">
        <f t="shared" si="1"/>
        <v>22</v>
      </c>
    </row>
    <row r="33" spans="1:13" x14ac:dyDescent="0.25">
      <c r="A33" s="4">
        <f t="shared" si="0"/>
        <v>23</v>
      </c>
      <c r="B33" s="31" t="s">
        <v>233</v>
      </c>
      <c r="E33" s="47"/>
      <c r="G33" s="47"/>
      <c r="H33" s="46"/>
      <c r="I33" s="926">
        <f>'Stmt AI'!E25</f>
        <v>0.19653045567590263</v>
      </c>
      <c r="J33" s="46"/>
      <c r="K33" s="4" t="s">
        <v>234</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235</v>
      </c>
      <c r="E35" s="6"/>
      <c r="F35" s="6"/>
      <c r="G35" s="6"/>
      <c r="H35" s="11"/>
      <c r="I35" s="48">
        <f>I21+I23</f>
        <v>7990057.3968355898</v>
      </c>
      <c r="J35" s="71"/>
      <c r="K35" s="4" t="s">
        <v>236</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23393.512758412278</v>
      </c>
      <c r="J37" s="71"/>
      <c r="K37" s="4" t="s">
        <v>237</v>
      </c>
      <c r="L37" s="4">
        <f t="shared" si="1"/>
        <v>27</v>
      </c>
      <c r="M37" s="265"/>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116603.02515903773</v>
      </c>
      <c r="J39" s="46"/>
      <c r="K39" s="4" t="s">
        <v>238</v>
      </c>
      <c r="L39" s="4">
        <f t="shared" si="1"/>
        <v>29</v>
      </c>
      <c r="M39" s="265"/>
    </row>
    <row r="40" spans="1:13" x14ac:dyDescent="0.25">
      <c r="A40" s="4">
        <f t="shared" si="0"/>
        <v>30</v>
      </c>
      <c r="E40" s="6"/>
      <c r="G40" s="6"/>
      <c r="H40" s="46"/>
      <c r="I40" s="8"/>
      <c r="J40" s="46"/>
      <c r="K40" s="4"/>
      <c r="L40" s="4">
        <f t="shared" si="1"/>
        <v>30</v>
      </c>
      <c r="M40" s="265"/>
    </row>
    <row r="41" spans="1:13" x14ac:dyDescent="0.25">
      <c r="A41" s="4">
        <f t="shared" si="0"/>
        <v>31</v>
      </c>
      <c r="B41" s="31" t="s">
        <v>239</v>
      </c>
      <c r="E41" s="6"/>
      <c r="G41" s="6"/>
      <c r="H41" s="46"/>
      <c r="I41" s="914">
        <f>I29*I33</f>
        <v>330920.32543917262</v>
      </c>
      <c r="J41" s="46"/>
      <c r="K41" s="4" t="s">
        <v>240</v>
      </c>
      <c r="L41" s="4">
        <f t="shared" si="1"/>
        <v>31</v>
      </c>
      <c r="M41" s="265"/>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241</v>
      </c>
      <c r="E43" s="6"/>
      <c r="G43" s="6"/>
      <c r="H43" s="50"/>
      <c r="I43" s="24">
        <f>I35+I37+I39+I41</f>
        <v>8460974.2601922117</v>
      </c>
      <c r="J43" s="71"/>
      <c r="K43" s="4" t="s">
        <v>242</v>
      </c>
      <c r="L43" s="4">
        <f t="shared" si="1"/>
        <v>33</v>
      </c>
      <c r="M43" s="265"/>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243</v>
      </c>
      <c r="E45" s="47"/>
      <c r="G45" s="47"/>
      <c r="H45" s="50"/>
      <c r="I45" s="51">
        <f>IFERROR(I43/I31,0)</f>
        <v>0.38606224975709824</v>
      </c>
      <c r="J45" s="71"/>
      <c r="K45" s="4" t="s">
        <v>244</v>
      </c>
      <c r="L45" s="4">
        <f t="shared" si="1"/>
        <v>35</v>
      </c>
      <c r="M45" s="265"/>
    </row>
    <row r="46" spans="1:13" ht="16.5" thickTop="1" x14ac:dyDescent="0.25">
      <c r="E46" s="218"/>
      <c r="G46" s="44"/>
      <c r="H46" s="50"/>
      <c r="I46" s="50"/>
      <c r="J46" s="50"/>
      <c r="K46" s="4"/>
    </row>
    <row r="47" spans="1:13" x14ac:dyDescent="0.25">
      <c r="B47" s="33"/>
    </row>
    <row r="48" spans="1:13" ht="18.75" x14ac:dyDescent="0.25">
      <c r="A48" s="253">
        <v>1</v>
      </c>
      <c r="B48" s="31" t="s">
        <v>245</v>
      </c>
    </row>
    <row r="49" spans="1:2" ht="18.75" x14ac:dyDescent="0.25">
      <c r="A49" s="266">
        <v>2</v>
      </c>
      <c r="B49" s="31" t="s">
        <v>246</v>
      </c>
    </row>
    <row r="50" spans="1:2" ht="18.75" x14ac:dyDescent="0.25">
      <c r="A50" s="266">
        <v>3</v>
      </c>
      <c r="B50" s="31" t="s">
        <v>247</v>
      </c>
    </row>
    <row r="51" spans="1:2" ht="18.75" x14ac:dyDescent="0.25">
      <c r="A51" s="266">
        <v>4</v>
      </c>
      <c r="B51" s="31" t="s">
        <v>248</v>
      </c>
    </row>
    <row r="52" spans="1:2" ht="18.75" x14ac:dyDescent="0.25">
      <c r="A52" s="266">
        <v>5</v>
      </c>
      <c r="B52" s="31" t="s">
        <v>249</v>
      </c>
    </row>
    <row r="53" spans="1:2" ht="18.75" x14ac:dyDescent="0.25">
      <c r="A53" s="266"/>
    </row>
    <row r="54" spans="1:2" ht="18.75" x14ac:dyDescent="0.25">
      <c r="A54" s="266"/>
    </row>
    <row r="55" spans="1:2" ht="18.75" x14ac:dyDescent="0.25">
      <c r="A55" s="266"/>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workbookViewId="0"/>
  </sheetViews>
  <sheetFormatPr defaultColWidth="8.7109375" defaultRowHeight="15.75" x14ac:dyDescent="0.25"/>
  <cols>
    <col min="1" max="1" width="5.28515625" style="4" customWidth="1"/>
    <col min="2" max="2" width="35.28515625" style="31" customWidth="1"/>
    <col min="3" max="3" width="18.5703125" style="31" customWidth="1"/>
    <col min="4" max="4" width="62.5703125" style="31" customWidth="1"/>
    <col min="5" max="5" width="5.28515625" style="31" customWidth="1"/>
    <col min="6" max="9" width="8.7109375" style="31"/>
    <col min="10" max="10" width="12.7109375" style="31" bestFit="1" customWidth="1"/>
    <col min="11" max="11" width="8.7109375" style="31"/>
    <col min="12" max="12" width="14" style="31" bestFit="1" customWidth="1"/>
    <col min="13" max="16384" width="8.7109375" style="31"/>
  </cols>
  <sheetData>
    <row r="2" spans="1:13" s="1" customFormat="1" x14ac:dyDescent="0.25">
      <c r="A2" s="218"/>
      <c r="B2" s="1294" t="s">
        <v>0</v>
      </c>
      <c r="C2" s="1294"/>
      <c r="D2" s="1294"/>
    </row>
    <row r="3" spans="1:13" s="1" customFormat="1" x14ac:dyDescent="0.25">
      <c r="A3" s="218"/>
      <c r="B3" s="1294" t="s">
        <v>442</v>
      </c>
      <c r="C3" s="1294"/>
      <c r="D3" s="1294"/>
    </row>
    <row r="4" spans="1:13" s="1" customFormat="1" x14ac:dyDescent="0.25">
      <c r="A4" s="218"/>
      <c r="B4" s="1294" t="s">
        <v>443</v>
      </c>
      <c r="C4" s="1294"/>
      <c r="D4" s="1294"/>
    </row>
    <row r="5" spans="1:13" s="1" customFormat="1" x14ac:dyDescent="0.25">
      <c r="A5" s="218"/>
      <c r="B5" s="1294" t="s">
        <v>444</v>
      </c>
      <c r="C5" s="1294"/>
      <c r="D5" s="1294"/>
    </row>
    <row r="6" spans="1:13" s="1" customFormat="1" x14ac:dyDescent="0.25">
      <c r="A6" s="218"/>
      <c r="B6" s="1294" t="str">
        <f>'AD-1'!B5</f>
        <v>BASE PERIOD / TRUE UP PERIOD - 12/31/2023 PER BOOK</v>
      </c>
      <c r="C6" s="1294"/>
      <c r="D6" s="1294"/>
    </row>
    <row r="7" spans="1:13" s="1" customFormat="1" x14ac:dyDescent="0.25">
      <c r="A7" s="218"/>
      <c r="B7" s="1299" t="s">
        <v>4</v>
      </c>
      <c r="C7" s="1299"/>
      <c r="D7" s="1299"/>
    </row>
    <row r="8" spans="1:13" s="1" customFormat="1" x14ac:dyDescent="0.25">
      <c r="A8" s="218"/>
      <c r="B8" s="267"/>
      <c r="C8" s="267"/>
      <c r="D8" s="267"/>
    </row>
    <row r="9" spans="1:13" s="1" customFormat="1" x14ac:dyDescent="0.25">
      <c r="A9" s="218"/>
      <c r="B9" s="1294" t="s">
        <v>289</v>
      </c>
      <c r="C9" s="1294"/>
      <c r="D9" s="1294"/>
    </row>
    <row r="10" spans="1:13" x14ac:dyDescent="0.25">
      <c r="B10" s="345"/>
      <c r="C10" s="85"/>
      <c r="D10" s="85"/>
      <c r="E10" s="4"/>
    </row>
    <row r="11" spans="1:13" x14ac:dyDescent="0.25">
      <c r="B11" s="927"/>
      <c r="C11" s="946" t="s">
        <v>290</v>
      </c>
      <c r="D11" s="928"/>
      <c r="E11" s="4"/>
    </row>
    <row r="12" spans="1:13" x14ac:dyDescent="0.25">
      <c r="A12" s="4" t="s">
        <v>5</v>
      </c>
      <c r="B12" s="278"/>
      <c r="C12" s="270" t="s">
        <v>445</v>
      </c>
      <c r="D12" s="948"/>
      <c r="E12" s="272" t="s">
        <v>5</v>
      </c>
      <c r="H12" s="267"/>
      <c r="I12" s="267"/>
      <c r="J12" s="267"/>
      <c r="K12" s="267"/>
      <c r="L12" s="267"/>
      <c r="M12" s="267"/>
    </row>
    <row r="13" spans="1:13" x14ac:dyDescent="0.25">
      <c r="A13" s="4" t="s">
        <v>6</v>
      </c>
      <c r="B13" s="275" t="s">
        <v>255</v>
      </c>
      <c r="C13" s="309" t="s">
        <v>446</v>
      </c>
      <c r="D13" s="275" t="s">
        <v>8</v>
      </c>
      <c r="E13" s="272" t="s">
        <v>6</v>
      </c>
      <c r="H13" s="267"/>
      <c r="I13" s="1"/>
      <c r="J13" s="1"/>
      <c r="K13" s="218"/>
      <c r="L13" s="1"/>
      <c r="M13" s="267"/>
    </row>
    <row r="14" spans="1:13" x14ac:dyDescent="0.25">
      <c r="A14" s="4">
        <v>1</v>
      </c>
      <c r="B14" s="931" t="str">
        <f>'AE-1'!B14</f>
        <v>Dec-22</v>
      </c>
      <c r="C14" s="232">
        <v>0</v>
      </c>
      <c r="D14" s="570" t="s">
        <v>258</v>
      </c>
      <c r="E14" s="272">
        <f>A14</f>
        <v>1</v>
      </c>
      <c r="G14" s="36"/>
      <c r="H14" s="267"/>
      <c r="I14" s="218"/>
      <c r="J14" s="218"/>
      <c r="K14" s="218"/>
      <c r="L14" s="267"/>
      <c r="M14" s="267"/>
    </row>
    <row r="15" spans="1:13" x14ac:dyDescent="0.25">
      <c r="A15" s="4">
        <f>A14+1</f>
        <v>2</v>
      </c>
      <c r="B15" s="931" t="str">
        <f>'AE-1'!B15</f>
        <v>Jan-23</v>
      </c>
      <c r="C15" s="233">
        <v>0</v>
      </c>
      <c r="D15" s="233"/>
      <c r="E15" s="272">
        <f>E14+1</f>
        <v>2</v>
      </c>
      <c r="G15" s="36"/>
      <c r="H15" s="267"/>
      <c r="I15" s="218"/>
      <c r="J15" s="218"/>
      <c r="K15" s="218"/>
      <c r="L15" s="267"/>
      <c r="M15" s="267"/>
    </row>
    <row r="16" spans="1:13" x14ac:dyDescent="0.25">
      <c r="A16" s="4">
        <f t="shared" ref="A16:A32" si="0">A15+1</f>
        <v>3</v>
      </c>
      <c r="B16" s="934" t="s">
        <v>260</v>
      </c>
      <c r="C16" s="233">
        <v>0</v>
      </c>
      <c r="D16" s="233"/>
      <c r="E16" s="272">
        <f t="shared" ref="E16:E32" si="1">E15+1</f>
        <v>3</v>
      </c>
      <c r="G16" s="36"/>
      <c r="H16" s="267"/>
      <c r="I16" s="218"/>
      <c r="J16" s="218"/>
      <c r="K16" s="218"/>
      <c r="L16" s="267"/>
      <c r="M16" s="267"/>
    </row>
    <row r="17" spans="1:13" x14ac:dyDescent="0.25">
      <c r="A17" s="4">
        <f t="shared" si="0"/>
        <v>4</v>
      </c>
      <c r="B17" s="934" t="s">
        <v>261</v>
      </c>
      <c r="C17" s="233">
        <v>0</v>
      </c>
      <c r="D17" s="233"/>
      <c r="E17" s="272">
        <f t="shared" si="1"/>
        <v>4</v>
      </c>
      <c r="H17" s="267"/>
      <c r="I17" s="218"/>
      <c r="J17" s="340"/>
      <c r="K17" s="218"/>
      <c r="L17" s="267"/>
      <c r="M17" s="267"/>
    </row>
    <row r="18" spans="1:13" x14ac:dyDescent="0.25">
      <c r="A18" s="4">
        <f t="shared" si="0"/>
        <v>5</v>
      </c>
      <c r="B18" s="934" t="s">
        <v>262</v>
      </c>
      <c r="C18" s="233">
        <v>0</v>
      </c>
      <c r="D18" s="233"/>
      <c r="E18" s="272">
        <f t="shared" si="1"/>
        <v>5</v>
      </c>
      <c r="H18" s="267"/>
      <c r="I18" s="218"/>
      <c r="J18" s="340"/>
      <c r="K18" s="218"/>
      <c r="L18" s="267"/>
      <c r="M18" s="267"/>
    </row>
    <row r="19" spans="1:13" x14ac:dyDescent="0.25">
      <c r="A19" s="4">
        <f t="shared" si="0"/>
        <v>6</v>
      </c>
      <c r="B19" s="934" t="s">
        <v>263</v>
      </c>
      <c r="C19" s="233">
        <v>0</v>
      </c>
      <c r="D19" s="233"/>
      <c r="E19" s="272">
        <f t="shared" si="1"/>
        <v>6</v>
      </c>
      <c r="H19" s="267"/>
      <c r="I19" s="340"/>
      <c r="J19" s="340"/>
      <c r="K19" s="346"/>
      <c r="L19" s="347"/>
      <c r="M19" s="267"/>
    </row>
    <row r="20" spans="1:13" x14ac:dyDescent="0.25">
      <c r="A20" s="4">
        <f>A19+1</f>
        <v>7</v>
      </c>
      <c r="B20" s="934" t="s">
        <v>264</v>
      </c>
      <c r="C20" s="233">
        <v>0</v>
      </c>
      <c r="D20" s="233"/>
      <c r="E20" s="272">
        <f>E19+1</f>
        <v>7</v>
      </c>
      <c r="H20" s="267"/>
      <c r="I20" s="348"/>
      <c r="J20" s="349"/>
      <c r="K20" s="350"/>
      <c r="L20" s="351"/>
      <c r="M20" s="267"/>
    </row>
    <row r="21" spans="1:13" x14ac:dyDescent="0.25">
      <c r="A21" s="4">
        <f t="shared" si="0"/>
        <v>8</v>
      </c>
      <c r="B21" s="934" t="s">
        <v>265</v>
      </c>
      <c r="C21" s="233">
        <v>0</v>
      </c>
      <c r="D21" s="233"/>
      <c r="E21" s="272">
        <f t="shared" si="1"/>
        <v>8</v>
      </c>
      <c r="H21" s="267"/>
      <c r="I21" s="352"/>
      <c r="J21" s="352"/>
      <c r="K21" s="347"/>
      <c r="L21" s="347"/>
      <c r="M21" s="267"/>
    </row>
    <row r="22" spans="1:13" x14ac:dyDescent="0.25">
      <c r="A22" s="4">
        <f t="shared" si="0"/>
        <v>9</v>
      </c>
      <c r="B22" s="934" t="s">
        <v>266</v>
      </c>
      <c r="C22" s="233">
        <v>0</v>
      </c>
      <c r="D22" s="233"/>
      <c r="E22" s="272">
        <f t="shared" si="1"/>
        <v>9</v>
      </c>
      <c r="H22" s="267"/>
      <c r="I22" s="348"/>
      <c r="J22" s="349"/>
      <c r="K22" s="353"/>
      <c r="L22" s="351"/>
      <c r="M22" s="267"/>
    </row>
    <row r="23" spans="1:13" x14ac:dyDescent="0.25">
      <c r="A23" s="4">
        <f t="shared" si="0"/>
        <v>10</v>
      </c>
      <c r="B23" s="934" t="s">
        <v>267</v>
      </c>
      <c r="C23" s="233">
        <v>0</v>
      </c>
      <c r="D23" s="233"/>
      <c r="E23" s="272">
        <f t="shared" si="1"/>
        <v>10</v>
      </c>
      <c r="H23" s="267"/>
      <c r="I23" s="1"/>
      <c r="J23" s="1"/>
      <c r="K23" s="347"/>
      <c r="L23" s="347"/>
      <c r="M23" s="267"/>
    </row>
    <row r="24" spans="1:13" x14ac:dyDescent="0.25">
      <c r="A24" s="4">
        <f t="shared" si="0"/>
        <v>11</v>
      </c>
      <c r="B24" s="934" t="s">
        <v>268</v>
      </c>
      <c r="C24" s="233">
        <v>0</v>
      </c>
      <c r="D24" s="233"/>
      <c r="E24" s="272">
        <f t="shared" si="1"/>
        <v>11</v>
      </c>
      <c r="H24" s="267"/>
      <c r="I24" s="1"/>
      <c r="J24" s="1"/>
      <c r="K24" s="346"/>
      <c r="L24" s="347"/>
      <c r="M24" s="267"/>
    </row>
    <row r="25" spans="1:13" x14ac:dyDescent="0.25">
      <c r="A25" s="4">
        <f t="shared" si="0"/>
        <v>12</v>
      </c>
      <c r="B25" s="934" t="s">
        <v>269</v>
      </c>
      <c r="C25" s="233">
        <v>0</v>
      </c>
      <c r="D25" s="233"/>
      <c r="E25" s="272">
        <f t="shared" si="1"/>
        <v>12</v>
      </c>
      <c r="H25" s="267"/>
      <c r="I25" s="1"/>
      <c r="J25" s="1"/>
      <c r="K25" s="346"/>
      <c r="L25" s="347"/>
      <c r="M25" s="267"/>
    </row>
    <row r="26" spans="1:13" x14ac:dyDescent="0.25">
      <c r="A26" s="4">
        <f t="shared" si="0"/>
        <v>13</v>
      </c>
      <c r="B26" s="630" t="str">
        <f>'AE-1'!B26</f>
        <v>Dec-23</v>
      </c>
      <c r="C26" s="233">
        <v>0</v>
      </c>
      <c r="D26" s="68" t="s">
        <v>258</v>
      </c>
      <c r="E26" s="272">
        <f t="shared" si="1"/>
        <v>13</v>
      </c>
      <c r="H26" s="267"/>
      <c r="I26" s="1"/>
      <c r="J26" s="1"/>
      <c r="K26" s="43"/>
      <c r="L26" s="87"/>
      <c r="M26" s="267"/>
    </row>
    <row r="27" spans="1:13" x14ac:dyDescent="0.25">
      <c r="A27" s="4">
        <f t="shared" si="0"/>
        <v>14</v>
      </c>
      <c r="B27" s="278"/>
      <c r="C27" s="979"/>
      <c r="D27" s="979"/>
      <c r="E27" s="272">
        <f t="shared" si="1"/>
        <v>14</v>
      </c>
    </row>
    <row r="28" spans="1:13" x14ac:dyDescent="0.25">
      <c r="A28" s="4">
        <f t="shared" si="0"/>
        <v>15</v>
      </c>
      <c r="B28" s="278" t="s">
        <v>271</v>
      </c>
      <c r="C28" s="964">
        <f>SUM(C14:C26)</f>
        <v>0</v>
      </c>
      <c r="D28" s="936" t="s">
        <v>272</v>
      </c>
      <c r="E28" s="272">
        <f t="shared" si="1"/>
        <v>15</v>
      </c>
    </row>
    <row r="29" spans="1:13" x14ac:dyDescent="0.25">
      <c r="A29" s="4">
        <f t="shared" si="0"/>
        <v>16</v>
      </c>
      <c r="B29" s="117"/>
      <c r="C29" s="93"/>
      <c r="D29" s="94"/>
      <c r="E29" s="272">
        <f t="shared" si="1"/>
        <v>16</v>
      </c>
    </row>
    <row r="30" spans="1:13" x14ac:dyDescent="0.25">
      <c r="A30" s="4">
        <f t="shared" si="0"/>
        <v>17</v>
      </c>
      <c r="B30" s="278"/>
      <c r="C30" s="980"/>
      <c r="D30" s="579"/>
      <c r="E30" s="272">
        <f t="shared" si="1"/>
        <v>17</v>
      </c>
    </row>
    <row r="31" spans="1:13" x14ac:dyDescent="0.25">
      <c r="A31" s="4">
        <f t="shared" si="0"/>
        <v>18</v>
      </c>
      <c r="B31" s="278" t="s">
        <v>447</v>
      </c>
      <c r="C31" s="964">
        <f>C28/13</f>
        <v>0</v>
      </c>
      <c r="D31" s="937" t="s">
        <v>274</v>
      </c>
      <c r="E31" s="272">
        <f t="shared" si="1"/>
        <v>18</v>
      </c>
    </row>
    <row r="32" spans="1:13" x14ac:dyDescent="0.25">
      <c r="A32" s="4">
        <f t="shared" si="0"/>
        <v>19</v>
      </c>
      <c r="B32" s="117"/>
      <c r="C32" s="67"/>
      <c r="D32" s="67"/>
      <c r="E32" s="272">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workbookViewId="0"/>
  </sheetViews>
  <sheetFormatPr defaultColWidth="9.28515625" defaultRowHeight="15.75" x14ac:dyDescent="0.25"/>
  <cols>
    <col min="1" max="1" width="5.28515625" style="218" customWidth="1"/>
    <col min="2" max="2" width="35.28515625" style="1" customWidth="1"/>
    <col min="3" max="4" width="18.57031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94" t="s">
        <v>0</v>
      </c>
      <c r="C2" s="1294"/>
      <c r="D2" s="1294"/>
      <c r="E2" s="1294"/>
      <c r="F2" s="1294"/>
    </row>
    <row r="3" spans="1:8" x14ac:dyDescent="0.25">
      <c r="B3" s="1294" t="s">
        <v>442</v>
      </c>
      <c r="C3" s="1294"/>
      <c r="D3" s="1294"/>
      <c r="E3" s="1294"/>
      <c r="F3" s="1294"/>
    </row>
    <row r="4" spans="1:8" x14ac:dyDescent="0.25">
      <c r="B4" s="1294" t="s">
        <v>443</v>
      </c>
      <c r="C4" s="1294"/>
      <c r="D4" s="1294"/>
      <c r="E4" s="1294"/>
      <c r="F4" s="1294"/>
    </row>
    <row r="5" spans="1:8" x14ac:dyDescent="0.25">
      <c r="B5" s="1294" t="str">
        <f>'AD-1'!B5</f>
        <v>BASE PERIOD / TRUE UP PERIOD - 12/31/2023 PER BOOK</v>
      </c>
      <c r="C5" s="1294"/>
      <c r="D5" s="1294"/>
      <c r="E5" s="1294"/>
      <c r="F5" s="1294"/>
    </row>
    <row r="6" spans="1:8" x14ac:dyDescent="0.25">
      <c r="B6" s="1299" t="s">
        <v>4</v>
      </c>
      <c r="C6" s="1299"/>
      <c r="D6" s="1299"/>
      <c r="E6" s="1299"/>
      <c r="F6" s="1299"/>
    </row>
    <row r="8" spans="1:8" x14ac:dyDescent="0.25">
      <c r="B8" s="927"/>
      <c r="C8" s="981" t="s">
        <v>184</v>
      </c>
      <c r="D8" s="322" t="s">
        <v>185</v>
      </c>
      <c r="E8" s="322" t="s">
        <v>448</v>
      </c>
      <c r="F8" s="928"/>
    </row>
    <row r="9" spans="1:8" x14ac:dyDescent="0.25">
      <c r="A9" s="4"/>
      <c r="B9" s="270"/>
      <c r="C9" s="274" t="s">
        <v>449</v>
      </c>
      <c r="D9" s="274" t="s">
        <v>450</v>
      </c>
      <c r="E9" s="274" t="s">
        <v>451</v>
      </c>
      <c r="F9" s="935"/>
      <c r="G9" s="4"/>
    </row>
    <row r="10" spans="1:8" x14ac:dyDescent="0.25">
      <c r="A10" s="4" t="s">
        <v>5</v>
      </c>
      <c r="B10" s="270" t="s">
        <v>452</v>
      </c>
      <c r="C10" s="274" t="s">
        <v>7</v>
      </c>
      <c r="D10" s="274" t="s">
        <v>7</v>
      </c>
      <c r="E10" s="274" t="s">
        <v>7</v>
      </c>
      <c r="F10" s="270"/>
      <c r="G10" s="4" t="s">
        <v>5</v>
      </c>
    </row>
    <row r="11" spans="1:8" x14ac:dyDescent="0.25">
      <c r="A11" s="4" t="s">
        <v>6</v>
      </c>
      <c r="B11" s="275" t="s">
        <v>306</v>
      </c>
      <c r="C11" s="276" t="s">
        <v>453</v>
      </c>
      <c r="D11" s="275" t="s">
        <v>453</v>
      </c>
      <c r="E11" s="276" t="s">
        <v>453</v>
      </c>
      <c r="F11" s="275" t="s">
        <v>8</v>
      </c>
      <c r="G11" s="4" t="s">
        <v>6</v>
      </c>
    </row>
    <row r="12" spans="1:8" x14ac:dyDescent="0.25">
      <c r="A12" s="4">
        <v>1</v>
      </c>
      <c r="B12" s="982"/>
      <c r="C12" s="579">
        <v>0</v>
      </c>
      <c r="D12" s="579">
        <v>0</v>
      </c>
      <c r="E12" s="579">
        <f>(C12+D12)</f>
        <v>0</v>
      </c>
      <c r="F12" s="578"/>
      <c r="G12" s="4">
        <f>A12</f>
        <v>1</v>
      </c>
    </row>
    <row r="13" spans="1:8" x14ac:dyDescent="0.25">
      <c r="A13" s="4">
        <f>A12+1</f>
        <v>2</v>
      </c>
      <c r="B13" s="934"/>
      <c r="C13" s="233">
        <v>0</v>
      </c>
      <c r="D13" s="233">
        <v>0</v>
      </c>
      <c r="E13" s="233">
        <v>0</v>
      </c>
      <c r="F13" s="570"/>
      <c r="G13" s="4">
        <f>G12+1</f>
        <v>2</v>
      </c>
      <c r="H13" s="281"/>
    </row>
    <row r="14" spans="1:8" x14ac:dyDescent="0.25">
      <c r="A14" s="4">
        <f t="shared" ref="A14:A17" si="0">A13+1</f>
        <v>3</v>
      </c>
      <c r="B14" s="285"/>
      <c r="C14" s="94">
        <v>0</v>
      </c>
      <c r="D14" s="94">
        <v>0</v>
      </c>
      <c r="E14" s="94">
        <v>0</v>
      </c>
      <c r="F14" s="285"/>
      <c r="G14" s="4">
        <f t="shared" ref="G14:G17" si="1">G13+1</f>
        <v>3</v>
      </c>
    </row>
    <row r="15" spans="1:8" x14ac:dyDescent="0.25">
      <c r="A15" s="4">
        <f t="shared" si="0"/>
        <v>4</v>
      </c>
      <c r="B15" s="278"/>
      <c r="C15" s="60"/>
      <c r="D15" s="60"/>
      <c r="E15" s="60"/>
      <c r="F15" s="354"/>
      <c r="G15" s="4">
        <f t="shared" si="1"/>
        <v>4</v>
      </c>
    </row>
    <row r="16" spans="1:8" x14ac:dyDescent="0.25">
      <c r="A16" s="4">
        <f t="shared" si="0"/>
        <v>5</v>
      </c>
      <c r="B16" s="278" t="s">
        <v>177</v>
      </c>
      <c r="C16" s="55">
        <f>SUM(C12:C14)</f>
        <v>0</v>
      </c>
      <c r="D16" s="55">
        <f>SUM(D12:D14)</f>
        <v>0</v>
      </c>
      <c r="E16" s="55">
        <f>SUM(E12:E14)</f>
        <v>0</v>
      </c>
      <c r="F16" s="570" t="s">
        <v>454</v>
      </c>
      <c r="G16" s="4">
        <f t="shared" si="1"/>
        <v>5</v>
      </c>
    </row>
    <row r="17" spans="1:7" x14ac:dyDescent="0.25">
      <c r="A17" s="4">
        <f t="shared" si="0"/>
        <v>6</v>
      </c>
      <c r="B17" s="117"/>
      <c r="C17" s="56"/>
      <c r="D17" s="56"/>
      <c r="E17" s="56"/>
      <c r="F17" s="67"/>
      <c r="G17" s="4">
        <f t="shared" si="1"/>
        <v>6</v>
      </c>
    </row>
    <row r="18" spans="1:7" x14ac:dyDescent="0.25">
      <c r="A18" s="4"/>
      <c r="C18" s="43"/>
      <c r="D18" s="43"/>
      <c r="E18" s="43"/>
      <c r="F18" s="43"/>
      <c r="G18" s="4"/>
    </row>
    <row r="19" spans="1:7" x14ac:dyDescent="0.25">
      <c r="A19" s="4"/>
      <c r="C19" s="43"/>
      <c r="D19" s="43"/>
      <c r="E19" s="43"/>
      <c r="F19" s="43"/>
    </row>
    <row r="20" spans="1:7" ht="18.75" x14ac:dyDescent="0.25">
      <c r="A20" s="266"/>
      <c r="B20" s="355"/>
      <c r="C20" s="43"/>
      <c r="D20" s="43"/>
      <c r="E20" s="43"/>
      <c r="F20" s="43"/>
    </row>
    <row r="21" spans="1:7" x14ac:dyDescent="0.25">
      <c r="C21" s="43"/>
      <c r="D21" s="43"/>
      <c r="E21" s="43"/>
      <c r="F21" s="43"/>
    </row>
    <row r="22" spans="1:7" x14ac:dyDescent="0.25">
      <c r="B22" s="293"/>
      <c r="C22" s="356"/>
      <c r="D22" s="356"/>
      <c r="E22" s="356"/>
      <c r="F22" s="282"/>
      <c r="G22" s="580"/>
    </row>
    <row r="23" spans="1:7" x14ac:dyDescent="0.25">
      <c r="B23" s="31"/>
      <c r="C23" s="282"/>
      <c r="D23" s="1"/>
      <c r="F23" s="282"/>
      <c r="G23" s="580"/>
    </row>
    <row r="24" spans="1:7" x14ac:dyDescent="0.25">
      <c r="C24" s="282"/>
      <c r="D24" s="282"/>
      <c r="E24" s="282"/>
      <c r="F24" s="282"/>
      <c r="G24" s="580"/>
    </row>
    <row r="25" spans="1:7" x14ac:dyDescent="0.25">
      <c r="C25" s="281"/>
      <c r="D25" s="281"/>
      <c r="E25" s="281"/>
      <c r="F25" s="281"/>
      <c r="G25" s="580"/>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55"/>
  <sheetViews>
    <sheetView zoomScale="80" zoomScaleNormal="80" workbookViewId="0">
      <selection activeCell="D61" sqref="D61"/>
    </sheetView>
  </sheetViews>
  <sheetFormatPr defaultColWidth="8.7109375" defaultRowHeight="15.75" x14ac:dyDescent="0.25"/>
  <cols>
    <col min="1" max="1" width="5.28515625" style="4" bestFit="1" customWidth="1"/>
    <col min="2" max="2" width="78.42578125" style="31" customWidth="1"/>
    <col min="3" max="3" width="21.28515625" style="31" customWidth="1"/>
    <col min="4" max="4" width="1.5703125" style="31" customWidth="1"/>
    <col min="5" max="5" width="16.7109375" style="31" customWidth="1"/>
    <col min="6" max="6" width="1.5703125" style="31" customWidth="1"/>
    <col min="7" max="7" width="48.5703125" style="31" bestFit="1" customWidth="1"/>
    <col min="8" max="9" width="5.28515625" style="31" customWidth="1"/>
    <col min="10" max="10" width="20.42578125" style="31" bestFit="1" customWidth="1"/>
    <col min="11" max="15" width="8.7109375" style="31"/>
    <col min="16" max="16" width="68.140625" style="31" customWidth="1"/>
    <col min="17" max="16384" width="8.7109375" style="31"/>
  </cols>
  <sheetData>
    <row r="1" spans="1:12" x14ac:dyDescent="0.25">
      <c r="G1" s="4"/>
      <c r="H1" s="4"/>
    </row>
    <row r="2" spans="1:12" x14ac:dyDescent="0.25">
      <c r="B2" s="1294" t="s">
        <v>0</v>
      </c>
      <c r="C2" s="1294"/>
      <c r="D2" s="1294"/>
      <c r="E2" s="1294"/>
      <c r="F2" s="1294"/>
      <c r="G2" s="1294"/>
      <c r="H2" s="4"/>
    </row>
    <row r="3" spans="1:12" x14ac:dyDescent="0.25">
      <c r="B3" s="1294" t="s">
        <v>455</v>
      </c>
      <c r="C3" s="1294"/>
      <c r="D3" s="1294"/>
      <c r="E3" s="1294"/>
      <c r="F3" s="1294"/>
      <c r="G3" s="1294"/>
      <c r="H3" s="4"/>
    </row>
    <row r="4" spans="1:12" x14ac:dyDescent="0.25">
      <c r="B4" s="1294" t="s">
        <v>456</v>
      </c>
      <c r="C4" s="1294"/>
      <c r="D4" s="1294"/>
      <c r="E4" s="1294"/>
      <c r="F4" s="1294"/>
      <c r="G4" s="1294"/>
      <c r="H4" s="4"/>
    </row>
    <row r="5" spans="1:12" x14ac:dyDescent="0.25">
      <c r="B5" s="1300" t="str">
        <f>'Stmt AD'!B5</f>
        <v>Base Period &amp; True-Up Period 12 - Months Ending December 31, 2023</v>
      </c>
      <c r="C5" s="1300"/>
      <c r="D5" s="1300"/>
      <c r="E5" s="1300"/>
      <c r="F5" s="1300"/>
      <c r="G5" s="1300"/>
      <c r="H5" s="4"/>
      <c r="J5"/>
      <c r="K5"/>
      <c r="L5"/>
    </row>
    <row r="6" spans="1:12" x14ac:dyDescent="0.25">
      <c r="B6" s="1299" t="s">
        <v>4</v>
      </c>
      <c r="C6" s="1295"/>
      <c r="D6" s="1295"/>
      <c r="E6" s="1295"/>
      <c r="F6" s="1295"/>
      <c r="G6" s="1295"/>
      <c r="H6" s="4"/>
    </row>
    <row r="7" spans="1:12" x14ac:dyDescent="0.25">
      <c r="B7" s="4"/>
      <c r="C7" s="4"/>
      <c r="D7" s="4"/>
      <c r="E7" s="11"/>
      <c r="F7" s="11"/>
      <c r="G7" s="4"/>
      <c r="H7" s="4"/>
    </row>
    <row r="8" spans="1:12" x14ac:dyDescent="0.25">
      <c r="A8" s="4" t="s">
        <v>5</v>
      </c>
      <c r="B8" s="218"/>
      <c r="C8" s="4" t="s">
        <v>205</v>
      </c>
      <c r="D8" s="218"/>
      <c r="E8" s="357"/>
      <c r="F8" s="357"/>
      <c r="G8" s="4"/>
      <c r="H8" s="4" t="s">
        <v>5</v>
      </c>
    </row>
    <row r="9" spans="1:12" x14ac:dyDescent="0.25">
      <c r="A9" s="4" t="s">
        <v>6</v>
      </c>
      <c r="C9" s="849" t="s">
        <v>207</v>
      </c>
      <c r="D9" s="218"/>
      <c r="E9" s="850" t="s">
        <v>7</v>
      </c>
      <c r="F9" s="357"/>
      <c r="G9" s="849" t="s">
        <v>8</v>
      </c>
      <c r="H9" s="4" t="s">
        <v>6</v>
      </c>
    </row>
    <row r="10" spans="1:12" x14ac:dyDescent="0.25">
      <c r="C10" s="218"/>
      <c r="D10" s="218"/>
      <c r="E10" s="357"/>
      <c r="F10" s="357"/>
      <c r="G10" s="4"/>
      <c r="H10" s="4"/>
    </row>
    <row r="11" spans="1:12" x14ac:dyDescent="0.25">
      <c r="A11" s="4">
        <v>1</v>
      </c>
      <c r="B11" s="251" t="s">
        <v>457</v>
      </c>
      <c r="G11" s="4"/>
      <c r="H11" s="4">
        <f>A11</f>
        <v>1</v>
      </c>
    </row>
    <row r="12" spans="1:12" x14ac:dyDescent="0.25">
      <c r="A12" s="4">
        <f>+A11+1</f>
        <v>2</v>
      </c>
      <c r="B12" s="31" t="s">
        <v>458</v>
      </c>
      <c r="C12" s="4" t="s">
        <v>459</v>
      </c>
      <c r="E12" s="40">
        <f>'AH-1'!D43</f>
        <v>124467.228</v>
      </c>
      <c r="G12" s="4" t="s">
        <v>460</v>
      </c>
      <c r="H12" s="4">
        <f>+H11+1</f>
        <v>2</v>
      </c>
    </row>
    <row r="13" spans="1:12" x14ac:dyDescent="0.25">
      <c r="A13" s="4">
        <f t="shared" ref="A13:A51" si="0">+A12+1</f>
        <v>3</v>
      </c>
      <c r="B13" s="32" t="s">
        <v>1550</v>
      </c>
      <c r="E13" s="1107">
        <f>-'AH-1'!E43</f>
        <v>-14354.477750000002</v>
      </c>
      <c r="G13" s="4" t="s">
        <v>1543</v>
      </c>
      <c r="H13" s="4">
        <f t="shared" ref="H13:H51" si="1">+H12+1</f>
        <v>3</v>
      </c>
      <c r="K13" s="277"/>
    </row>
    <row r="14" spans="1:12" x14ac:dyDescent="0.25">
      <c r="A14" s="623">
        <f t="shared" si="0"/>
        <v>4</v>
      </c>
      <c r="B14" s="32" t="s">
        <v>1976</v>
      </c>
      <c r="C14" s="194"/>
      <c r="D14" s="194"/>
      <c r="E14" s="1107">
        <f>-'AH-1'!F72</f>
        <v>-1926.4247160480299</v>
      </c>
      <c r="F14" s="194"/>
      <c r="G14" s="4" t="s">
        <v>2049</v>
      </c>
      <c r="H14" s="623">
        <f t="shared" si="1"/>
        <v>4</v>
      </c>
      <c r="J14" s="277"/>
      <c r="K14" s="277"/>
    </row>
    <row r="15" spans="1:12" ht="16.5" thickBot="1" x14ac:dyDescent="0.3">
      <c r="A15" s="4">
        <f t="shared" si="0"/>
        <v>5</v>
      </c>
      <c r="B15" s="31" t="s">
        <v>461</v>
      </c>
      <c r="E15" s="96">
        <f>SUM(E12:E14)</f>
        <v>108186.32553395197</v>
      </c>
      <c r="G15" s="4" t="s">
        <v>1552</v>
      </c>
      <c r="H15" s="4">
        <f t="shared" si="1"/>
        <v>5</v>
      </c>
      <c r="I15" s="358"/>
    </row>
    <row r="16" spans="1:12" ht="16.5" thickTop="1" x14ac:dyDescent="0.25">
      <c r="A16" s="4">
        <f t="shared" si="0"/>
        <v>6</v>
      </c>
      <c r="E16" s="6"/>
      <c r="H16" s="4">
        <f t="shared" si="1"/>
        <v>6</v>
      </c>
      <c r="I16" s="358"/>
    </row>
    <row r="17" spans="1:16" x14ac:dyDescent="0.25">
      <c r="A17" s="4">
        <f t="shared" si="0"/>
        <v>7</v>
      </c>
      <c r="B17" s="250" t="s">
        <v>462</v>
      </c>
      <c r="E17" s="38"/>
      <c r="G17" s="4"/>
      <c r="H17" s="4">
        <f t="shared" si="1"/>
        <v>7</v>
      </c>
      <c r="I17" s="358"/>
    </row>
    <row r="18" spans="1:16" x14ac:dyDescent="0.25">
      <c r="A18" s="4">
        <f t="shared" si="0"/>
        <v>8</v>
      </c>
      <c r="B18" s="32" t="s">
        <v>463</v>
      </c>
      <c r="C18" s="4" t="s">
        <v>464</v>
      </c>
      <c r="E18" s="40">
        <f>'AH-2'!D26</f>
        <v>626994.16997000016</v>
      </c>
      <c r="G18" s="4" t="s">
        <v>465</v>
      </c>
      <c r="H18" s="4">
        <f t="shared" si="1"/>
        <v>8</v>
      </c>
      <c r="I18" s="358"/>
    </row>
    <row r="19" spans="1:16" ht="31.5" x14ac:dyDescent="0.25">
      <c r="A19" s="4">
        <f t="shared" si="0"/>
        <v>9</v>
      </c>
      <c r="B19" s="32" t="s">
        <v>1553</v>
      </c>
      <c r="E19" s="42">
        <f>-'AH-2'!E26+'AH-2'!D38</f>
        <v>-135055.11508318994</v>
      </c>
      <c r="G19" s="91" t="s">
        <v>1981</v>
      </c>
      <c r="H19" s="4">
        <f t="shared" si="1"/>
        <v>9</v>
      </c>
      <c r="I19" s="358"/>
      <c r="K19" s="277"/>
      <c r="P19" s="91"/>
    </row>
    <row r="20" spans="1:16" ht="18.75" x14ac:dyDescent="0.25">
      <c r="A20" s="4">
        <f t="shared" si="0"/>
        <v>10</v>
      </c>
      <c r="B20" s="32" t="s">
        <v>1554</v>
      </c>
      <c r="E20" s="42">
        <f>-'AH-2'!D38</f>
        <v>0</v>
      </c>
      <c r="G20" s="4" t="s">
        <v>1979</v>
      </c>
      <c r="H20" s="4">
        <f t="shared" si="1"/>
        <v>10</v>
      </c>
      <c r="I20" s="358"/>
      <c r="J20" s="35"/>
    </row>
    <row r="21" spans="1:16" x14ac:dyDescent="0.25">
      <c r="A21" s="4">
        <f t="shared" si="0"/>
        <v>11</v>
      </c>
      <c r="B21" s="32"/>
      <c r="E21" s="925"/>
      <c r="G21" s="44"/>
      <c r="H21" s="4">
        <f t="shared" si="1"/>
        <v>11</v>
      </c>
      <c r="I21" s="358"/>
      <c r="J21" s="277"/>
      <c r="K21" s="277"/>
    </row>
    <row r="22" spans="1:16" x14ac:dyDescent="0.25">
      <c r="A22" s="4">
        <f t="shared" si="0"/>
        <v>12</v>
      </c>
      <c r="B22" s="32" t="s">
        <v>466</v>
      </c>
      <c r="E22" s="48">
        <f>SUM(E18:E20)</f>
        <v>491939.05488681025</v>
      </c>
      <c r="G22" s="4" t="s">
        <v>2006</v>
      </c>
      <c r="H22" s="4">
        <f t="shared" si="1"/>
        <v>12</v>
      </c>
      <c r="I22" s="358"/>
    </row>
    <row r="23" spans="1:16" x14ac:dyDescent="0.25">
      <c r="A23" s="4">
        <f t="shared" si="0"/>
        <v>13</v>
      </c>
      <c r="B23" s="32" t="s">
        <v>467</v>
      </c>
      <c r="E23" s="38">
        <f>-'AH-2'!F15</f>
        <v>-10584.239569999998</v>
      </c>
      <c r="G23" s="4" t="s">
        <v>468</v>
      </c>
      <c r="H23" s="4">
        <f t="shared" si="1"/>
        <v>13</v>
      </c>
      <c r="I23" s="358"/>
    </row>
    <row r="24" spans="1:16" x14ac:dyDescent="0.25">
      <c r="A24" s="4">
        <f t="shared" si="0"/>
        <v>14</v>
      </c>
      <c r="B24" s="32" t="s">
        <v>1771</v>
      </c>
      <c r="E24" s="925">
        <f>-'AH-2'!F16</f>
        <v>-212785.35694168002</v>
      </c>
      <c r="G24" s="4" t="s">
        <v>1772</v>
      </c>
      <c r="H24" s="4">
        <f t="shared" si="1"/>
        <v>14</v>
      </c>
      <c r="I24" s="358"/>
    </row>
    <row r="25" spans="1:16" x14ac:dyDescent="0.25">
      <c r="A25" s="4">
        <f t="shared" si="0"/>
        <v>15</v>
      </c>
      <c r="B25" s="32" t="s">
        <v>469</v>
      </c>
      <c r="E25" s="48">
        <f>SUM(E22:E24)</f>
        <v>268569.45837513026</v>
      </c>
      <c r="G25" s="4" t="s">
        <v>844</v>
      </c>
      <c r="H25" s="4">
        <f t="shared" si="1"/>
        <v>15</v>
      </c>
      <c r="I25" s="358"/>
      <c r="K25" s="277"/>
    </row>
    <row r="26" spans="1:16" x14ac:dyDescent="0.25">
      <c r="A26" s="4">
        <f t="shared" si="0"/>
        <v>16</v>
      </c>
      <c r="B26" s="31" t="s">
        <v>233</v>
      </c>
      <c r="E26" s="926">
        <f>IFERROR('Stmt AI'!E25,0)</f>
        <v>0.19653045567590263</v>
      </c>
      <c r="G26" s="4" t="s">
        <v>234</v>
      </c>
      <c r="H26" s="4">
        <f t="shared" si="1"/>
        <v>16</v>
      </c>
      <c r="I26" s="358"/>
      <c r="K26" s="277"/>
    </row>
    <row r="27" spans="1:16" x14ac:dyDescent="0.25">
      <c r="A27" s="4">
        <f t="shared" si="0"/>
        <v>17</v>
      </c>
      <c r="B27" s="32" t="s">
        <v>470</v>
      </c>
      <c r="E27" s="911">
        <f>E25*E26</f>
        <v>52782.078035094717</v>
      </c>
      <c r="G27" s="4" t="s">
        <v>1773</v>
      </c>
      <c r="H27" s="4">
        <f t="shared" si="1"/>
        <v>17</v>
      </c>
      <c r="I27" s="358"/>
    </row>
    <row r="28" spans="1:16" x14ac:dyDescent="0.25">
      <c r="A28" s="4">
        <f t="shared" si="0"/>
        <v>18</v>
      </c>
      <c r="B28" s="31" t="s">
        <v>471</v>
      </c>
      <c r="E28" s="38">
        <f>E49*(-E23)</f>
        <v>4097.1302672396932</v>
      </c>
      <c r="G28" s="4" t="s">
        <v>1856</v>
      </c>
      <c r="H28" s="4">
        <f t="shared" si="1"/>
        <v>18</v>
      </c>
      <c r="I28" s="358"/>
    </row>
    <row r="29" spans="1:16" x14ac:dyDescent="0.25">
      <c r="A29" s="4">
        <f t="shared" si="0"/>
        <v>19</v>
      </c>
      <c r="B29" s="31" t="s">
        <v>1774</v>
      </c>
      <c r="E29" s="925">
        <f>-E24*E51</f>
        <v>49884.721251980809</v>
      </c>
      <c r="G29" s="91" t="s">
        <v>1858</v>
      </c>
      <c r="H29" s="4">
        <f t="shared" si="1"/>
        <v>19</v>
      </c>
      <c r="I29" s="358"/>
      <c r="K29" s="277"/>
    </row>
    <row r="30" spans="1:16" ht="16.5" thickBot="1" x14ac:dyDescent="0.3">
      <c r="A30" s="4">
        <f t="shared" si="0"/>
        <v>20</v>
      </c>
      <c r="B30" s="32" t="s">
        <v>472</v>
      </c>
      <c r="E30" s="24">
        <f>SUM(E27:E29)</f>
        <v>106763.92955431523</v>
      </c>
      <c r="G30" s="4" t="s">
        <v>1775</v>
      </c>
      <c r="H30" s="4">
        <f t="shared" si="1"/>
        <v>20</v>
      </c>
      <c r="I30" s="358"/>
    </row>
    <row r="31" spans="1:16" ht="16.5" thickTop="1" x14ac:dyDescent="0.25">
      <c r="A31" s="4">
        <f t="shared" si="0"/>
        <v>21</v>
      </c>
      <c r="B31" s="340"/>
      <c r="E31" s="10"/>
      <c r="G31" s="4"/>
      <c r="H31" s="4">
        <f t="shared" si="1"/>
        <v>21</v>
      </c>
      <c r="I31" s="358"/>
    </row>
    <row r="32" spans="1:16" x14ac:dyDescent="0.25">
      <c r="A32" s="4">
        <f t="shared" si="0"/>
        <v>22</v>
      </c>
      <c r="B32" s="250" t="s">
        <v>473</v>
      </c>
      <c r="E32" s="49"/>
      <c r="G32" s="4"/>
      <c r="H32" s="4">
        <f t="shared" si="1"/>
        <v>22</v>
      </c>
      <c r="I32" s="358"/>
    </row>
    <row r="33" spans="1:11" x14ac:dyDescent="0.25">
      <c r="A33" s="4">
        <f t="shared" si="0"/>
        <v>23</v>
      </c>
      <c r="B33" s="32" t="s">
        <v>474</v>
      </c>
      <c r="E33" s="7">
        <f>'Stmt AD'!I35</f>
        <v>7990057.3968355898</v>
      </c>
      <c r="G33" s="4" t="s">
        <v>475</v>
      </c>
      <c r="H33" s="4">
        <f t="shared" si="1"/>
        <v>23</v>
      </c>
      <c r="I33" s="358"/>
    </row>
    <row r="34" spans="1:11" x14ac:dyDescent="0.25">
      <c r="A34" s="4">
        <f t="shared" si="0"/>
        <v>24</v>
      </c>
      <c r="B34" s="32" t="s">
        <v>58</v>
      </c>
      <c r="E34" s="95">
        <v>0</v>
      </c>
      <c r="G34" s="4" t="s">
        <v>44</v>
      </c>
      <c r="H34" s="4">
        <f t="shared" si="1"/>
        <v>24</v>
      </c>
      <c r="I34" s="358"/>
    </row>
    <row r="35" spans="1:11" x14ac:dyDescent="0.25">
      <c r="A35" s="4">
        <f t="shared" si="0"/>
        <v>25</v>
      </c>
      <c r="B35" s="32" t="s">
        <v>60</v>
      </c>
      <c r="E35" s="9">
        <f>'Stmt AD'!I39</f>
        <v>116603.02515903773</v>
      </c>
      <c r="G35" s="4" t="s">
        <v>115</v>
      </c>
      <c r="H35" s="4">
        <f t="shared" si="1"/>
        <v>25</v>
      </c>
      <c r="I35" s="358"/>
      <c r="K35" s="277"/>
    </row>
    <row r="36" spans="1:11" x14ac:dyDescent="0.25">
      <c r="A36" s="4">
        <f t="shared" si="0"/>
        <v>26</v>
      </c>
      <c r="B36" s="32" t="s">
        <v>239</v>
      </c>
      <c r="E36" s="842">
        <f>'Stmt AD'!I41</f>
        <v>330920.32543917262</v>
      </c>
      <c r="G36" s="4" t="s">
        <v>116</v>
      </c>
      <c r="H36" s="4">
        <f t="shared" si="1"/>
        <v>26</v>
      </c>
      <c r="I36" s="358"/>
      <c r="K36" s="277"/>
    </row>
    <row r="37" spans="1:11" ht="16.5" thickBot="1" x14ac:dyDescent="0.3">
      <c r="A37" s="4">
        <f t="shared" si="0"/>
        <v>27</v>
      </c>
      <c r="B37" s="32" t="s">
        <v>476</v>
      </c>
      <c r="E37" s="17">
        <f>SUM(E33:E36)</f>
        <v>8437580.7474338003</v>
      </c>
      <c r="G37" s="4" t="s">
        <v>1778</v>
      </c>
      <c r="H37" s="4">
        <f t="shared" si="1"/>
        <v>27</v>
      </c>
      <c r="I37" s="358"/>
    </row>
    <row r="38" spans="1:11" ht="16.5" thickTop="1" x14ac:dyDescent="0.25">
      <c r="A38" s="4">
        <f t="shared" si="0"/>
        <v>28</v>
      </c>
      <c r="B38" s="340"/>
      <c r="E38" s="6"/>
      <c r="G38" s="4"/>
      <c r="H38" s="4">
        <f t="shared" si="1"/>
        <v>28</v>
      </c>
      <c r="I38" s="358"/>
    </row>
    <row r="39" spans="1:11" x14ac:dyDescent="0.25">
      <c r="A39" s="4">
        <f t="shared" si="0"/>
        <v>29</v>
      </c>
      <c r="B39" s="32" t="s">
        <v>235</v>
      </c>
      <c r="E39" s="35">
        <f>E33</f>
        <v>7990057.3968355898</v>
      </c>
      <c r="G39" s="46" t="s">
        <v>1779</v>
      </c>
      <c r="H39" s="4">
        <f t="shared" si="1"/>
        <v>29</v>
      </c>
      <c r="I39" s="358"/>
    </row>
    <row r="40" spans="1:11" x14ac:dyDescent="0.25">
      <c r="A40" s="4">
        <f t="shared" si="0"/>
        <v>30</v>
      </c>
      <c r="B40" s="32" t="s">
        <v>477</v>
      </c>
      <c r="E40" s="12">
        <f>'Stmt AD'!I11</f>
        <v>584038.95358923054</v>
      </c>
      <c r="G40" s="4" t="s">
        <v>478</v>
      </c>
      <c r="H40" s="4">
        <f t="shared" si="1"/>
        <v>30</v>
      </c>
      <c r="I40" s="358"/>
    </row>
    <row r="41" spans="1:11" x14ac:dyDescent="0.25">
      <c r="A41" s="4">
        <f t="shared" si="0"/>
        <v>31</v>
      </c>
      <c r="B41" s="32" t="s">
        <v>479</v>
      </c>
      <c r="E41" s="95">
        <v>0</v>
      </c>
      <c r="G41" s="4" t="s">
        <v>44</v>
      </c>
      <c r="H41" s="4">
        <f t="shared" si="1"/>
        <v>31</v>
      </c>
      <c r="I41" s="358"/>
    </row>
    <row r="42" spans="1:11" x14ac:dyDescent="0.25">
      <c r="A42" s="4">
        <f t="shared" si="0"/>
        <v>32</v>
      </c>
      <c r="B42" s="32" t="s">
        <v>480</v>
      </c>
      <c r="E42" s="12">
        <f>'Stmt AD'!I17</f>
        <v>554696.24298076914</v>
      </c>
      <c r="G42" s="4" t="s">
        <v>481</v>
      </c>
      <c r="H42" s="4">
        <f t="shared" si="1"/>
        <v>32</v>
      </c>
      <c r="I42" s="358"/>
    </row>
    <row r="43" spans="1:11" x14ac:dyDescent="0.25">
      <c r="A43" s="4">
        <f t="shared" si="0"/>
        <v>33</v>
      </c>
      <c r="B43" s="32" t="s">
        <v>482</v>
      </c>
      <c r="E43" s="12">
        <f>'Stmt AD'!I19</f>
        <v>10391143.364777103</v>
      </c>
      <c r="G43" s="4" t="s">
        <v>483</v>
      </c>
      <c r="H43" s="4">
        <f t="shared" si="1"/>
        <v>33</v>
      </c>
      <c r="I43" s="358"/>
    </row>
    <row r="44" spans="1:11" x14ac:dyDescent="0.25">
      <c r="A44" s="4">
        <f t="shared" si="0"/>
        <v>34</v>
      </c>
      <c r="B44" s="32" t="s">
        <v>58</v>
      </c>
      <c r="E44" s="95">
        <v>0</v>
      </c>
      <c r="G44" s="4" t="s">
        <v>44</v>
      </c>
      <c r="H44" s="4">
        <f t="shared" si="1"/>
        <v>34</v>
      </c>
      <c r="I44" s="358"/>
    </row>
    <row r="45" spans="1:11" x14ac:dyDescent="0.25">
      <c r="A45" s="4">
        <f t="shared" si="0"/>
        <v>35</v>
      </c>
      <c r="B45" s="32" t="s">
        <v>484</v>
      </c>
      <c r="E45" s="12">
        <f>'Stmt AD'!I27</f>
        <v>593307.66194999916</v>
      </c>
      <c r="G45" s="4" t="s">
        <v>485</v>
      </c>
      <c r="H45" s="4">
        <f t="shared" si="1"/>
        <v>35</v>
      </c>
      <c r="I45" s="358"/>
    </row>
    <row r="46" spans="1:11" x14ac:dyDescent="0.25">
      <c r="A46" s="4">
        <f t="shared" si="0"/>
        <v>36</v>
      </c>
      <c r="B46" s="32" t="s">
        <v>486</v>
      </c>
      <c r="E46" s="983">
        <f>'Stmt AD'!I29</f>
        <v>1683811.9277802501</v>
      </c>
      <c r="G46" s="4" t="s">
        <v>487</v>
      </c>
      <c r="H46" s="4">
        <f t="shared" si="1"/>
        <v>36</v>
      </c>
      <c r="I46" s="358"/>
    </row>
    <row r="47" spans="1:11" ht="16.5" thickBot="1" x14ac:dyDescent="0.3">
      <c r="A47" s="4">
        <f t="shared" si="0"/>
        <v>37</v>
      </c>
      <c r="B47" s="32" t="s">
        <v>488</v>
      </c>
      <c r="E47" s="96">
        <f>SUM(E39:E46)</f>
        <v>21797055.54791294</v>
      </c>
      <c r="G47" s="4" t="s">
        <v>1780</v>
      </c>
      <c r="H47" s="4">
        <f t="shared" si="1"/>
        <v>37</v>
      </c>
      <c r="I47" s="358"/>
    </row>
    <row r="48" spans="1:11" ht="16.5" thickTop="1" x14ac:dyDescent="0.25">
      <c r="A48" s="4">
        <f t="shared" si="0"/>
        <v>38</v>
      </c>
      <c r="E48" s="70"/>
      <c r="G48" s="4"/>
      <c r="H48" s="4">
        <f t="shared" si="1"/>
        <v>38</v>
      </c>
      <c r="I48" s="358"/>
    </row>
    <row r="49" spans="1:11" ht="16.5" thickBot="1" x14ac:dyDescent="0.3">
      <c r="A49" s="4">
        <f t="shared" si="0"/>
        <v>39</v>
      </c>
      <c r="B49" s="32" t="s">
        <v>489</v>
      </c>
      <c r="E49" s="51">
        <f>IFERROR(E37/E47,0)</f>
        <v>0.38709727233051416</v>
      </c>
      <c r="G49" s="4" t="s">
        <v>1781</v>
      </c>
      <c r="H49" s="4">
        <f t="shared" si="1"/>
        <v>39</v>
      </c>
      <c r="I49" s="358"/>
      <c r="K49" s="277"/>
    </row>
    <row r="50" spans="1:11" ht="16.5" thickTop="1" x14ac:dyDescent="0.25">
      <c r="A50" s="4">
        <f t="shared" si="0"/>
        <v>40</v>
      </c>
      <c r="B50" s="32"/>
      <c r="E50" s="27"/>
      <c r="G50" s="4"/>
      <c r="H50" s="4">
        <f t="shared" si="1"/>
        <v>40</v>
      </c>
      <c r="I50" s="358"/>
    </row>
    <row r="51" spans="1:11" ht="16.5" thickBot="1" x14ac:dyDescent="0.3">
      <c r="A51" s="4">
        <f t="shared" si="0"/>
        <v>41</v>
      </c>
      <c r="B51" s="32" t="s">
        <v>1857</v>
      </c>
      <c r="C51" s="255"/>
      <c r="D51" s="255"/>
      <c r="E51" s="51">
        <f>((0.8*E26)+(0.2*'Stmt AD'!I45))</f>
        <v>0.23443681449214177</v>
      </c>
      <c r="F51" s="255"/>
      <c r="G51" s="4" t="s">
        <v>1980</v>
      </c>
      <c r="H51" s="4">
        <f t="shared" si="1"/>
        <v>41</v>
      </c>
      <c r="I51" s="358"/>
      <c r="J51" s="277"/>
      <c r="K51" s="277"/>
    </row>
    <row r="52" spans="1:11" ht="16.5" thickTop="1" x14ac:dyDescent="0.25">
      <c r="B52" s="32" t="s">
        <v>1</v>
      </c>
      <c r="E52" s="75"/>
      <c r="G52" s="4"/>
      <c r="H52" s="4"/>
    </row>
    <row r="53" spans="1:11" x14ac:dyDescent="0.25">
      <c r="B53" s="32"/>
      <c r="E53" s="75"/>
      <c r="F53" s="75"/>
      <c r="G53" s="4"/>
      <c r="H53" s="4"/>
    </row>
    <row r="54" spans="1:11" ht="18.75" x14ac:dyDescent="0.25">
      <c r="A54" s="266">
        <v>1</v>
      </c>
      <c r="B54" s="342" t="s">
        <v>2112</v>
      </c>
      <c r="H54" s="4"/>
    </row>
    <row r="55" spans="1:11" ht="18.75" x14ac:dyDescent="0.25">
      <c r="B55" s="342" t="s">
        <v>2113</v>
      </c>
      <c r="E55" s="70"/>
      <c r="F55" s="70"/>
      <c r="G55" s="4"/>
      <c r="H55" s="4"/>
    </row>
  </sheetData>
  <mergeCells count="5">
    <mergeCell ref="B2:G2"/>
    <mergeCell ref="B3:G3"/>
    <mergeCell ref="B4:G4"/>
    <mergeCell ref="B5:G5"/>
    <mergeCell ref="B6:G6"/>
  </mergeCells>
  <printOptions horizontalCentered="1"/>
  <pageMargins left="0.5" right="0.5" top="0.5" bottom="0.5" header="0.25" footer="0.25"/>
  <pageSetup scale="53"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21"/>
  <sheetViews>
    <sheetView workbookViewId="0">
      <selection activeCell="G47" sqref="G47"/>
    </sheetView>
  </sheetViews>
  <sheetFormatPr defaultColWidth="13.42578125" defaultRowHeight="15.75" x14ac:dyDescent="0.25"/>
  <cols>
    <col min="1" max="1" width="5.28515625" style="4" customWidth="1"/>
    <col min="2" max="2" width="8.5703125" style="360"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8"/>
    </row>
    <row r="2" spans="1:11" s="1" customFormat="1" x14ac:dyDescent="0.25">
      <c r="A2" s="218"/>
      <c r="B2" s="1294" t="s">
        <v>0</v>
      </c>
      <c r="C2" s="1294"/>
      <c r="D2" s="1294"/>
      <c r="E2" s="1294"/>
      <c r="F2" s="1294"/>
      <c r="G2" s="1294"/>
      <c r="H2" s="218"/>
      <c r="J2"/>
      <c r="K2"/>
    </row>
    <row r="3" spans="1:11" s="1" customFormat="1" x14ac:dyDescent="0.25">
      <c r="A3" s="218"/>
      <c r="B3" s="1294" t="s">
        <v>492</v>
      </c>
      <c r="C3" s="1294"/>
      <c r="D3" s="1294"/>
      <c r="E3" s="1294"/>
      <c r="F3" s="1294"/>
      <c r="G3" s="1294"/>
      <c r="H3" s="218"/>
    </row>
    <row r="4" spans="1:11" s="1" customFormat="1" x14ac:dyDescent="0.25">
      <c r="A4" s="218"/>
      <c r="B4" s="1294" t="s">
        <v>1551</v>
      </c>
      <c r="C4" s="1294"/>
      <c r="D4" s="1294"/>
      <c r="E4" s="1294"/>
      <c r="F4" s="1294"/>
      <c r="G4" s="1294"/>
      <c r="H4" s="218"/>
      <c r="J4"/>
      <c r="K4"/>
    </row>
    <row r="5" spans="1:11" s="1" customFormat="1" x14ac:dyDescent="0.25">
      <c r="A5" s="218"/>
      <c r="B5" s="1299" t="s">
        <v>4</v>
      </c>
      <c r="C5" s="1299"/>
      <c r="D5" s="1299"/>
      <c r="E5" s="1299"/>
      <c r="F5" s="1299"/>
      <c r="G5" s="1299"/>
      <c r="H5" s="218"/>
    </row>
    <row r="6" spans="1:11" ht="16.5" thickBot="1" x14ac:dyDescent="0.3">
      <c r="A6" s="34"/>
      <c r="B6" s="361"/>
      <c r="C6" s="272"/>
      <c r="D6" s="272"/>
      <c r="E6" s="362"/>
      <c r="F6" s="272"/>
      <c r="G6" s="272"/>
    </row>
    <row r="7" spans="1:11" s="1" customFormat="1" x14ac:dyDescent="0.25">
      <c r="A7" s="4"/>
      <c r="B7" s="363"/>
      <c r="C7" s="364"/>
      <c r="D7" s="365" t="s">
        <v>184</v>
      </c>
      <c r="E7" s="366" t="s">
        <v>185</v>
      </c>
      <c r="F7" s="365" t="s">
        <v>493</v>
      </c>
      <c r="G7" s="367"/>
      <c r="H7" s="4"/>
    </row>
    <row r="8" spans="1:11" s="1" customFormat="1" x14ac:dyDescent="0.25">
      <c r="A8" s="4" t="s">
        <v>5</v>
      </c>
      <c r="B8" s="368" t="s">
        <v>449</v>
      </c>
      <c r="D8" s="270" t="s">
        <v>177</v>
      </c>
      <c r="E8" s="270" t="s">
        <v>494</v>
      </c>
      <c r="F8" s="270" t="s">
        <v>177</v>
      </c>
      <c r="G8" s="369"/>
      <c r="H8" s="4" t="s">
        <v>5</v>
      </c>
    </row>
    <row r="9" spans="1:11" s="1" customFormat="1" x14ac:dyDescent="0.25">
      <c r="A9" s="4" t="s">
        <v>6</v>
      </c>
      <c r="B9" s="370" t="s">
        <v>495</v>
      </c>
      <c r="C9" s="930" t="s">
        <v>306</v>
      </c>
      <c r="D9" s="275" t="s">
        <v>496</v>
      </c>
      <c r="E9" s="275" t="s">
        <v>497</v>
      </c>
      <c r="F9" s="275" t="s">
        <v>498</v>
      </c>
      <c r="G9" s="371" t="s">
        <v>8</v>
      </c>
      <c r="H9" s="4" t="s">
        <v>6</v>
      </c>
    </row>
    <row r="10" spans="1:11" s="1" customFormat="1" x14ac:dyDescent="0.25">
      <c r="A10" s="4"/>
      <c r="B10" s="372"/>
      <c r="C10" s="373" t="s">
        <v>499</v>
      </c>
      <c r="D10" s="984"/>
      <c r="E10" s="984"/>
      <c r="F10" s="984"/>
      <c r="G10" s="374"/>
      <c r="H10" s="4"/>
      <c r="J10" s="31"/>
      <c r="K10" s="31"/>
    </row>
    <row r="11" spans="1:11" s="1" customFormat="1" x14ac:dyDescent="0.25">
      <c r="A11" s="4">
        <v>1</v>
      </c>
      <c r="B11" s="375">
        <v>560</v>
      </c>
      <c r="C11" s="31" t="s">
        <v>500</v>
      </c>
      <c r="D11" s="232">
        <v>10109.646000000001</v>
      </c>
      <c r="E11" s="232">
        <f>E47+E48+E49+E50</f>
        <v>5641.8909999999996</v>
      </c>
      <c r="F11" s="232">
        <f t="shared" ref="F11:F25" si="0">D11-E11</f>
        <v>4467.755000000001</v>
      </c>
      <c r="G11" s="376" t="s">
        <v>501</v>
      </c>
      <c r="H11" s="4">
        <f>A11</f>
        <v>1</v>
      </c>
      <c r="J11" s="31"/>
      <c r="K11" s="31"/>
    </row>
    <row r="12" spans="1:11" s="1" customFormat="1" x14ac:dyDescent="0.25">
      <c r="A12" s="4">
        <f>A11+1</f>
        <v>2</v>
      </c>
      <c r="B12" s="375">
        <v>561.1</v>
      </c>
      <c r="C12" s="31" t="s">
        <v>502</v>
      </c>
      <c r="D12" s="233">
        <v>565.95600000000002</v>
      </c>
      <c r="E12" s="233">
        <v>0</v>
      </c>
      <c r="F12" s="233">
        <f t="shared" si="0"/>
        <v>565.95600000000002</v>
      </c>
      <c r="G12" s="376" t="s">
        <v>503</v>
      </c>
      <c r="H12" s="4">
        <f>H11+1</f>
        <v>2</v>
      </c>
      <c r="J12" s="31"/>
      <c r="K12" s="31"/>
    </row>
    <row r="13" spans="1:11" s="1" customFormat="1" x14ac:dyDescent="0.25">
      <c r="A13" s="4">
        <f t="shared" ref="A13:A73" si="1">A12+1</f>
        <v>3</v>
      </c>
      <c r="B13" s="375">
        <v>561.20000000000005</v>
      </c>
      <c r="C13" s="31" t="s">
        <v>504</v>
      </c>
      <c r="D13" s="233">
        <v>1921.825</v>
      </c>
      <c r="E13" s="233">
        <v>0</v>
      </c>
      <c r="F13" s="233">
        <f t="shared" si="0"/>
        <v>1921.825</v>
      </c>
      <c r="G13" s="376" t="s">
        <v>505</v>
      </c>
      <c r="H13" s="4">
        <f t="shared" ref="H13:H73" si="2">H12+1</f>
        <v>3</v>
      </c>
      <c r="J13" s="31"/>
      <c r="K13" s="31"/>
    </row>
    <row r="14" spans="1:11" s="1" customFormat="1" x14ac:dyDescent="0.25">
      <c r="A14" s="4">
        <f t="shared" si="1"/>
        <v>4</v>
      </c>
      <c r="B14" s="375">
        <v>561.29999999999995</v>
      </c>
      <c r="C14" s="31" t="s">
        <v>506</v>
      </c>
      <c r="D14" s="233">
        <v>274.32499999999999</v>
      </c>
      <c r="E14" s="233">
        <v>0</v>
      </c>
      <c r="F14" s="233">
        <f t="shared" si="0"/>
        <v>274.32499999999999</v>
      </c>
      <c r="G14" s="376" t="s">
        <v>507</v>
      </c>
      <c r="H14" s="4">
        <f t="shared" si="2"/>
        <v>4</v>
      </c>
      <c r="J14" s="31"/>
      <c r="K14" s="31"/>
    </row>
    <row r="15" spans="1:11" s="1" customFormat="1" ht="17.25" customHeight="1" x14ac:dyDescent="0.25">
      <c r="A15" s="4">
        <f t="shared" si="1"/>
        <v>5</v>
      </c>
      <c r="B15" s="375">
        <v>561.4</v>
      </c>
      <c r="C15" s="31" t="s">
        <v>508</v>
      </c>
      <c r="D15" s="233">
        <v>2767.4720000000002</v>
      </c>
      <c r="E15" s="6">
        <f>E51</f>
        <v>2767.4720000000002</v>
      </c>
      <c r="F15" s="233">
        <f t="shared" si="0"/>
        <v>0</v>
      </c>
      <c r="G15" s="376" t="s">
        <v>509</v>
      </c>
      <c r="H15" s="4">
        <f t="shared" si="2"/>
        <v>5</v>
      </c>
      <c r="J15" s="31"/>
      <c r="K15" s="31"/>
    </row>
    <row r="16" spans="1:11" s="1" customFormat="1" x14ac:dyDescent="0.25">
      <c r="A16" s="4">
        <f t="shared" si="1"/>
        <v>6</v>
      </c>
      <c r="B16" s="375">
        <v>561.5</v>
      </c>
      <c r="C16" s="31" t="s">
        <v>510</v>
      </c>
      <c r="D16" s="233">
        <v>141.84</v>
      </c>
      <c r="E16" s="233">
        <v>0</v>
      </c>
      <c r="F16" s="233">
        <f t="shared" si="0"/>
        <v>141.84</v>
      </c>
      <c r="G16" s="376" t="s">
        <v>511</v>
      </c>
      <c r="H16" s="4">
        <f t="shared" si="2"/>
        <v>6</v>
      </c>
      <c r="J16" s="31"/>
      <c r="K16" s="31"/>
    </row>
    <row r="17" spans="1:11" s="1" customFormat="1" x14ac:dyDescent="0.25">
      <c r="A17" s="4">
        <f t="shared" si="1"/>
        <v>7</v>
      </c>
      <c r="B17" s="375">
        <v>561.6</v>
      </c>
      <c r="C17" s="31" t="s">
        <v>512</v>
      </c>
      <c r="D17" s="233">
        <v>0</v>
      </c>
      <c r="E17" s="233">
        <v>0</v>
      </c>
      <c r="F17" s="233">
        <f t="shared" si="0"/>
        <v>0</v>
      </c>
      <c r="G17" s="376" t="s">
        <v>513</v>
      </c>
      <c r="H17" s="4">
        <f t="shared" si="2"/>
        <v>7</v>
      </c>
      <c r="J17" s="31"/>
      <c r="K17" s="31"/>
    </row>
    <row r="18" spans="1:11" s="1" customFormat="1" x14ac:dyDescent="0.25">
      <c r="A18" s="4">
        <f t="shared" si="1"/>
        <v>8</v>
      </c>
      <c r="B18" s="375">
        <v>561.70000000000005</v>
      </c>
      <c r="C18" s="31" t="s">
        <v>514</v>
      </c>
      <c r="D18" s="233">
        <v>0</v>
      </c>
      <c r="E18" s="233">
        <v>0</v>
      </c>
      <c r="F18" s="233">
        <f t="shared" si="0"/>
        <v>0</v>
      </c>
      <c r="G18" s="985" t="s">
        <v>515</v>
      </c>
      <c r="H18" s="4">
        <f t="shared" si="2"/>
        <v>8</v>
      </c>
      <c r="J18" s="31"/>
      <c r="K18" s="31"/>
    </row>
    <row r="19" spans="1:11" s="1" customFormat="1" x14ac:dyDescent="0.25">
      <c r="A19" s="4">
        <f t="shared" si="1"/>
        <v>9</v>
      </c>
      <c r="B19" s="375">
        <v>561.79999999999995</v>
      </c>
      <c r="C19" s="31" t="s">
        <v>516</v>
      </c>
      <c r="D19" s="233">
        <v>2508.1060000000002</v>
      </c>
      <c r="E19" s="6">
        <f>E52</f>
        <v>1440.5550000000001</v>
      </c>
      <c r="F19" s="233">
        <f t="shared" si="0"/>
        <v>1067.5510000000002</v>
      </c>
      <c r="G19" s="985" t="s">
        <v>517</v>
      </c>
      <c r="H19" s="4">
        <f t="shared" si="2"/>
        <v>9</v>
      </c>
      <c r="J19" s="31"/>
      <c r="K19" s="31"/>
    </row>
    <row r="20" spans="1:11" s="1" customFormat="1" ht="15" customHeight="1" x14ac:dyDescent="0.25">
      <c r="A20" s="4">
        <f t="shared" si="1"/>
        <v>10</v>
      </c>
      <c r="B20" s="375">
        <v>562</v>
      </c>
      <c r="C20" s="31" t="s">
        <v>518</v>
      </c>
      <c r="D20" s="233">
        <v>12718.573</v>
      </c>
      <c r="E20" s="233">
        <v>0</v>
      </c>
      <c r="F20" s="233">
        <f t="shared" si="0"/>
        <v>12718.573</v>
      </c>
      <c r="G20" s="985" t="s">
        <v>519</v>
      </c>
      <c r="H20" s="4">
        <f t="shared" si="2"/>
        <v>10</v>
      </c>
      <c r="J20" s="31"/>
      <c r="K20" s="31"/>
    </row>
    <row r="21" spans="1:11" s="1" customFormat="1" x14ac:dyDescent="0.25">
      <c r="A21" s="4">
        <f t="shared" si="1"/>
        <v>11</v>
      </c>
      <c r="B21" s="375">
        <v>563</v>
      </c>
      <c r="C21" s="31" t="s">
        <v>520</v>
      </c>
      <c r="D21" s="233">
        <v>10371.396000000001</v>
      </c>
      <c r="E21" s="233">
        <v>0</v>
      </c>
      <c r="F21" s="233">
        <f t="shared" si="0"/>
        <v>10371.396000000001</v>
      </c>
      <c r="G21" s="985" t="s">
        <v>521</v>
      </c>
      <c r="H21" s="4">
        <f t="shared" si="2"/>
        <v>11</v>
      </c>
      <c r="J21" s="31"/>
      <c r="K21" s="31"/>
    </row>
    <row r="22" spans="1:11" s="1" customFormat="1" x14ac:dyDescent="0.25">
      <c r="A22" s="4">
        <f>A21+1</f>
        <v>12</v>
      </c>
      <c r="B22" s="375">
        <v>564</v>
      </c>
      <c r="C22" s="31" t="s">
        <v>522</v>
      </c>
      <c r="D22" s="233">
        <v>11.574</v>
      </c>
      <c r="E22" s="233">
        <v>0</v>
      </c>
      <c r="F22" s="233">
        <f t="shared" si="0"/>
        <v>11.574</v>
      </c>
      <c r="G22" s="985" t="s">
        <v>523</v>
      </c>
      <c r="H22" s="4">
        <f>H21+1</f>
        <v>12</v>
      </c>
      <c r="J22" s="31"/>
      <c r="K22" s="31"/>
    </row>
    <row r="23" spans="1:11" s="1" customFormat="1" x14ac:dyDescent="0.25">
      <c r="A23" s="4">
        <f t="shared" si="1"/>
        <v>13</v>
      </c>
      <c r="B23" s="375">
        <v>565</v>
      </c>
      <c r="C23" s="31" t="s">
        <v>524</v>
      </c>
      <c r="D23" s="233">
        <v>0</v>
      </c>
      <c r="E23" s="233">
        <v>0</v>
      </c>
      <c r="F23" s="233">
        <f t="shared" si="0"/>
        <v>0</v>
      </c>
      <c r="G23" s="985" t="s">
        <v>525</v>
      </c>
      <c r="H23" s="4">
        <f t="shared" si="2"/>
        <v>13</v>
      </c>
      <c r="J23" s="31"/>
      <c r="K23" s="31"/>
    </row>
    <row r="24" spans="1:11" s="1" customFormat="1" x14ac:dyDescent="0.25">
      <c r="A24" s="4">
        <f t="shared" si="1"/>
        <v>14</v>
      </c>
      <c r="B24" s="375">
        <v>566</v>
      </c>
      <c r="C24" s="31" t="s">
        <v>526</v>
      </c>
      <c r="D24" s="233">
        <v>17850.218000000001</v>
      </c>
      <c r="E24" s="6">
        <f>E59</f>
        <v>2881.4657500000003</v>
      </c>
      <c r="F24" s="233">
        <f t="shared" si="0"/>
        <v>14968.752250000001</v>
      </c>
      <c r="G24" s="985" t="s">
        <v>527</v>
      </c>
      <c r="H24" s="4">
        <f t="shared" si="2"/>
        <v>14</v>
      </c>
      <c r="J24" s="31"/>
      <c r="K24" s="31"/>
    </row>
    <row r="25" spans="1:11" s="1" customFormat="1" x14ac:dyDescent="0.25">
      <c r="A25" s="4">
        <f>A24+1</f>
        <v>15</v>
      </c>
      <c r="B25" s="375">
        <v>567</v>
      </c>
      <c r="C25" s="31" t="s">
        <v>528</v>
      </c>
      <c r="D25" s="94">
        <v>3938.6669999999999</v>
      </c>
      <c r="E25" s="94">
        <v>0</v>
      </c>
      <c r="F25" s="94">
        <f t="shared" si="0"/>
        <v>3938.6669999999999</v>
      </c>
      <c r="G25" s="985" t="s">
        <v>529</v>
      </c>
      <c r="H25" s="4">
        <f t="shared" si="2"/>
        <v>15</v>
      </c>
      <c r="J25" s="31"/>
      <c r="K25" s="31"/>
    </row>
    <row r="26" spans="1:11" s="1" customFormat="1" x14ac:dyDescent="0.25">
      <c r="A26" s="4">
        <f>A25+1</f>
        <v>16</v>
      </c>
      <c r="B26" s="375"/>
      <c r="C26" s="31"/>
      <c r="D26" s="233"/>
      <c r="E26" s="6"/>
      <c r="F26" s="233"/>
      <c r="G26" s="376"/>
      <c r="H26" s="4">
        <f>H25+1</f>
        <v>16</v>
      </c>
      <c r="J26" s="31"/>
      <c r="K26" s="31"/>
    </row>
    <row r="27" spans="1:11" s="1" customFormat="1" ht="16.5" thickBot="1" x14ac:dyDescent="0.3">
      <c r="A27" s="4">
        <f>A26+1</f>
        <v>17</v>
      </c>
      <c r="B27" s="377"/>
      <c r="C27" s="986" t="s">
        <v>530</v>
      </c>
      <c r="D27" s="97">
        <f>SUM(D11:D25)</f>
        <v>63179.598000000005</v>
      </c>
      <c r="E27" s="987">
        <f>SUM(E11:E25)</f>
        <v>12731.383750000001</v>
      </c>
      <c r="F27" s="97">
        <f>SUM(F11:F25)</f>
        <v>50448.214250000005</v>
      </c>
      <c r="G27" s="988" t="str">
        <f>"Sum Lines "&amp;A11&amp;" thru "&amp;A25</f>
        <v>Sum Lines 1 thru 15</v>
      </c>
      <c r="H27" s="4">
        <f>H26+1</f>
        <v>17</v>
      </c>
      <c r="J27" s="31"/>
      <c r="K27" s="31"/>
    </row>
    <row r="28" spans="1:11" s="1" customFormat="1" x14ac:dyDescent="0.25">
      <c r="A28" s="4">
        <f t="shared" si="1"/>
        <v>18</v>
      </c>
      <c r="B28" s="378"/>
      <c r="C28" s="31"/>
      <c r="D28" s="989"/>
      <c r="E28" s="98"/>
      <c r="F28" s="989"/>
      <c r="G28" s="985"/>
      <c r="H28" s="4">
        <f t="shared" si="2"/>
        <v>18</v>
      </c>
      <c r="J28" s="31"/>
      <c r="K28" s="31"/>
    </row>
    <row r="29" spans="1:11" s="1" customFormat="1" x14ac:dyDescent="0.25">
      <c r="A29" s="4">
        <f t="shared" si="1"/>
        <v>19</v>
      </c>
      <c r="B29" s="372"/>
      <c r="C29" s="373" t="s">
        <v>531</v>
      </c>
      <c r="D29" s="989"/>
      <c r="E29" s="98"/>
      <c r="F29" s="989"/>
      <c r="G29" s="985"/>
      <c r="H29" s="4">
        <f t="shared" si="2"/>
        <v>19</v>
      </c>
      <c r="J29" s="31"/>
      <c r="K29" s="31"/>
    </row>
    <row r="30" spans="1:11" s="1" customFormat="1" x14ac:dyDescent="0.25">
      <c r="A30" s="4">
        <f t="shared" si="1"/>
        <v>20</v>
      </c>
      <c r="B30" s="375">
        <v>568</v>
      </c>
      <c r="C30" s="31" t="s">
        <v>532</v>
      </c>
      <c r="D30" s="232">
        <v>2904.3609999999999</v>
      </c>
      <c r="E30" s="232">
        <v>0</v>
      </c>
      <c r="F30" s="232">
        <f t="shared" ref="F30:F39" si="3">D30-E30</f>
        <v>2904.3609999999999</v>
      </c>
      <c r="G30" s="985" t="s">
        <v>533</v>
      </c>
      <c r="H30" s="4">
        <f t="shared" si="2"/>
        <v>20</v>
      </c>
      <c r="J30" s="31"/>
      <c r="K30" s="31"/>
    </row>
    <row r="31" spans="1:11" s="1" customFormat="1" x14ac:dyDescent="0.25">
      <c r="A31" s="4">
        <f t="shared" si="1"/>
        <v>21</v>
      </c>
      <c r="B31" s="375">
        <v>569</v>
      </c>
      <c r="C31" s="31" t="s">
        <v>534</v>
      </c>
      <c r="D31" s="233">
        <v>547.48299999999995</v>
      </c>
      <c r="E31" s="6">
        <v>0</v>
      </c>
      <c r="F31" s="233">
        <f t="shared" si="3"/>
        <v>547.48299999999995</v>
      </c>
      <c r="G31" s="985" t="s">
        <v>535</v>
      </c>
      <c r="H31" s="4">
        <f t="shared" si="2"/>
        <v>21</v>
      </c>
      <c r="J31" s="31"/>
      <c r="K31" s="31"/>
    </row>
    <row r="32" spans="1:11" s="1" customFormat="1" x14ac:dyDescent="0.25">
      <c r="A32" s="4">
        <f t="shared" si="1"/>
        <v>22</v>
      </c>
      <c r="B32" s="375">
        <v>569.1</v>
      </c>
      <c r="C32" s="31" t="s">
        <v>536</v>
      </c>
      <c r="D32" s="233">
        <v>1336.528</v>
      </c>
      <c r="E32" s="6">
        <v>0</v>
      </c>
      <c r="F32" s="233">
        <f t="shared" si="3"/>
        <v>1336.528</v>
      </c>
      <c r="G32" s="985" t="s">
        <v>537</v>
      </c>
      <c r="H32" s="4">
        <f t="shared" si="2"/>
        <v>22</v>
      </c>
      <c r="J32" s="31"/>
      <c r="K32" s="31"/>
    </row>
    <row r="33" spans="1:11" s="1" customFormat="1" x14ac:dyDescent="0.25">
      <c r="A33" s="4">
        <f t="shared" si="1"/>
        <v>23</v>
      </c>
      <c r="B33" s="375">
        <v>569.20000000000005</v>
      </c>
      <c r="C33" s="31" t="s">
        <v>538</v>
      </c>
      <c r="D33" s="233">
        <v>1948.4169999999999</v>
      </c>
      <c r="E33" s="6">
        <v>0</v>
      </c>
      <c r="F33" s="233">
        <f t="shared" si="3"/>
        <v>1948.4169999999999</v>
      </c>
      <c r="G33" s="985" t="s">
        <v>539</v>
      </c>
      <c r="H33" s="4">
        <f t="shared" si="2"/>
        <v>23</v>
      </c>
      <c r="J33" s="31"/>
      <c r="K33" s="31"/>
    </row>
    <row r="34" spans="1:11" s="1" customFormat="1" x14ac:dyDescent="0.25">
      <c r="A34" s="4">
        <f t="shared" si="1"/>
        <v>24</v>
      </c>
      <c r="B34" s="375">
        <v>569.29999999999995</v>
      </c>
      <c r="C34" s="31" t="s">
        <v>540</v>
      </c>
      <c r="D34" s="233">
        <v>0</v>
      </c>
      <c r="E34" s="6">
        <v>0</v>
      </c>
      <c r="F34" s="233">
        <f t="shared" si="3"/>
        <v>0</v>
      </c>
      <c r="G34" s="985" t="s">
        <v>541</v>
      </c>
      <c r="H34" s="4">
        <f t="shared" si="2"/>
        <v>24</v>
      </c>
      <c r="J34" s="31"/>
      <c r="K34" s="31"/>
    </row>
    <row r="35" spans="1:11" s="1" customFormat="1" x14ac:dyDescent="0.25">
      <c r="A35" s="4">
        <f t="shared" si="1"/>
        <v>25</v>
      </c>
      <c r="B35" s="375">
        <v>569.4</v>
      </c>
      <c r="C35" s="31" t="s">
        <v>542</v>
      </c>
      <c r="D35" s="233">
        <v>131.28399999999999</v>
      </c>
      <c r="E35" s="6">
        <v>0</v>
      </c>
      <c r="F35" s="233">
        <f t="shared" si="3"/>
        <v>131.28399999999999</v>
      </c>
      <c r="G35" s="985" t="s">
        <v>543</v>
      </c>
      <c r="H35" s="4">
        <f t="shared" si="2"/>
        <v>25</v>
      </c>
      <c r="J35" s="31"/>
      <c r="K35" s="31"/>
    </row>
    <row r="36" spans="1:11" s="1" customFormat="1" x14ac:dyDescent="0.25">
      <c r="A36" s="4">
        <f t="shared" si="1"/>
        <v>26</v>
      </c>
      <c r="B36" s="375">
        <v>570</v>
      </c>
      <c r="C36" s="31" t="s">
        <v>544</v>
      </c>
      <c r="D36" s="233">
        <v>18953.580999999998</v>
      </c>
      <c r="E36" s="6">
        <f>+E61</f>
        <v>1623.0940000000001</v>
      </c>
      <c r="F36" s="233">
        <f t="shared" si="3"/>
        <v>17330.486999999997</v>
      </c>
      <c r="G36" s="985" t="s">
        <v>545</v>
      </c>
      <c r="H36" s="4">
        <f t="shared" si="2"/>
        <v>26</v>
      </c>
      <c r="J36" s="31"/>
      <c r="K36" s="31"/>
    </row>
    <row r="37" spans="1:11" s="1" customFormat="1" x14ac:dyDescent="0.25">
      <c r="A37" s="4">
        <f t="shared" si="1"/>
        <v>27</v>
      </c>
      <c r="B37" s="375">
        <v>571</v>
      </c>
      <c r="C37" s="31" t="s">
        <v>546</v>
      </c>
      <c r="D37" s="233">
        <v>33837.959000000003</v>
      </c>
      <c r="E37" s="6">
        <v>0</v>
      </c>
      <c r="F37" s="233">
        <f t="shared" si="3"/>
        <v>33837.959000000003</v>
      </c>
      <c r="G37" s="985" t="s">
        <v>547</v>
      </c>
      <c r="H37" s="4">
        <f t="shared" si="2"/>
        <v>27</v>
      </c>
      <c r="I37" s="2"/>
      <c r="J37" s="31"/>
      <c r="K37" s="31"/>
    </row>
    <row r="38" spans="1:11" s="1" customFormat="1" x14ac:dyDescent="0.25">
      <c r="A38" s="4">
        <f t="shared" si="1"/>
        <v>28</v>
      </c>
      <c r="B38" s="375">
        <v>572</v>
      </c>
      <c r="C38" s="31" t="s">
        <v>548</v>
      </c>
      <c r="D38" s="233">
        <v>1591.7819999999999</v>
      </c>
      <c r="E38" s="6">
        <v>0</v>
      </c>
      <c r="F38" s="233">
        <f t="shared" si="3"/>
        <v>1591.7819999999999</v>
      </c>
      <c r="G38" s="376" t="s">
        <v>549</v>
      </c>
      <c r="H38" s="4">
        <f t="shared" si="2"/>
        <v>28</v>
      </c>
      <c r="I38" s="2"/>
      <c r="J38" s="31"/>
      <c r="K38" s="31"/>
    </row>
    <row r="39" spans="1:11" s="1" customFormat="1" x14ac:dyDescent="0.25">
      <c r="A39" s="4">
        <f t="shared" si="1"/>
        <v>29</v>
      </c>
      <c r="B39" s="375">
        <v>573</v>
      </c>
      <c r="C39" s="31" t="s">
        <v>550</v>
      </c>
      <c r="D39" s="233">
        <v>36.234999999999999</v>
      </c>
      <c r="E39" s="94">
        <v>0</v>
      </c>
      <c r="F39" s="94">
        <f t="shared" si="3"/>
        <v>36.234999999999999</v>
      </c>
      <c r="G39" s="376" t="s">
        <v>551</v>
      </c>
      <c r="H39" s="4">
        <f t="shared" si="2"/>
        <v>29</v>
      </c>
      <c r="I39" s="3"/>
      <c r="J39" s="31"/>
      <c r="K39" s="31"/>
    </row>
    <row r="40" spans="1:11" s="1" customFormat="1" x14ac:dyDescent="0.25">
      <c r="A40" s="4">
        <f t="shared" si="1"/>
        <v>30</v>
      </c>
      <c r="B40" s="375"/>
      <c r="C40" s="31"/>
      <c r="D40" s="990"/>
      <c r="E40" s="6"/>
      <c r="F40" s="990"/>
      <c r="G40" s="376"/>
      <c r="H40" s="4">
        <f t="shared" si="2"/>
        <v>30</v>
      </c>
      <c r="J40" s="31"/>
      <c r="K40" s="31"/>
    </row>
    <row r="41" spans="1:11" s="1" customFormat="1" x14ac:dyDescent="0.25">
      <c r="A41" s="4">
        <f t="shared" si="1"/>
        <v>31</v>
      </c>
      <c r="B41" s="378"/>
      <c r="C41" s="259" t="s">
        <v>552</v>
      </c>
      <c r="D41" s="232">
        <f>SUM(D30:D39)</f>
        <v>61287.63</v>
      </c>
      <c r="E41" s="232">
        <f>SUM(E30:E39)</f>
        <v>1623.0940000000001</v>
      </c>
      <c r="F41" s="232">
        <f>SUM(F30:F39)</f>
        <v>59664.536</v>
      </c>
      <c r="G41" s="376" t="str">
        <f>"Sum Lines "&amp;A30&amp;" thru "&amp;A39</f>
        <v>Sum Lines 20 thru 29</v>
      </c>
      <c r="H41" s="4">
        <f t="shared" si="2"/>
        <v>31</v>
      </c>
      <c r="J41" s="31"/>
      <c r="K41" s="31"/>
    </row>
    <row r="42" spans="1:11" s="1" customFormat="1" x14ac:dyDescent="0.25">
      <c r="A42" s="4">
        <f t="shared" si="1"/>
        <v>32</v>
      </c>
      <c r="B42" s="378"/>
      <c r="C42" s="31"/>
      <c r="D42" s="980"/>
      <c r="E42" s="980"/>
      <c r="F42" s="980"/>
      <c r="G42" s="376"/>
      <c r="H42" s="4">
        <f t="shared" si="2"/>
        <v>32</v>
      </c>
      <c r="J42" s="31"/>
      <c r="K42" s="31"/>
    </row>
    <row r="43" spans="1:11" s="1" customFormat="1" ht="16.5" thickBot="1" x14ac:dyDescent="0.3">
      <c r="A43" s="4">
        <f t="shared" si="1"/>
        <v>33</v>
      </c>
      <c r="B43" s="368"/>
      <c r="C43" s="1" t="s">
        <v>553</v>
      </c>
      <c r="D43" s="99">
        <f>D27+D41</f>
        <v>124467.228</v>
      </c>
      <c r="E43" s="99">
        <f>+E27+E41</f>
        <v>14354.477750000002</v>
      </c>
      <c r="F43" s="99">
        <f>+F27+F41</f>
        <v>110112.75025000001</v>
      </c>
      <c r="G43" s="376" t="str">
        <f>"Line "&amp;A27&amp;" + Line "&amp;A41</f>
        <v>Line 17 + Line 31</v>
      </c>
      <c r="H43" s="4">
        <f t="shared" si="2"/>
        <v>33</v>
      </c>
      <c r="J43" s="31"/>
      <c r="K43" s="31"/>
    </row>
    <row r="44" spans="1:11" ht="17.25" thickTop="1" thickBot="1" x14ac:dyDescent="0.3">
      <c r="A44" s="4">
        <f t="shared" si="1"/>
        <v>34</v>
      </c>
      <c r="B44" s="379"/>
      <c r="C44" s="863"/>
      <c r="D44" s="100"/>
      <c r="E44" s="100"/>
      <c r="F44" s="100"/>
      <c r="G44" s="196"/>
      <c r="H44" s="4">
        <f t="shared" si="2"/>
        <v>34</v>
      </c>
    </row>
    <row r="45" spans="1:11" x14ac:dyDescent="0.25">
      <c r="A45" s="4">
        <f t="shared" si="1"/>
        <v>35</v>
      </c>
      <c r="B45" s="380"/>
      <c r="D45" s="98"/>
      <c r="E45" s="98"/>
      <c r="F45" s="98"/>
      <c r="G45" s="381"/>
      <c r="H45" s="4">
        <f>H44+1</f>
        <v>35</v>
      </c>
    </row>
    <row r="46" spans="1:11" x14ac:dyDescent="0.25">
      <c r="A46" s="4">
        <f t="shared" si="1"/>
        <v>36</v>
      </c>
      <c r="B46" s="382" t="s">
        <v>554</v>
      </c>
      <c r="D46" s="98"/>
      <c r="E46" s="98"/>
      <c r="F46" s="98"/>
      <c r="G46" s="381"/>
      <c r="H46" s="4">
        <f t="shared" si="2"/>
        <v>36</v>
      </c>
    </row>
    <row r="47" spans="1:11" ht="18.75" x14ac:dyDescent="0.25">
      <c r="A47" s="4">
        <f t="shared" si="1"/>
        <v>37</v>
      </c>
      <c r="B47" s="380" t="s">
        <v>555</v>
      </c>
      <c r="C47" s="31" t="s">
        <v>2016</v>
      </c>
      <c r="D47" s="98"/>
      <c r="E47" s="35">
        <f>348.659+400.504+652.576+395.939</f>
        <v>1797.6780000000001</v>
      </c>
      <c r="F47" s="98"/>
      <c r="G47" s="381"/>
      <c r="H47" s="4">
        <f t="shared" si="2"/>
        <v>37</v>
      </c>
      <c r="I47"/>
      <c r="J47"/>
      <c r="K47"/>
    </row>
    <row r="48" spans="1:11" ht="18.75" x14ac:dyDescent="0.25">
      <c r="A48" s="4">
        <f t="shared" si="1"/>
        <v>38</v>
      </c>
      <c r="B48" s="380"/>
      <c r="C48" s="31" t="s">
        <v>2017</v>
      </c>
      <c r="D48" s="98"/>
      <c r="E48" s="6">
        <f>414.8+1465.302</f>
        <v>1880.1019999999999</v>
      </c>
      <c r="F48" s="98"/>
      <c r="G48" s="381"/>
      <c r="H48" s="4">
        <f t="shared" si="2"/>
        <v>38</v>
      </c>
      <c r="I48" s="1222"/>
      <c r="J48"/>
      <c r="K48"/>
    </row>
    <row r="49" spans="1:12" ht="18.75" x14ac:dyDescent="0.25">
      <c r="A49" s="4">
        <f t="shared" si="1"/>
        <v>39</v>
      </c>
      <c r="B49" s="380"/>
      <c r="C49" s="31" t="s">
        <v>2018</v>
      </c>
      <c r="D49" s="98"/>
      <c r="E49" s="6">
        <v>540.30700000000002</v>
      </c>
      <c r="F49" s="98"/>
      <c r="G49" s="381"/>
      <c r="H49" s="4">
        <f t="shared" si="2"/>
        <v>39</v>
      </c>
      <c r="I49" s="1222"/>
      <c r="J49"/>
      <c r="K49"/>
    </row>
    <row r="50" spans="1:12" ht="18.75" x14ac:dyDescent="0.25">
      <c r="A50" s="4">
        <f t="shared" si="1"/>
        <v>40</v>
      </c>
      <c r="B50" s="380"/>
      <c r="C50" s="31" t="s">
        <v>2019</v>
      </c>
      <c r="D50" s="98"/>
      <c r="E50" s="6">
        <v>1423.8040000000001</v>
      </c>
      <c r="F50" s="98"/>
      <c r="G50" s="381"/>
      <c r="H50" s="4">
        <f t="shared" si="2"/>
        <v>40</v>
      </c>
      <c r="I50" s="1222"/>
      <c r="J50"/>
      <c r="K50"/>
    </row>
    <row r="51" spans="1:12" x14ac:dyDescent="0.25">
      <c r="A51" s="4">
        <f t="shared" si="1"/>
        <v>41</v>
      </c>
      <c r="B51" s="380" t="s">
        <v>556</v>
      </c>
      <c r="C51" s="31" t="s">
        <v>557</v>
      </c>
      <c r="D51" s="98"/>
      <c r="E51" s="6">
        <v>2767.4720000000002</v>
      </c>
      <c r="G51" s="381"/>
      <c r="H51" s="4">
        <f t="shared" si="2"/>
        <v>41</v>
      </c>
      <c r="I51" s="1222"/>
    </row>
    <row r="52" spans="1:12" x14ac:dyDescent="0.25">
      <c r="A52" s="4">
        <f t="shared" si="1"/>
        <v>42</v>
      </c>
      <c r="B52" s="380">
        <v>561.79999999999995</v>
      </c>
      <c r="C52" s="31" t="s">
        <v>558</v>
      </c>
      <c r="D52" s="98"/>
      <c r="E52" s="6">
        <v>1440.5550000000001</v>
      </c>
      <c r="G52" s="381"/>
      <c r="H52" s="4">
        <f t="shared" si="2"/>
        <v>42</v>
      </c>
      <c r="I52" s="1222"/>
    </row>
    <row r="53" spans="1:12" x14ac:dyDescent="0.25">
      <c r="A53" s="4">
        <f t="shared" si="1"/>
        <v>43</v>
      </c>
      <c r="B53" s="380">
        <v>565</v>
      </c>
      <c r="C53" s="31" t="s">
        <v>559</v>
      </c>
      <c r="D53" s="98"/>
      <c r="E53" s="6">
        <v>0</v>
      </c>
      <c r="F53" s="101"/>
      <c r="G53" s="381"/>
      <c r="H53" s="4">
        <f t="shared" si="2"/>
        <v>43</v>
      </c>
      <c r="I53" s="1222"/>
    </row>
    <row r="54" spans="1:12" x14ac:dyDescent="0.25">
      <c r="A54" s="4">
        <f t="shared" si="1"/>
        <v>44</v>
      </c>
      <c r="B54" s="380" t="s">
        <v>560</v>
      </c>
      <c r="C54" s="31" t="s">
        <v>561</v>
      </c>
      <c r="D54" s="35">
        <v>0</v>
      </c>
      <c r="F54" s="98"/>
      <c r="G54" s="381"/>
      <c r="H54" s="4">
        <f t="shared" si="2"/>
        <v>44</v>
      </c>
      <c r="I54" s="1222"/>
    </row>
    <row r="55" spans="1:12" x14ac:dyDescent="0.25">
      <c r="A55" s="4">
        <f t="shared" si="1"/>
        <v>45</v>
      </c>
      <c r="B55" s="380"/>
      <c r="C55" s="31" t="s">
        <v>562</v>
      </c>
      <c r="D55" s="6">
        <v>5.7439999999999998</v>
      </c>
      <c r="F55" s="98"/>
      <c r="G55" s="381"/>
      <c r="H55" s="4">
        <f t="shared" si="2"/>
        <v>45</v>
      </c>
      <c r="I55" s="1222"/>
    </row>
    <row r="56" spans="1:12" x14ac:dyDescent="0.25">
      <c r="A56" s="4">
        <f t="shared" si="1"/>
        <v>46</v>
      </c>
      <c r="B56" s="380"/>
      <c r="C56" s="31" t="s">
        <v>563</v>
      </c>
      <c r="D56" s="6">
        <v>850.52300000000002</v>
      </c>
      <c r="F56" s="98"/>
      <c r="G56" s="381"/>
      <c r="H56" s="4">
        <f t="shared" si="2"/>
        <v>46</v>
      </c>
      <c r="I56" s="1222"/>
      <c r="K56" s="1171"/>
      <c r="L56"/>
    </row>
    <row r="57" spans="1:12" x14ac:dyDescent="0.25">
      <c r="A57" s="4">
        <f t="shared" si="1"/>
        <v>47</v>
      </c>
      <c r="B57" s="380"/>
      <c r="C57" s="31" t="s">
        <v>564</v>
      </c>
      <c r="D57" s="6">
        <v>249.04400000000001</v>
      </c>
      <c r="F57" s="98"/>
      <c r="G57" s="381"/>
      <c r="H57" s="4">
        <f t="shared" si="2"/>
        <v>47</v>
      </c>
      <c r="I57" s="1222"/>
      <c r="K57" s="439"/>
      <c r="L57"/>
    </row>
    <row r="58" spans="1:12" x14ac:dyDescent="0.25">
      <c r="A58" s="4">
        <f t="shared" si="1"/>
        <v>48</v>
      </c>
      <c r="B58" s="380"/>
      <c r="C58" s="31" t="s">
        <v>565</v>
      </c>
      <c r="D58" s="6">
        <v>609.37900000000002</v>
      </c>
      <c r="E58" s="31"/>
      <c r="F58" s="101"/>
      <c r="G58" s="381"/>
      <c r="H58" s="4">
        <f t="shared" si="2"/>
        <v>48</v>
      </c>
      <c r="I58" s="1222"/>
      <c r="J58" s="681"/>
      <c r="K58"/>
      <c r="L58" s="5"/>
    </row>
    <row r="59" spans="1:12" ht="18.75" x14ac:dyDescent="0.25">
      <c r="A59" s="4">
        <f t="shared" si="1"/>
        <v>49</v>
      </c>
      <c r="B59" s="380"/>
      <c r="C59" s="31" t="s">
        <v>1821</v>
      </c>
      <c r="D59" s="877">
        <v>1166.77575</v>
      </c>
      <c r="E59" s="922">
        <f>SUM(D54:D59)</f>
        <v>2881.4657500000003</v>
      </c>
      <c r="F59" s="101"/>
      <c r="G59" s="381"/>
      <c r="H59" s="4">
        <f t="shared" si="2"/>
        <v>49</v>
      </c>
      <c r="I59" s="1222"/>
      <c r="J59" s="681"/>
      <c r="K59" s="1172"/>
      <c r="L59"/>
    </row>
    <row r="60" spans="1:12" x14ac:dyDescent="0.25">
      <c r="A60" s="4">
        <f t="shared" si="1"/>
        <v>50</v>
      </c>
      <c r="B60" s="380" t="s">
        <v>2046</v>
      </c>
      <c r="C60" s="31" t="s">
        <v>2047</v>
      </c>
      <c r="D60" s="6">
        <v>84.296000000000006</v>
      </c>
      <c r="E60" s="31"/>
      <c r="F60" s="101"/>
      <c r="G60" s="381"/>
      <c r="H60" s="4">
        <f t="shared" si="2"/>
        <v>50</v>
      </c>
      <c r="I60" s="1222"/>
      <c r="J60" s="681"/>
      <c r="K60" s="1172"/>
      <c r="L60"/>
    </row>
    <row r="61" spans="1:12" x14ac:dyDescent="0.25">
      <c r="A61" s="4">
        <f t="shared" si="1"/>
        <v>51</v>
      </c>
      <c r="B61" s="380"/>
      <c r="C61" s="31" t="s">
        <v>2048</v>
      </c>
      <c r="D61" s="877">
        <v>1538.798</v>
      </c>
      <c r="E61" s="922">
        <f>SUM(D60:D61)</f>
        <v>1623.0940000000001</v>
      </c>
      <c r="F61" s="101"/>
      <c r="G61" s="381"/>
      <c r="H61" s="4">
        <f t="shared" si="2"/>
        <v>51</v>
      </c>
      <c r="I61" s="1222"/>
      <c r="J61" s="681"/>
      <c r="K61" s="1172"/>
      <c r="L61"/>
    </row>
    <row r="62" spans="1:12" x14ac:dyDescent="0.25">
      <c r="A62" s="4">
        <f t="shared" si="1"/>
        <v>52</v>
      </c>
      <c r="B62" s="380"/>
      <c r="D62" s="6"/>
      <c r="F62" s="98"/>
      <c r="G62" s="381"/>
      <c r="H62" s="4">
        <f t="shared" si="2"/>
        <v>52</v>
      </c>
      <c r="I62" s="1222"/>
    </row>
    <row r="63" spans="1:12" ht="16.5" thickBot="1" x14ac:dyDescent="0.3">
      <c r="A63" s="4">
        <f t="shared" si="1"/>
        <v>53</v>
      </c>
      <c r="B63" s="383"/>
      <c r="C63" s="1" t="s">
        <v>566</v>
      </c>
      <c r="D63" s="98"/>
      <c r="E63" s="102">
        <f>SUM(E47:E62)</f>
        <v>14354.477750000002</v>
      </c>
      <c r="F63" s="98"/>
      <c r="G63" s="381"/>
      <c r="H63" s="4">
        <f t="shared" si="2"/>
        <v>53</v>
      </c>
      <c r="I63" s="1222"/>
    </row>
    <row r="64" spans="1:12" ht="16.5" thickTop="1" x14ac:dyDescent="0.25">
      <c r="A64" s="4">
        <f t="shared" si="1"/>
        <v>54</v>
      </c>
      <c r="B64" s="383"/>
      <c r="C64" s="1"/>
      <c r="D64" s="98"/>
      <c r="E64" s="43"/>
      <c r="F64" s="98"/>
      <c r="G64" s="381"/>
      <c r="H64" s="4">
        <f t="shared" si="2"/>
        <v>54</v>
      </c>
      <c r="I64" s="1222"/>
    </row>
    <row r="65" spans="1:9" ht="18.75" x14ac:dyDescent="0.25">
      <c r="A65" s="4">
        <f t="shared" si="1"/>
        <v>55</v>
      </c>
      <c r="B65" s="406">
        <v>1</v>
      </c>
      <c r="C65" s="1100" t="s">
        <v>2020</v>
      </c>
      <c r="D65" s="98"/>
      <c r="E65" s="43"/>
      <c r="F65" s="98"/>
      <c r="G65" s="381"/>
      <c r="H65" s="4">
        <f t="shared" si="2"/>
        <v>55</v>
      </c>
      <c r="I65" s="1222"/>
    </row>
    <row r="66" spans="1:9" ht="18.75" x14ac:dyDescent="0.25">
      <c r="A66" s="4">
        <f t="shared" si="1"/>
        <v>56</v>
      </c>
      <c r="B66" s="406">
        <v>2</v>
      </c>
      <c r="C66" s="1100" t="s">
        <v>1515</v>
      </c>
      <c r="D66" s="98"/>
      <c r="E66" s="43"/>
      <c r="F66" s="98"/>
      <c r="G66" s="381"/>
      <c r="H66" s="4">
        <f t="shared" si="2"/>
        <v>56</v>
      </c>
      <c r="I66" s="1222"/>
    </row>
    <row r="67" spans="1:9" x14ac:dyDescent="0.25">
      <c r="A67" s="4">
        <f t="shared" si="1"/>
        <v>57</v>
      </c>
      <c r="B67" s="383"/>
      <c r="C67" s="1100" t="s">
        <v>1514</v>
      </c>
      <c r="D67" s="98"/>
      <c r="E67" s="43"/>
      <c r="F67" s="98"/>
      <c r="G67" s="381"/>
      <c r="H67" s="4">
        <f t="shared" si="2"/>
        <v>57</v>
      </c>
      <c r="I67" s="1222"/>
    </row>
    <row r="68" spans="1:9" ht="16.5" thickBot="1" x14ac:dyDescent="0.3">
      <c r="A68" s="4">
        <f t="shared" si="1"/>
        <v>58</v>
      </c>
      <c r="B68" s="384"/>
      <c r="C68" s="863"/>
      <c r="D68" s="863"/>
      <c r="E68" s="894"/>
      <c r="F68" s="863"/>
      <c r="G68" s="196"/>
      <c r="H68" s="4">
        <f t="shared" si="2"/>
        <v>58</v>
      </c>
      <c r="I68" s="1222"/>
    </row>
    <row r="69" spans="1:9" x14ac:dyDescent="0.25">
      <c r="A69" s="4">
        <f t="shared" si="1"/>
        <v>59</v>
      </c>
      <c r="B69" s="1259"/>
      <c r="C69" s="562"/>
      <c r="D69" s="562"/>
      <c r="E69" s="1260"/>
      <c r="F69" s="562"/>
      <c r="G69" s="564"/>
      <c r="H69" s="4">
        <f t="shared" si="2"/>
        <v>59</v>
      </c>
      <c r="I69" s="1222"/>
    </row>
    <row r="70" spans="1:9" x14ac:dyDescent="0.25">
      <c r="A70" s="4">
        <f t="shared" si="1"/>
        <v>60</v>
      </c>
      <c r="B70" s="380"/>
      <c r="C70" s="31" t="s">
        <v>2015</v>
      </c>
      <c r="F70" s="1261">
        <f>'AD-6'!F34</f>
        <v>0.982504980470706</v>
      </c>
      <c r="G70" s="369" t="s">
        <v>1918</v>
      </c>
      <c r="H70" s="4">
        <f t="shared" si="2"/>
        <v>60</v>
      </c>
      <c r="I70" s="1222"/>
    </row>
    <row r="71" spans="1:9" x14ac:dyDescent="0.25">
      <c r="A71" s="4">
        <f t="shared" si="1"/>
        <v>61</v>
      </c>
      <c r="B71" s="380"/>
      <c r="C71" s="31" t="s">
        <v>1898</v>
      </c>
      <c r="F71" s="35">
        <f>F43*F70</f>
        <v>108186.32553395198</v>
      </c>
      <c r="G71" s="369" t="s">
        <v>1977</v>
      </c>
      <c r="H71" s="4">
        <f t="shared" si="2"/>
        <v>61</v>
      </c>
      <c r="I71" s="1222"/>
    </row>
    <row r="72" spans="1:9" ht="16.5" thickBot="1" x14ac:dyDescent="0.3">
      <c r="A72" s="4">
        <f t="shared" si="1"/>
        <v>62</v>
      </c>
      <c r="B72" s="380"/>
      <c r="C72" s="32" t="s">
        <v>1976</v>
      </c>
      <c r="F72" s="96">
        <f>F43-F71</f>
        <v>1926.4247160480299</v>
      </c>
      <c r="G72" s="369" t="s">
        <v>1978</v>
      </c>
      <c r="H72" s="4">
        <f t="shared" si="2"/>
        <v>62</v>
      </c>
      <c r="I72" s="1222"/>
    </row>
    <row r="73" spans="1:9" ht="17.25" thickTop="1" thickBot="1" x14ac:dyDescent="0.3">
      <c r="A73" s="4">
        <f t="shared" si="1"/>
        <v>63</v>
      </c>
      <c r="B73" s="384"/>
      <c r="C73" s="863"/>
      <c r="D73" s="863"/>
      <c r="E73" s="894"/>
      <c r="F73" s="863"/>
      <c r="G73" s="196"/>
      <c r="H73" s="4">
        <f t="shared" si="2"/>
        <v>63</v>
      </c>
    </row>
    <row r="74" spans="1:9" x14ac:dyDescent="0.25">
      <c r="B74" s="385"/>
    </row>
    <row r="75" spans="1:9" x14ac:dyDescent="0.25">
      <c r="B75" s="385"/>
    </row>
    <row r="76" spans="1:9" x14ac:dyDescent="0.25">
      <c r="B76" s="385"/>
    </row>
    <row r="77" spans="1:9" x14ac:dyDescent="0.25">
      <c r="B77" s="385"/>
    </row>
    <row r="78" spans="1:9" x14ac:dyDescent="0.25">
      <c r="B78" s="385"/>
    </row>
    <row r="79" spans="1:9" x14ac:dyDescent="0.25">
      <c r="B79" s="385"/>
    </row>
    <row r="80" spans="1:9" x14ac:dyDescent="0.25">
      <c r="B80" s="385"/>
    </row>
    <row r="81" spans="2:5" x14ac:dyDescent="0.25">
      <c r="B81" s="385"/>
    </row>
    <row r="82" spans="2:5" x14ac:dyDescent="0.25">
      <c r="B82" s="385"/>
      <c r="E82" s="31"/>
    </row>
    <row r="83" spans="2:5" x14ac:dyDescent="0.25">
      <c r="B83" s="385"/>
      <c r="E83" s="31"/>
    </row>
    <row r="84" spans="2:5" x14ac:dyDescent="0.25">
      <c r="B84" s="385"/>
      <c r="E84" s="31"/>
    </row>
    <row r="85" spans="2:5" x14ac:dyDescent="0.25">
      <c r="B85" s="385"/>
      <c r="E85" s="31"/>
    </row>
    <row r="86" spans="2:5" x14ac:dyDescent="0.25">
      <c r="B86" s="385"/>
      <c r="E86" s="31"/>
    </row>
    <row r="87" spans="2:5" x14ac:dyDescent="0.25">
      <c r="B87" s="385"/>
      <c r="E87" s="31"/>
    </row>
    <row r="88" spans="2:5" x14ac:dyDescent="0.25">
      <c r="B88" s="385"/>
      <c r="E88" s="31"/>
    </row>
    <row r="89" spans="2:5" x14ac:dyDescent="0.25">
      <c r="B89" s="385"/>
      <c r="E89" s="31"/>
    </row>
    <row r="90" spans="2:5" x14ac:dyDescent="0.25">
      <c r="B90" s="385"/>
      <c r="E90" s="31"/>
    </row>
    <row r="91" spans="2:5" x14ac:dyDescent="0.25">
      <c r="B91" s="385"/>
      <c r="E91" s="31"/>
    </row>
    <row r="92" spans="2:5" x14ac:dyDescent="0.25">
      <c r="B92" s="385"/>
      <c r="E92" s="31"/>
    </row>
    <row r="93" spans="2:5" x14ac:dyDescent="0.25">
      <c r="B93" s="385"/>
      <c r="E93" s="31"/>
    </row>
    <row r="94" spans="2:5" x14ac:dyDescent="0.25">
      <c r="B94" s="385"/>
      <c r="E94" s="31"/>
    </row>
    <row r="95" spans="2:5" x14ac:dyDescent="0.25">
      <c r="B95" s="385"/>
      <c r="E95" s="31"/>
    </row>
    <row r="96" spans="2:5" x14ac:dyDescent="0.25">
      <c r="B96" s="385"/>
      <c r="E96" s="31"/>
    </row>
    <row r="97" spans="2:5" x14ac:dyDescent="0.25">
      <c r="B97" s="385"/>
      <c r="E97" s="31"/>
    </row>
    <row r="98" spans="2:5" x14ac:dyDescent="0.25">
      <c r="B98" s="385"/>
      <c r="E98" s="31"/>
    </row>
    <row r="99" spans="2:5" x14ac:dyDescent="0.25">
      <c r="B99" s="385"/>
      <c r="E99" s="31"/>
    </row>
    <row r="100" spans="2:5" x14ac:dyDescent="0.25">
      <c r="B100" s="385"/>
      <c r="E100" s="31"/>
    </row>
    <row r="101" spans="2:5" x14ac:dyDescent="0.25">
      <c r="B101" s="385"/>
      <c r="E101" s="31"/>
    </row>
    <row r="102" spans="2:5" x14ac:dyDescent="0.25">
      <c r="B102" s="385"/>
      <c r="E102" s="31"/>
    </row>
    <row r="103" spans="2:5" x14ac:dyDescent="0.25">
      <c r="B103" s="385"/>
      <c r="E103" s="31"/>
    </row>
    <row r="104" spans="2:5" x14ac:dyDescent="0.25">
      <c r="B104" s="385"/>
      <c r="E104" s="31"/>
    </row>
    <row r="105" spans="2:5" x14ac:dyDescent="0.25">
      <c r="B105" s="385"/>
      <c r="E105" s="31"/>
    </row>
    <row r="106" spans="2:5" x14ac:dyDescent="0.25">
      <c r="B106" s="385"/>
      <c r="E106" s="31"/>
    </row>
    <row r="107" spans="2:5" x14ac:dyDescent="0.25">
      <c r="B107" s="385"/>
      <c r="E107" s="31"/>
    </row>
    <row r="108" spans="2:5" x14ac:dyDescent="0.25">
      <c r="B108" s="385"/>
      <c r="E108" s="31"/>
    </row>
    <row r="109" spans="2:5" x14ac:dyDescent="0.25">
      <c r="B109" s="385"/>
      <c r="E109" s="31"/>
    </row>
    <row r="110" spans="2:5" x14ac:dyDescent="0.25">
      <c r="B110" s="385"/>
      <c r="E110" s="31"/>
    </row>
    <row r="111" spans="2:5" x14ac:dyDescent="0.25">
      <c r="B111" s="385"/>
      <c r="E111" s="31"/>
    </row>
    <row r="112" spans="2:5" x14ac:dyDescent="0.25">
      <c r="B112" s="385"/>
      <c r="E112" s="31"/>
    </row>
    <row r="113" spans="2:5" x14ac:dyDescent="0.25">
      <c r="B113" s="385"/>
      <c r="E113" s="31"/>
    </row>
    <row r="114" spans="2:5" x14ac:dyDescent="0.25">
      <c r="B114" s="385"/>
      <c r="E114" s="31"/>
    </row>
    <row r="115" spans="2:5" x14ac:dyDescent="0.25">
      <c r="B115" s="385"/>
      <c r="E115" s="31"/>
    </row>
    <row r="116" spans="2:5" x14ac:dyDescent="0.25">
      <c r="B116" s="385"/>
      <c r="E116" s="31"/>
    </row>
    <row r="117" spans="2:5" x14ac:dyDescent="0.25">
      <c r="B117" s="385"/>
      <c r="E117" s="31"/>
    </row>
    <row r="118" spans="2:5" x14ac:dyDescent="0.25">
      <c r="B118" s="385"/>
      <c r="E118" s="31"/>
    </row>
    <row r="119" spans="2:5" x14ac:dyDescent="0.25">
      <c r="B119" s="385"/>
      <c r="E119" s="31"/>
    </row>
    <row r="120" spans="2:5" x14ac:dyDescent="0.25">
      <c r="B120" s="385"/>
      <c r="E120" s="31"/>
    </row>
    <row r="121" spans="2:5" x14ac:dyDescent="0.25">
      <c r="B121" s="385"/>
      <c r="E121" s="31"/>
    </row>
    <row r="122" spans="2:5" x14ac:dyDescent="0.25">
      <c r="B122" s="385"/>
      <c r="E122" s="31"/>
    </row>
    <row r="123" spans="2:5" x14ac:dyDescent="0.25">
      <c r="B123" s="385"/>
      <c r="E123" s="31"/>
    </row>
    <row r="124" spans="2:5" x14ac:dyDescent="0.25">
      <c r="B124" s="385"/>
      <c r="E124" s="31"/>
    </row>
    <row r="125" spans="2:5" x14ac:dyDescent="0.25">
      <c r="B125" s="385"/>
      <c r="E125" s="31"/>
    </row>
    <row r="126" spans="2:5" x14ac:dyDescent="0.25">
      <c r="B126" s="385"/>
      <c r="E126" s="31"/>
    </row>
    <row r="127" spans="2:5" x14ac:dyDescent="0.25">
      <c r="B127" s="385"/>
      <c r="E127" s="31"/>
    </row>
    <row r="128" spans="2:5" x14ac:dyDescent="0.25">
      <c r="B128" s="385"/>
      <c r="E128" s="31"/>
    </row>
    <row r="129" spans="2:5" x14ac:dyDescent="0.25">
      <c r="B129" s="385"/>
      <c r="E129" s="31"/>
    </row>
    <row r="130" spans="2:5" x14ac:dyDescent="0.25">
      <c r="B130" s="385"/>
      <c r="E130" s="31"/>
    </row>
    <row r="131" spans="2:5" x14ac:dyDescent="0.25">
      <c r="B131" s="385"/>
      <c r="E131" s="31"/>
    </row>
    <row r="132" spans="2:5" x14ac:dyDescent="0.25">
      <c r="B132" s="385"/>
      <c r="E132" s="31"/>
    </row>
    <row r="133" spans="2:5" x14ac:dyDescent="0.25">
      <c r="B133" s="385"/>
      <c r="E133" s="31"/>
    </row>
    <row r="134" spans="2:5" x14ac:dyDescent="0.25">
      <c r="B134" s="385"/>
      <c r="E134" s="31"/>
    </row>
    <row r="135" spans="2:5" x14ac:dyDescent="0.25">
      <c r="B135" s="385"/>
      <c r="E135" s="31"/>
    </row>
    <row r="136" spans="2:5" x14ac:dyDescent="0.25">
      <c r="B136" s="385"/>
      <c r="E136" s="31"/>
    </row>
    <row r="137" spans="2:5" x14ac:dyDescent="0.25">
      <c r="B137" s="385"/>
      <c r="E137" s="31"/>
    </row>
    <row r="138" spans="2:5" x14ac:dyDescent="0.25">
      <c r="B138" s="385"/>
      <c r="E138" s="31"/>
    </row>
    <row r="139" spans="2:5" x14ac:dyDescent="0.25">
      <c r="B139" s="385"/>
      <c r="E139" s="31"/>
    </row>
    <row r="140" spans="2:5" x14ac:dyDescent="0.25">
      <c r="B140" s="385"/>
      <c r="E140" s="31"/>
    </row>
    <row r="141" spans="2:5" x14ac:dyDescent="0.25">
      <c r="B141" s="385"/>
      <c r="E141" s="31"/>
    </row>
    <row r="142" spans="2:5" x14ac:dyDescent="0.25">
      <c r="B142" s="385"/>
      <c r="E142" s="31"/>
    </row>
    <row r="143" spans="2:5" x14ac:dyDescent="0.25">
      <c r="B143" s="385"/>
      <c r="E143" s="31"/>
    </row>
    <row r="144" spans="2:5" x14ac:dyDescent="0.25">
      <c r="B144" s="385"/>
      <c r="E144" s="31"/>
    </row>
    <row r="145" spans="2:5" x14ac:dyDescent="0.25">
      <c r="B145" s="385"/>
      <c r="E145" s="31"/>
    </row>
    <row r="146" spans="2:5" x14ac:dyDescent="0.25">
      <c r="B146" s="385"/>
      <c r="E146" s="31"/>
    </row>
    <row r="147" spans="2:5" x14ac:dyDescent="0.25">
      <c r="B147" s="385"/>
      <c r="E147" s="31"/>
    </row>
    <row r="148" spans="2:5" x14ac:dyDescent="0.25">
      <c r="B148" s="385"/>
      <c r="E148" s="31"/>
    </row>
    <row r="149" spans="2:5" x14ac:dyDescent="0.25">
      <c r="B149" s="385"/>
      <c r="E149" s="31"/>
    </row>
    <row r="150" spans="2:5" x14ac:dyDescent="0.25">
      <c r="B150" s="385"/>
      <c r="E150" s="31"/>
    </row>
    <row r="151" spans="2:5" x14ac:dyDescent="0.25">
      <c r="B151" s="385"/>
      <c r="E151" s="31"/>
    </row>
    <row r="152" spans="2:5" x14ac:dyDescent="0.25">
      <c r="B152" s="385"/>
      <c r="E152" s="31"/>
    </row>
    <row r="153" spans="2:5" x14ac:dyDescent="0.25">
      <c r="B153" s="385"/>
      <c r="E153" s="31"/>
    </row>
    <row r="154" spans="2:5" x14ac:dyDescent="0.25">
      <c r="B154" s="385"/>
      <c r="E154" s="31"/>
    </row>
    <row r="155" spans="2:5" x14ac:dyDescent="0.25">
      <c r="B155" s="385"/>
      <c r="E155" s="31"/>
    </row>
    <row r="156" spans="2:5" x14ac:dyDescent="0.25">
      <c r="B156" s="385"/>
      <c r="E156" s="31"/>
    </row>
    <row r="157" spans="2:5" x14ac:dyDescent="0.25">
      <c r="B157" s="385"/>
      <c r="E157" s="31"/>
    </row>
    <row r="158" spans="2:5" x14ac:dyDescent="0.25">
      <c r="B158" s="385"/>
      <c r="E158" s="31"/>
    </row>
    <row r="159" spans="2:5" x14ac:dyDescent="0.25">
      <c r="B159" s="385"/>
      <c r="E159" s="31"/>
    </row>
    <row r="160" spans="2:5" x14ac:dyDescent="0.25">
      <c r="B160" s="385"/>
      <c r="E160" s="31"/>
    </row>
    <row r="161" spans="2:5" x14ac:dyDescent="0.25">
      <c r="B161" s="385"/>
      <c r="E161" s="31"/>
    </row>
    <row r="162" spans="2:5" x14ac:dyDescent="0.25">
      <c r="B162" s="385"/>
      <c r="E162" s="31"/>
    </row>
    <row r="163" spans="2:5" x14ac:dyDescent="0.25">
      <c r="B163" s="385"/>
      <c r="E163" s="31"/>
    </row>
    <row r="164" spans="2:5" x14ac:dyDescent="0.25">
      <c r="B164" s="385"/>
      <c r="E164" s="31"/>
    </row>
    <row r="165" spans="2:5" x14ac:dyDescent="0.25">
      <c r="B165" s="385"/>
      <c r="E165" s="31"/>
    </row>
    <row r="166" spans="2:5" x14ac:dyDescent="0.25">
      <c r="B166" s="385"/>
      <c r="E166" s="31"/>
    </row>
    <row r="167" spans="2:5" x14ac:dyDescent="0.25">
      <c r="B167" s="385"/>
      <c r="E167" s="31"/>
    </row>
    <row r="168" spans="2:5" x14ac:dyDescent="0.25">
      <c r="B168" s="385"/>
      <c r="E168" s="31"/>
    </row>
    <row r="169" spans="2:5" x14ac:dyDescent="0.25">
      <c r="B169" s="385"/>
      <c r="E169" s="31"/>
    </row>
    <row r="170" spans="2:5" x14ac:dyDescent="0.25">
      <c r="B170" s="385"/>
      <c r="E170" s="31"/>
    </row>
    <row r="171" spans="2:5" x14ac:dyDescent="0.25">
      <c r="B171" s="385"/>
      <c r="E171" s="31"/>
    </row>
    <row r="172" spans="2:5" x14ac:dyDescent="0.25">
      <c r="B172" s="385"/>
      <c r="E172" s="31"/>
    </row>
    <row r="173" spans="2:5" x14ac:dyDescent="0.25">
      <c r="B173" s="385"/>
      <c r="E173" s="31"/>
    </row>
    <row r="174" spans="2:5" x14ac:dyDescent="0.25">
      <c r="B174" s="385"/>
      <c r="E174" s="31"/>
    </row>
    <row r="175" spans="2:5" x14ac:dyDescent="0.25">
      <c r="B175" s="385"/>
      <c r="E175" s="31"/>
    </row>
    <row r="176" spans="2:5" x14ac:dyDescent="0.25">
      <c r="B176" s="385"/>
      <c r="E176" s="31"/>
    </row>
    <row r="177" spans="2:5" x14ac:dyDescent="0.25">
      <c r="B177" s="385"/>
      <c r="E177" s="31"/>
    </row>
    <row r="178" spans="2:5" x14ac:dyDescent="0.25">
      <c r="B178" s="385"/>
      <c r="E178" s="31"/>
    </row>
    <row r="179" spans="2:5" x14ac:dyDescent="0.25">
      <c r="B179" s="385"/>
      <c r="E179" s="31"/>
    </row>
    <row r="180" spans="2:5" x14ac:dyDescent="0.25">
      <c r="B180" s="385"/>
      <c r="E180" s="31"/>
    </row>
    <row r="181" spans="2:5" x14ac:dyDescent="0.25">
      <c r="B181" s="385"/>
      <c r="E181" s="31"/>
    </row>
    <row r="182" spans="2:5" x14ac:dyDescent="0.25">
      <c r="B182" s="385"/>
      <c r="E182" s="31"/>
    </row>
    <row r="183" spans="2:5" x14ac:dyDescent="0.25">
      <c r="B183" s="385"/>
      <c r="E183" s="31"/>
    </row>
    <row r="184" spans="2:5" x14ac:dyDescent="0.25">
      <c r="B184" s="385"/>
      <c r="E184" s="31"/>
    </row>
    <row r="185" spans="2:5" x14ac:dyDescent="0.25">
      <c r="B185" s="385"/>
      <c r="E185" s="31"/>
    </row>
    <row r="186" spans="2:5" x14ac:dyDescent="0.25">
      <c r="B186" s="385"/>
      <c r="E186" s="31"/>
    </row>
    <row r="187" spans="2:5" x14ac:dyDescent="0.25">
      <c r="B187" s="385"/>
      <c r="E187" s="31"/>
    </row>
    <row r="188" spans="2:5" x14ac:dyDescent="0.25">
      <c r="B188" s="385"/>
      <c r="E188" s="31"/>
    </row>
    <row r="189" spans="2:5" x14ac:dyDescent="0.25">
      <c r="B189" s="385"/>
      <c r="E189" s="31"/>
    </row>
    <row r="190" spans="2:5" x14ac:dyDescent="0.25">
      <c r="B190" s="385"/>
      <c r="E190" s="31"/>
    </row>
    <row r="191" spans="2:5" x14ac:dyDescent="0.25">
      <c r="B191" s="385"/>
      <c r="E191" s="31"/>
    </row>
    <row r="192" spans="2:5" x14ac:dyDescent="0.25">
      <c r="B192" s="385"/>
      <c r="E192" s="31"/>
    </row>
    <row r="193" spans="2:5" x14ac:dyDescent="0.25">
      <c r="B193" s="385"/>
      <c r="E193" s="31"/>
    </row>
    <row r="194" spans="2:5" x14ac:dyDescent="0.25">
      <c r="B194" s="385"/>
      <c r="E194" s="31"/>
    </row>
    <row r="195" spans="2:5" x14ac:dyDescent="0.25">
      <c r="B195" s="385"/>
      <c r="E195" s="31"/>
    </row>
    <row r="196" spans="2:5" x14ac:dyDescent="0.25">
      <c r="B196" s="385"/>
      <c r="E196" s="31"/>
    </row>
    <row r="197" spans="2:5" x14ac:dyDescent="0.25">
      <c r="B197" s="385"/>
      <c r="E197" s="31"/>
    </row>
    <row r="198" spans="2:5" x14ac:dyDescent="0.25">
      <c r="B198" s="385"/>
      <c r="E198" s="31"/>
    </row>
    <row r="199" spans="2:5" x14ac:dyDescent="0.25">
      <c r="B199" s="385"/>
      <c r="E199" s="31"/>
    </row>
    <row r="200" spans="2:5" x14ac:dyDescent="0.25">
      <c r="B200" s="385"/>
      <c r="E200" s="31"/>
    </row>
    <row r="201" spans="2:5" x14ac:dyDescent="0.25">
      <c r="B201" s="385"/>
      <c r="E201" s="31"/>
    </row>
    <row r="202" spans="2:5" x14ac:dyDescent="0.25">
      <c r="B202" s="385"/>
      <c r="E202" s="31"/>
    </row>
    <row r="203" spans="2:5" x14ac:dyDescent="0.25">
      <c r="B203" s="385"/>
      <c r="E203" s="31"/>
    </row>
    <row r="204" spans="2:5" x14ac:dyDescent="0.25">
      <c r="B204" s="385"/>
      <c r="E204" s="31"/>
    </row>
    <row r="205" spans="2:5" x14ac:dyDescent="0.25">
      <c r="B205" s="385"/>
      <c r="E205" s="31"/>
    </row>
    <row r="206" spans="2:5" x14ac:dyDescent="0.25">
      <c r="B206" s="385"/>
      <c r="E206" s="31"/>
    </row>
    <row r="207" spans="2:5" x14ac:dyDescent="0.25">
      <c r="B207" s="385"/>
      <c r="E207" s="31"/>
    </row>
    <row r="208" spans="2:5" x14ac:dyDescent="0.25">
      <c r="B208" s="385"/>
      <c r="E208" s="31"/>
    </row>
    <row r="209" spans="2:5" x14ac:dyDescent="0.25">
      <c r="B209" s="385"/>
      <c r="E209" s="31"/>
    </row>
    <row r="210" spans="2:5" x14ac:dyDescent="0.25">
      <c r="B210" s="385"/>
      <c r="E210" s="31"/>
    </row>
    <row r="211" spans="2:5" x14ac:dyDescent="0.25">
      <c r="B211" s="385"/>
      <c r="E211" s="31"/>
    </row>
    <row r="212" spans="2:5" x14ac:dyDescent="0.25">
      <c r="B212" s="385"/>
      <c r="E212" s="31"/>
    </row>
    <row r="213" spans="2:5" x14ac:dyDescent="0.25">
      <c r="B213" s="385"/>
      <c r="E213" s="31"/>
    </row>
    <row r="214" spans="2:5" x14ac:dyDescent="0.25">
      <c r="B214" s="385"/>
      <c r="E214" s="31"/>
    </row>
    <row r="215" spans="2:5" x14ac:dyDescent="0.25">
      <c r="B215" s="385"/>
      <c r="E215" s="31"/>
    </row>
    <row r="216" spans="2:5" x14ac:dyDescent="0.25">
      <c r="B216" s="385"/>
      <c r="E216" s="31"/>
    </row>
    <row r="217" spans="2:5" x14ac:dyDescent="0.25">
      <c r="B217" s="385"/>
      <c r="E217" s="31"/>
    </row>
    <row r="218" spans="2:5" x14ac:dyDescent="0.25">
      <c r="B218" s="385"/>
      <c r="E218" s="31"/>
    </row>
    <row r="219" spans="2:5" x14ac:dyDescent="0.25">
      <c r="B219" s="385"/>
      <c r="E219" s="31"/>
    </row>
    <row r="220" spans="2:5" x14ac:dyDescent="0.25">
      <c r="B220" s="385"/>
      <c r="E220" s="31"/>
    </row>
    <row r="221" spans="2:5" x14ac:dyDescent="0.25">
      <c r="B221" s="385"/>
      <c r="E221" s="31"/>
    </row>
    <row r="222" spans="2:5" x14ac:dyDescent="0.25">
      <c r="B222" s="385"/>
      <c r="E222" s="31"/>
    </row>
    <row r="223" spans="2:5" x14ac:dyDescent="0.25">
      <c r="B223" s="385"/>
      <c r="E223" s="31"/>
    </row>
    <row r="224" spans="2:5" x14ac:dyDescent="0.25">
      <c r="B224" s="385"/>
      <c r="E224" s="31"/>
    </row>
    <row r="225" spans="2:5" x14ac:dyDescent="0.25">
      <c r="B225" s="385"/>
      <c r="E225" s="31"/>
    </row>
    <row r="226" spans="2:5" x14ac:dyDescent="0.25">
      <c r="B226" s="385"/>
      <c r="E226" s="31"/>
    </row>
    <row r="227" spans="2:5" x14ac:dyDescent="0.25">
      <c r="B227" s="385"/>
      <c r="E227" s="31"/>
    </row>
    <row r="228" spans="2:5" x14ac:dyDescent="0.25">
      <c r="B228" s="385"/>
      <c r="E228" s="31"/>
    </row>
    <row r="229" spans="2:5" x14ac:dyDescent="0.25">
      <c r="B229" s="385"/>
      <c r="E229" s="31"/>
    </row>
    <row r="230" spans="2:5" x14ac:dyDescent="0.25">
      <c r="B230" s="385"/>
      <c r="E230" s="31"/>
    </row>
    <row r="231" spans="2:5" x14ac:dyDescent="0.25">
      <c r="B231" s="385"/>
      <c r="E231" s="31"/>
    </row>
    <row r="232" spans="2:5" x14ac:dyDescent="0.25">
      <c r="B232" s="385"/>
      <c r="E232" s="31"/>
    </row>
    <row r="233" spans="2:5" x14ac:dyDescent="0.25">
      <c r="B233" s="385"/>
      <c r="E233" s="31"/>
    </row>
    <row r="234" spans="2:5" x14ac:dyDescent="0.25">
      <c r="B234" s="385"/>
      <c r="E234" s="31"/>
    </row>
    <row r="235" spans="2:5" x14ac:dyDescent="0.25">
      <c r="B235" s="385"/>
      <c r="E235" s="31"/>
    </row>
    <row r="236" spans="2:5" x14ac:dyDescent="0.25">
      <c r="B236" s="385"/>
      <c r="E236" s="31"/>
    </row>
    <row r="237" spans="2:5" x14ac:dyDescent="0.25">
      <c r="B237" s="385"/>
      <c r="E237" s="31"/>
    </row>
    <row r="238" spans="2:5" x14ac:dyDescent="0.25">
      <c r="B238" s="385"/>
      <c r="E238" s="31"/>
    </row>
    <row r="239" spans="2:5" x14ac:dyDescent="0.25">
      <c r="B239" s="385"/>
      <c r="E239" s="31"/>
    </row>
    <row r="240" spans="2:5" x14ac:dyDescent="0.25">
      <c r="B240" s="385"/>
      <c r="E240" s="31"/>
    </row>
    <row r="241" spans="2:5" x14ac:dyDescent="0.25">
      <c r="B241" s="385"/>
      <c r="E241" s="31"/>
    </row>
    <row r="242" spans="2:5" x14ac:dyDescent="0.25">
      <c r="B242" s="385"/>
      <c r="E242" s="31"/>
    </row>
    <row r="243" spans="2:5" x14ac:dyDescent="0.25">
      <c r="B243" s="385"/>
      <c r="E243" s="31"/>
    </row>
    <row r="244" spans="2:5" x14ac:dyDescent="0.25">
      <c r="B244" s="385"/>
      <c r="E244" s="31"/>
    </row>
    <row r="245" spans="2:5" x14ac:dyDescent="0.25">
      <c r="B245" s="385"/>
      <c r="E245" s="31"/>
    </row>
    <row r="246" spans="2:5" x14ac:dyDescent="0.25">
      <c r="B246" s="385"/>
      <c r="E246" s="31"/>
    </row>
    <row r="247" spans="2:5" x14ac:dyDescent="0.25">
      <c r="B247" s="385"/>
      <c r="E247" s="31"/>
    </row>
    <row r="248" spans="2:5" x14ac:dyDescent="0.25">
      <c r="B248" s="385"/>
      <c r="E248" s="31"/>
    </row>
    <row r="249" spans="2:5" x14ac:dyDescent="0.25">
      <c r="B249" s="385"/>
      <c r="E249" s="31"/>
    </row>
    <row r="250" spans="2:5" x14ac:dyDescent="0.25">
      <c r="B250" s="385"/>
      <c r="E250" s="31"/>
    </row>
    <row r="251" spans="2:5" x14ac:dyDescent="0.25">
      <c r="B251" s="385"/>
      <c r="E251" s="31"/>
    </row>
    <row r="252" spans="2:5" x14ac:dyDescent="0.25">
      <c r="B252" s="385"/>
      <c r="E252" s="31"/>
    </row>
    <row r="253" spans="2:5" x14ac:dyDescent="0.25">
      <c r="B253" s="385"/>
      <c r="E253" s="31"/>
    </row>
    <row r="254" spans="2:5" x14ac:dyDescent="0.25">
      <c r="B254" s="385"/>
      <c r="E254" s="31"/>
    </row>
    <row r="255" spans="2:5" x14ac:dyDescent="0.25">
      <c r="B255" s="385"/>
      <c r="E255" s="31"/>
    </row>
    <row r="256" spans="2:5" x14ac:dyDescent="0.25">
      <c r="B256" s="385"/>
      <c r="E256" s="31"/>
    </row>
    <row r="257" spans="2:5" x14ac:dyDescent="0.25">
      <c r="B257" s="385"/>
      <c r="E257" s="31"/>
    </row>
    <row r="258" spans="2:5" x14ac:dyDescent="0.25">
      <c r="B258" s="385"/>
      <c r="E258" s="31"/>
    </row>
    <row r="259" spans="2:5" x14ac:dyDescent="0.25">
      <c r="B259" s="385"/>
      <c r="E259" s="31"/>
    </row>
    <row r="260" spans="2:5" x14ac:dyDescent="0.25">
      <c r="B260" s="385"/>
      <c r="E260" s="31"/>
    </row>
    <row r="261" spans="2:5" x14ac:dyDescent="0.25">
      <c r="B261" s="385"/>
      <c r="E261" s="31"/>
    </row>
    <row r="262" spans="2:5" x14ac:dyDescent="0.25">
      <c r="B262" s="385"/>
      <c r="E262" s="31"/>
    </row>
    <row r="263" spans="2:5" x14ac:dyDescent="0.25">
      <c r="B263" s="385"/>
      <c r="E263" s="31"/>
    </row>
    <row r="264" spans="2:5" x14ac:dyDescent="0.25">
      <c r="B264" s="385"/>
      <c r="E264" s="31"/>
    </row>
    <row r="265" spans="2:5" x14ac:dyDescent="0.25">
      <c r="B265" s="385"/>
      <c r="E265" s="31"/>
    </row>
    <row r="266" spans="2:5" x14ac:dyDescent="0.25">
      <c r="B266" s="385"/>
      <c r="E266" s="31"/>
    </row>
    <row r="267" spans="2:5" x14ac:dyDescent="0.25">
      <c r="B267" s="385"/>
      <c r="E267" s="31"/>
    </row>
    <row r="268" spans="2:5" x14ac:dyDescent="0.25">
      <c r="B268" s="385"/>
      <c r="E268" s="31"/>
    </row>
    <row r="269" spans="2:5" x14ac:dyDescent="0.25">
      <c r="B269" s="385"/>
      <c r="E269" s="31"/>
    </row>
    <row r="270" spans="2:5" x14ac:dyDescent="0.25">
      <c r="B270" s="385"/>
      <c r="E270" s="31"/>
    </row>
    <row r="271" spans="2:5" x14ac:dyDescent="0.25">
      <c r="B271" s="385"/>
      <c r="E271" s="31"/>
    </row>
    <row r="272" spans="2:5" x14ac:dyDescent="0.25">
      <c r="B272" s="385"/>
      <c r="E272" s="31"/>
    </row>
    <row r="273" spans="2:5" x14ac:dyDescent="0.25">
      <c r="B273" s="385"/>
      <c r="E273" s="31"/>
    </row>
    <row r="274" spans="2:5" x14ac:dyDescent="0.25">
      <c r="B274" s="385"/>
      <c r="E274" s="31"/>
    </row>
    <row r="275" spans="2:5" x14ac:dyDescent="0.25">
      <c r="B275" s="385"/>
      <c r="E275" s="31"/>
    </row>
    <row r="276" spans="2:5" x14ac:dyDescent="0.25">
      <c r="B276" s="385"/>
      <c r="E276" s="31"/>
    </row>
    <row r="277" spans="2:5" x14ac:dyDescent="0.25">
      <c r="B277" s="385"/>
      <c r="E277" s="31"/>
    </row>
    <row r="278" spans="2:5" x14ac:dyDescent="0.25">
      <c r="B278" s="385"/>
      <c r="E278" s="31"/>
    </row>
    <row r="279" spans="2:5" x14ac:dyDescent="0.25">
      <c r="B279" s="385"/>
      <c r="E279" s="31"/>
    </row>
    <row r="280" spans="2:5" x14ac:dyDescent="0.25">
      <c r="B280" s="385"/>
      <c r="E280" s="31"/>
    </row>
    <row r="281" spans="2:5" x14ac:dyDescent="0.25">
      <c r="B281" s="385"/>
      <c r="E281" s="31"/>
    </row>
    <row r="282" spans="2:5" x14ac:dyDescent="0.25">
      <c r="B282" s="385"/>
      <c r="E282" s="31"/>
    </row>
    <row r="283" spans="2:5" x14ac:dyDescent="0.25">
      <c r="B283" s="385"/>
      <c r="E283" s="31"/>
    </row>
    <row r="284" spans="2:5" x14ac:dyDescent="0.25">
      <c r="B284" s="385"/>
      <c r="E284" s="31"/>
    </row>
    <row r="285" spans="2:5" x14ac:dyDescent="0.25">
      <c r="B285" s="385"/>
      <c r="E285" s="31"/>
    </row>
    <row r="286" spans="2:5" x14ac:dyDescent="0.25">
      <c r="B286" s="385"/>
      <c r="E286" s="31"/>
    </row>
    <row r="287" spans="2:5" x14ac:dyDescent="0.25">
      <c r="B287" s="385"/>
      <c r="E287" s="31"/>
    </row>
    <row r="288" spans="2:5" x14ac:dyDescent="0.25">
      <c r="B288" s="385"/>
      <c r="E288" s="31"/>
    </row>
    <row r="289" spans="2:5" x14ac:dyDescent="0.25">
      <c r="B289" s="385"/>
      <c r="E289" s="31"/>
    </row>
    <row r="290" spans="2:5" x14ac:dyDescent="0.25">
      <c r="B290" s="385"/>
      <c r="E290" s="31"/>
    </row>
    <row r="291" spans="2:5" x14ac:dyDescent="0.25">
      <c r="B291" s="385"/>
      <c r="E291" s="31"/>
    </row>
    <row r="292" spans="2:5" x14ac:dyDescent="0.25">
      <c r="B292" s="385"/>
      <c r="E292" s="31"/>
    </row>
    <row r="293" spans="2:5" x14ac:dyDescent="0.25">
      <c r="B293" s="385"/>
      <c r="E293" s="31"/>
    </row>
    <row r="294" spans="2:5" x14ac:dyDescent="0.25">
      <c r="B294" s="385"/>
      <c r="E294" s="31"/>
    </row>
    <row r="295" spans="2:5" x14ac:dyDescent="0.25">
      <c r="B295" s="385"/>
      <c r="E295" s="31"/>
    </row>
    <row r="296" spans="2:5" x14ac:dyDescent="0.25">
      <c r="B296" s="385"/>
      <c r="E296" s="31"/>
    </row>
    <row r="297" spans="2:5" x14ac:dyDescent="0.25">
      <c r="B297" s="385"/>
      <c r="E297" s="31"/>
    </row>
    <row r="298" spans="2:5" x14ac:dyDescent="0.25">
      <c r="B298" s="385"/>
      <c r="E298" s="31"/>
    </row>
    <row r="299" spans="2:5" x14ac:dyDescent="0.25">
      <c r="B299" s="385"/>
      <c r="E299" s="31"/>
    </row>
    <row r="300" spans="2:5" x14ac:dyDescent="0.25">
      <c r="B300" s="385"/>
      <c r="E300" s="31"/>
    </row>
    <row r="301" spans="2:5" x14ac:dyDescent="0.25">
      <c r="B301" s="385"/>
      <c r="E301" s="31"/>
    </row>
    <row r="302" spans="2:5" x14ac:dyDescent="0.25">
      <c r="B302" s="385"/>
      <c r="E302" s="31"/>
    </row>
    <row r="303" spans="2:5" x14ac:dyDescent="0.25">
      <c r="B303" s="385"/>
      <c r="E303" s="31"/>
    </row>
    <row r="304" spans="2:5" x14ac:dyDescent="0.25">
      <c r="B304" s="385"/>
      <c r="E304" s="31"/>
    </row>
    <row r="305" spans="2:5" x14ac:dyDescent="0.25">
      <c r="B305" s="385"/>
      <c r="E305" s="31"/>
    </row>
    <row r="306" spans="2:5" x14ac:dyDescent="0.25">
      <c r="B306" s="385"/>
      <c r="E306" s="31"/>
    </row>
    <row r="307" spans="2:5" x14ac:dyDescent="0.25">
      <c r="B307" s="385"/>
      <c r="E307" s="31"/>
    </row>
    <row r="308" spans="2:5" x14ac:dyDescent="0.25">
      <c r="B308" s="385"/>
      <c r="E308" s="31"/>
    </row>
    <row r="309" spans="2:5" x14ac:dyDescent="0.25">
      <c r="B309" s="385"/>
      <c r="E309" s="31"/>
    </row>
    <row r="310" spans="2:5" x14ac:dyDescent="0.25">
      <c r="B310" s="385"/>
      <c r="E310" s="31"/>
    </row>
    <row r="311" spans="2:5" x14ac:dyDescent="0.25">
      <c r="B311" s="385"/>
      <c r="E311" s="31"/>
    </row>
    <row r="312" spans="2:5" x14ac:dyDescent="0.25">
      <c r="B312" s="385"/>
      <c r="E312" s="31"/>
    </row>
    <row r="313" spans="2:5" x14ac:dyDescent="0.25">
      <c r="B313" s="385"/>
      <c r="E313" s="31"/>
    </row>
    <row r="314" spans="2:5" x14ac:dyDescent="0.25">
      <c r="B314" s="385"/>
      <c r="E314" s="31"/>
    </row>
    <row r="315" spans="2:5" x14ac:dyDescent="0.25">
      <c r="B315" s="385"/>
      <c r="E315" s="31"/>
    </row>
    <row r="316" spans="2:5" x14ac:dyDescent="0.25">
      <c r="B316" s="385"/>
      <c r="E316" s="31"/>
    </row>
    <row r="317" spans="2:5" x14ac:dyDescent="0.25">
      <c r="B317" s="385"/>
      <c r="E317" s="31"/>
    </row>
    <row r="318" spans="2:5" x14ac:dyDescent="0.25">
      <c r="B318" s="385"/>
      <c r="E318" s="31"/>
    </row>
    <row r="319" spans="2:5" x14ac:dyDescent="0.25">
      <c r="B319" s="385"/>
      <c r="E319" s="31"/>
    </row>
    <row r="320" spans="2:5" x14ac:dyDescent="0.25">
      <c r="B320" s="385"/>
      <c r="E320" s="31"/>
    </row>
    <row r="321" spans="2:5" x14ac:dyDescent="0.25">
      <c r="B321" s="385"/>
      <c r="E321" s="31"/>
    </row>
    <row r="322" spans="2:5" x14ac:dyDescent="0.25">
      <c r="B322" s="385"/>
      <c r="E322" s="31"/>
    </row>
    <row r="323" spans="2:5" x14ac:dyDescent="0.25">
      <c r="B323" s="385"/>
      <c r="E323" s="31"/>
    </row>
    <row r="324" spans="2:5" x14ac:dyDescent="0.25">
      <c r="B324" s="385"/>
      <c r="E324" s="31"/>
    </row>
    <row r="325" spans="2:5" x14ac:dyDescent="0.25">
      <c r="B325" s="385"/>
      <c r="E325" s="31"/>
    </row>
    <row r="326" spans="2:5" x14ac:dyDescent="0.25">
      <c r="B326" s="385"/>
      <c r="E326" s="31"/>
    </row>
    <row r="327" spans="2:5" x14ac:dyDescent="0.25">
      <c r="B327" s="385"/>
      <c r="E327" s="31"/>
    </row>
    <row r="328" spans="2:5" x14ac:dyDescent="0.25">
      <c r="B328" s="385"/>
      <c r="E328" s="31"/>
    </row>
    <row r="329" spans="2:5" x14ac:dyDescent="0.25">
      <c r="B329" s="385"/>
      <c r="E329" s="31"/>
    </row>
    <row r="330" spans="2:5" x14ac:dyDescent="0.25">
      <c r="B330" s="385"/>
      <c r="E330" s="31"/>
    </row>
    <row r="331" spans="2:5" x14ac:dyDescent="0.25">
      <c r="B331" s="385"/>
      <c r="E331" s="31"/>
    </row>
    <row r="332" spans="2:5" x14ac:dyDescent="0.25">
      <c r="B332" s="385"/>
      <c r="E332" s="31"/>
    </row>
    <row r="333" spans="2:5" x14ac:dyDescent="0.25">
      <c r="B333" s="385"/>
      <c r="E333" s="31"/>
    </row>
    <row r="334" spans="2:5" x14ac:dyDescent="0.25">
      <c r="B334" s="385"/>
      <c r="E334" s="31"/>
    </row>
    <row r="335" spans="2:5" x14ac:dyDescent="0.25">
      <c r="B335" s="385"/>
      <c r="E335" s="31"/>
    </row>
    <row r="336" spans="2:5" x14ac:dyDescent="0.25">
      <c r="B336" s="385"/>
      <c r="E336" s="31"/>
    </row>
    <row r="337" spans="2:5" x14ac:dyDescent="0.25">
      <c r="B337" s="385"/>
      <c r="E337" s="31"/>
    </row>
    <row r="338" spans="2:5" x14ac:dyDescent="0.25">
      <c r="B338" s="385"/>
      <c r="E338" s="31"/>
    </row>
    <row r="339" spans="2:5" x14ac:dyDescent="0.25">
      <c r="B339" s="385"/>
      <c r="E339" s="31"/>
    </row>
    <row r="340" spans="2:5" x14ac:dyDescent="0.25">
      <c r="B340" s="385"/>
      <c r="E340" s="31"/>
    </row>
    <row r="341" spans="2:5" x14ac:dyDescent="0.25">
      <c r="B341" s="385"/>
      <c r="E341" s="31"/>
    </row>
    <row r="342" spans="2:5" x14ac:dyDescent="0.25">
      <c r="B342" s="385"/>
      <c r="E342" s="31"/>
    </row>
    <row r="343" spans="2:5" x14ac:dyDescent="0.25">
      <c r="B343" s="385"/>
      <c r="E343" s="31"/>
    </row>
    <row r="344" spans="2:5" x14ac:dyDescent="0.25">
      <c r="B344" s="385"/>
      <c r="E344" s="31"/>
    </row>
    <row r="345" spans="2:5" x14ac:dyDescent="0.25">
      <c r="B345" s="385"/>
      <c r="E345" s="31"/>
    </row>
    <row r="346" spans="2:5" x14ac:dyDescent="0.25">
      <c r="B346" s="385"/>
      <c r="E346" s="31"/>
    </row>
    <row r="347" spans="2:5" x14ac:dyDescent="0.25">
      <c r="B347" s="385"/>
      <c r="E347" s="31"/>
    </row>
    <row r="348" spans="2:5" x14ac:dyDescent="0.25">
      <c r="B348" s="385"/>
      <c r="E348" s="31"/>
    </row>
    <row r="349" spans="2:5" x14ac:dyDescent="0.25">
      <c r="B349" s="385"/>
      <c r="E349" s="31"/>
    </row>
    <row r="350" spans="2:5" x14ac:dyDescent="0.25">
      <c r="B350" s="385"/>
      <c r="E350" s="31"/>
    </row>
    <row r="351" spans="2:5" x14ac:dyDescent="0.25">
      <c r="B351" s="385"/>
      <c r="E351" s="31"/>
    </row>
    <row r="352" spans="2:5" x14ac:dyDescent="0.25">
      <c r="B352" s="385"/>
      <c r="E352" s="31"/>
    </row>
    <row r="353" spans="2:5" x14ac:dyDescent="0.25">
      <c r="B353" s="385"/>
      <c r="E353" s="31"/>
    </row>
    <row r="354" spans="2:5" x14ac:dyDescent="0.25">
      <c r="B354" s="385"/>
      <c r="E354" s="31"/>
    </row>
    <row r="355" spans="2:5" x14ac:dyDescent="0.25">
      <c r="B355" s="385"/>
      <c r="E355" s="31"/>
    </row>
    <row r="356" spans="2:5" x14ac:dyDescent="0.25">
      <c r="B356" s="385"/>
      <c r="E356" s="31"/>
    </row>
    <row r="357" spans="2:5" x14ac:dyDescent="0.25">
      <c r="B357" s="385"/>
      <c r="E357" s="31"/>
    </row>
    <row r="358" spans="2:5" x14ac:dyDescent="0.25">
      <c r="B358" s="385"/>
      <c r="E358" s="31"/>
    </row>
    <row r="359" spans="2:5" x14ac:dyDescent="0.25">
      <c r="B359" s="385"/>
      <c r="E359" s="31"/>
    </row>
    <row r="360" spans="2:5" x14ac:dyDescent="0.25">
      <c r="B360" s="385"/>
      <c r="E360" s="31"/>
    </row>
    <row r="361" spans="2:5" x14ac:dyDescent="0.25">
      <c r="B361" s="385"/>
      <c r="E361" s="31"/>
    </row>
    <row r="362" spans="2:5" x14ac:dyDescent="0.25">
      <c r="B362" s="385"/>
      <c r="E362" s="31"/>
    </row>
    <row r="363" spans="2:5" x14ac:dyDescent="0.25">
      <c r="B363" s="385"/>
      <c r="E363" s="31"/>
    </row>
    <row r="364" spans="2:5" x14ac:dyDescent="0.25">
      <c r="B364" s="385"/>
      <c r="E364" s="31"/>
    </row>
    <row r="365" spans="2:5" x14ac:dyDescent="0.25">
      <c r="B365" s="385"/>
      <c r="E365" s="31"/>
    </row>
    <row r="366" spans="2:5" x14ac:dyDescent="0.25">
      <c r="B366" s="385"/>
      <c r="E366" s="31"/>
    </row>
    <row r="367" spans="2:5" x14ac:dyDescent="0.25">
      <c r="B367" s="385"/>
      <c r="E367" s="31"/>
    </row>
    <row r="368" spans="2:5" x14ac:dyDescent="0.25">
      <c r="B368" s="385"/>
      <c r="E368" s="31"/>
    </row>
    <row r="369" spans="2:5" x14ac:dyDescent="0.25">
      <c r="B369" s="385"/>
      <c r="E369" s="31"/>
    </row>
    <row r="370" spans="2:5" x14ac:dyDescent="0.25">
      <c r="B370" s="385"/>
      <c r="E370" s="31"/>
    </row>
    <row r="371" spans="2:5" x14ac:dyDescent="0.25">
      <c r="B371" s="385"/>
      <c r="E371" s="31"/>
    </row>
    <row r="372" spans="2:5" x14ac:dyDescent="0.25">
      <c r="B372" s="385"/>
      <c r="E372" s="31"/>
    </row>
    <row r="373" spans="2:5" x14ac:dyDescent="0.25">
      <c r="B373" s="385"/>
      <c r="E373" s="31"/>
    </row>
    <row r="374" spans="2:5" x14ac:dyDescent="0.25">
      <c r="B374" s="385"/>
      <c r="E374" s="31"/>
    </row>
    <row r="375" spans="2:5" x14ac:dyDescent="0.25">
      <c r="B375" s="385"/>
      <c r="E375" s="31"/>
    </row>
    <row r="376" spans="2:5" x14ac:dyDescent="0.25">
      <c r="B376" s="385"/>
      <c r="E376" s="31"/>
    </row>
    <row r="377" spans="2:5" x14ac:dyDescent="0.25">
      <c r="B377" s="385"/>
      <c r="E377" s="31"/>
    </row>
    <row r="378" spans="2:5" x14ac:dyDescent="0.25">
      <c r="B378" s="385"/>
      <c r="E378" s="31"/>
    </row>
    <row r="379" spans="2:5" x14ac:dyDescent="0.25">
      <c r="B379" s="385"/>
      <c r="E379" s="31"/>
    </row>
    <row r="380" spans="2:5" x14ac:dyDescent="0.25">
      <c r="B380" s="385"/>
      <c r="E380" s="31"/>
    </row>
    <row r="381" spans="2:5" x14ac:dyDescent="0.25">
      <c r="B381" s="385"/>
      <c r="E381" s="31"/>
    </row>
    <row r="382" spans="2:5" x14ac:dyDescent="0.25">
      <c r="B382" s="385"/>
      <c r="E382" s="31"/>
    </row>
    <row r="383" spans="2:5" x14ac:dyDescent="0.25">
      <c r="B383" s="385"/>
      <c r="E383" s="31"/>
    </row>
    <row r="384" spans="2:5" x14ac:dyDescent="0.25">
      <c r="B384" s="385"/>
      <c r="E384" s="31"/>
    </row>
    <row r="385" spans="2:5" x14ac:dyDescent="0.25">
      <c r="B385" s="385"/>
      <c r="E385" s="31"/>
    </row>
    <row r="386" spans="2:5" x14ac:dyDescent="0.25">
      <c r="B386" s="385"/>
      <c r="E386" s="31"/>
    </row>
    <row r="387" spans="2:5" x14ac:dyDescent="0.25">
      <c r="B387" s="385"/>
      <c r="E387" s="31"/>
    </row>
    <row r="388" spans="2:5" x14ac:dyDescent="0.25">
      <c r="B388" s="385"/>
      <c r="E388" s="31"/>
    </row>
    <row r="389" spans="2:5" x14ac:dyDescent="0.25">
      <c r="B389" s="385"/>
      <c r="E389" s="31"/>
    </row>
    <row r="390" spans="2:5" x14ac:dyDescent="0.25">
      <c r="B390" s="385"/>
      <c r="E390" s="31"/>
    </row>
    <row r="391" spans="2:5" x14ac:dyDescent="0.25">
      <c r="B391" s="385"/>
      <c r="E391" s="31"/>
    </row>
    <row r="392" spans="2:5" x14ac:dyDescent="0.25">
      <c r="B392" s="385"/>
      <c r="E392" s="31"/>
    </row>
    <row r="393" spans="2:5" x14ac:dyDescent="0.25">
      <c r="B393" s="385"/>
      <c r="E393" s="31"/>
    </row>
    <row r="394" spans="2:5" x14ac:dyDescent="0.25">
      <c r="B394" s="385"/>
      <c r="E394" s="31"/>
    </row>
    <row r="395" spans="2:5" x14ac:dyDescent="0.25">
      <c r="B395" s="385"/>
      <c r="E395" s="31"/>
    </row>
    <row r="396" spans="2:5" x14ac:dyDescent="0.25">
      <c r="B396" s="385"/>
      <c r="E396" s="31"/>
    </row>
    <row r="397" spans="2:5" x14ac:dyDescent="0.25">
      <c r="B397" s="385"/>
      <c r="E397" s="31"/>
    </row>
    <row r="398" spans="2:5" x14ac:dyDescent="0.25">
      <c r="B398" s="385"/>
      <c r="E398" s="31"/>
    </row>
    <row r="399" spans="2:5" x14ac:dyDescent="0.25">
      <c r="B399" s="385"/>
      <c r="E399" s="31"/>
    </row>
    <row r="400" spans="2:5" x14ac:dyDescent="0.25">
      <c r="B400" s="385"/>
      <c r="E400" s="31"/>
    </row>
    <row r="401" spans="2:5" x14ac:dyDescent="0.25">
      <c r="B401" s="385"/>
      <c r="E401" s="31"/>
    </row>
    <row r="402" spans="2:5" x14ac:dyDescent="0.25">
      <c r="B402" s="385"/>
      <c r="E402" s="31"/>
    </row>
    <row r="403" spans="2:5" x14ac:dyDescent="0.25">
      <c r="B403" s="385"/>
      <c r="E403" s="31"/>
    </row>
    <row r="404" spans="2:5" x14ac:dyDescent="0.25">
      <c r="B404" s="385"/>
      <c r="E404" s="31"/>
    </row>
    <row r="405" spans="2:5" x14ac:dyDescent="0.25">
      <c r="B405" s="385"/>
      <c r="E405" s="31"/>
    </row>
    <row r="406" spans="2:5" x14ac:dyDescent="0.25">
      <c r="B406" s="385"/>
      <c r="E406" s="31"/>
    </row>
    <row r="407" spans="2:5" x14ac:dyDescent="0.25">
      <c r="B407" s="385"/>
      <c r="E407" s="31"/>
    </row>
    <row r="408" spans="2:5" x14ac:dyDescent="0.25">
      <c r="B408" s="385"/>
      <c r="E408" s="31"/>
    </row>
    <row r="409" spans="2:5" x14ac:dyDescent="0.25">
      <c r="B409" s="385"/>
      <c r="E409" s="31"/>
    </row>
    <row r="410" spans="2:5" x14ac:dyDescent="0.25">
      <c r="B410" s="385"/>
      <c r="E410" s="31"/>
    </row>
    <row r="411" spans="2:5" x14ac:dyDescent="0.25">
      <c r="B411" s="385"/>
      <c r="E411" s="31"/>
    </row>
    <row r="412" spans="2:5" x14ac:dyDescent="0.25">
      <c r="B412" s="385"/>
      <c r="E412" s="31"/>
    </row>
    <row r="413" spans="2:5" x14ac:dyDescent="0.25">
      <c r="B413" s="385"/>
      <c r="E413" s="31"/>
    </row>
    <row r="414" spans="2:5" x14ac:dyDescent="0.25">
      <c r="B414" s="385"/>
      <c r="E414" s="31"/>
    </row>
    <row r="415" spans="2:5" x14ac:dyDescent="0.25">
      <c r="B415" s="385"/>
      <c r="E415" s="31"/>
    </row>
    <row r="416" spans="2:5" x14ac:dyDescent="0.25">
      <c r="B416" s="385"/>
      <c r="E416" s="31"/>
    </row>
    <row r="417" spans="2:5" x14ac:dyDescent="0.25">
      <c r="B417" s="385"/>
      <c r="E417" s="31"/>
    </row>
    <row r="418" spans="2:5" x14ac:dyDescent="0.25">
      <c r="B418" s="385"/>
      <c r="E418" s="31"/>
    </row>
    <row r="419" spans="2:5" x14ac:dyDescent="0.25">
      <c r="B419" s="385"/>
      <c r="E419" s="31"/>
    </row>
    <row r="420" spans="2:5" x14ac:dyDescent="0.25">
      <c r="B420" s="385"/>
      <c r="E420" s="31"/>
    </row>
    <row r="421" spans="2:5" x14ac:dyDescent="0.25">
      <c r="B421" s="385"/>
      <c r="E421"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72"/>
  <sheetViews>
    <sheetView workbookViewId="0">
      <selection activeCell="C45" sqref="C45"/>
    </sheetView>
  </sheetViews>
  <sheetFormatPr defaultColWidth="9.28515625" defaultRowHeight="15.75" x14ac:dyDescent="0.25"/>
  <cols>
    <col min="1" max="1" width="5.28515625" style="107" customWidth="1"/>
    <col min="2" max="2" width="8.5703125" style="106" customWidth="1"/>
    <col min="3" max="3" width="69.28515625" style="106" customWidth="1"/>
    <col min="4" max="6" width="16.7109375" style="106" customWidth="1"/>
    <col min="7" max="7" width="46.7109375" style="106" customWidth="1"/>
    <col min="8" max="8" width="5.28515625" style="107" customWidth="1"/>
    <col min="9" max="9" width="4" style="106" customWidth="1"/>
    <col min="10" max="10" width="13.28515625" style="106" bestFit="1" customWidth="1"/>
    <col min="11" max="11" width="9.28515625" style="106"/>
    <col min="12" max="12" width="9.7109375" style="106" customWidth="1"/>
    <col min="13" max="13" width="10" style="106" customWidth="1"/>
    <col min="14" max="16384" width="9.28515625" style="106"/>
  </cols>
  <sheetData>
    <row r="2" spans="1:13" x14ac:dyDescent="0.25">
      <c r="B2" s="1309" t="s">
        <v>0</v>
      </c>
      <c r="C2" s="1309"/>
      <c r="D2" s="1309"/>
      <c r="E2" s="1309"/>
      <c r="F2" s="1309"/>
      <c r="G2" s="1309"/>
      <c r="H2" s="386"/>
      <c r="J2"/>
      <c r="K2"/>
      <c r="L2"/>
    </row>
    <row r="3" spans="1:13" x14ac:dyDescent="0.25">
      <c r="B3" s="1309" t="s">
        <v>567</v>
      </c>
      <c r="C3" s="1309"/>
      <c r="D3" s="1309"/>
      <c r="E3" s="1309"/>
      <c r="F3" s="1309"/>
      <c r="G3" s="1309"/>
      <c r="H3" s="386"/>
      <c r="J3"/>
      <c r="K3"/>
      <c r="L3"/>
    </row>
    <row r="4" spans="1:13" x14ac:dyDescent="0.25">
      <c r="B4" s="1309" t="str">
        <f>'AH-1'!B4</f>
        <v xml:space="preserve"> 12 Months Ending December 31, 2023</v>
      </c>
      <c r="C4" s="1309"/>
      <c r="D4" s="1309"/>
      <c r="E4" s="1309"/>
      <c r="F4" s="1309"/>
      <c r="G4" s="1309"/>
      <c r="H4" s="386"/>
    </row>
    <row r="5" spans="1:13" x14ac:dyDescent="0.25">
      <c r="B5" s="1310" t="s">
        <v>4</v>
      </c>
      <c r="C5" s="1310"/>
      <c r="D5" s="1310"/>
      <c r="E5" s="1310"/>
      <c r="F5" s="1310"/>
      <c r="G5" s="1310"/>
      <c r="H5" s="386"/>
    </row>
    <row r="6" spans="1:13" ht="16.5" thickBot="1" x14ac:dyDescent="0.3">
      <c r="D6" s="878"/>
      <c r="E6" s="878"/>
      <c r="F6" s="878"/>
      <c r="G6" s="878"/>
      <c r="J6" s="31"/>
    </row>
    <row r="7" spans="1:13" x14ac:dyDescent="0.25">
      <c r="A7" s="386"/>
      <c r="B7" s="387"/>
      <c r="C7" s="388"/>
      <c r="D7" s="389" t="s">
        <v>184</v>
      </c>
      <c r="E7" s="390" t="s">
        <v>185</v>
      </c>
      <c r="F7" s="389" t="s">
        <v>493</v>
      </c>
      <c r="G7" s="391"/>
      <c r="H7" s="386"/>
    </row>
    <row r="8" spans="1:13" x14ac:dyDescent="0.25">
      <c r="A8" s="107" t="s">
        <v>5</v>
      </c>
      <c r="B8" s="392" t="s">
        <v>449</v>
      </c>
      <c r="C8" s="280"/>
      <c r="D8" s="668" t="s">
        <v>177</v>
      </c>
      <c r="E8" s="386" t="s">
        <v>494</v>
      </c>
      <c r="F8" s="668" t="s">
        <v>177</v>
      </c>
      <c r="G8" s="393"/>
      <c r="H8" s="107" t="s">
        <v>5</v>
      </c>
    </row>
    <row r="9" spans="1:13" ht="16.5" thickBot="1" x14ac:dyDescent="0.3">
      <c r="A9" s="107" t="s">
        <v>6</v>
      </c>
      <c r="B9" s="394" t="s">
        <v>495</v>
      </c>
      <c r="C9" s="876" t="s">
        <v>306</v>
      </c>
      <c r="D9" s="395" t="s">
        <v>496</v>
      </c>
      <c r="E9" s="876" t="s">
        <v>497</v>
      </c>
      <c r="F9" s="395" t="s">
        <v>498</v>
      </c>
      <c r="G9" s="669" t="s">
        <v>8</v>
      </c>
      <c r="H9" s="107" t="s">
        <v>6</v>
      </c>
      <c r="I9" s="107"/>
    </row>
    <row r="10" spans="1:13" x14ac:dyDescent="0.25">
      <c r="B10" s="396"/>
      <c r="C10" s="397" t="s">
        <v>568</v>
      </c>
      <c r="D10" s="670"/>
      <c r="E10" s="670"/>
      <c r="F10" s="671"/>
      <c r="G10" s="402"/>
    </row>
    <row r="11" spans="1:13" x14ac:dyDescent="0.25">
      <c r="A11" s="107">
        <v>1</v>
      </c>
      <c r="B11" s="396">
        <v>920</v>
      </c>
      <c r="C11" s="398" t="s">
        <v>569</v>
      </c>
      <c r="D11" s="232">
        <v>43017.856290000003</v>
      </c>
      <c r="E11" s="232"/>
      <c r="F11" s="232">
        <f>D11-E11</f>
        <v>43017.856290000003</v>
      </c>
      <c r="G11" s="369" t="s">
        <v>570</v>
      </c>
      <c r="H11" s="107">
        <f>A11</f>
        <v>1</v>
      </c>
      <c r="I11" s="106" t="s">
        <v>1</v>
      </c>
      <c r="J11" s="2"/>
    </row>
    <row r="12" spans="1:13" x14ac:dyDescent="0.25">
      <c r="A12" s="107">
        <f t="shared" ref="A12:A26" si="0">A11+1</f>
        <v>2</v>
      </c>
      <c r="B12" s="396">
        <v>921</v>
      </c>
      <c r="C12" s="398" t="s">
        <v>571</v>
      </c>
      <c r="D12" s="233">
        <v>32003.332709999995</v>
      </c>
      <c r="E12" s="6"/>
      <c r="F12" s="233">
        <f>D12-E12</f>
        <v>32003.332709999995</v>
      </c>
      <c r="G12" s="369" t="s">
        <v>572</v>
      </c>
      <c r="H12" s="107">
        <f t="shared" ref="H12:H26" si="1">H11+1</f>
        <v>2</v>
      </c>
      <c r="J12" s="2"/>
      <c r="K12" s="399"/>
    </row>
    <row r="13" spans="1:13" x14ac:dyDescent="0.25">
      <c r="A13" s="107">
        <f t="shared" si="0"/>
        <v>3</v>
      </c>
      <c r="B13" s="396">
        <v>922</v>
      </c>
      <c r="C13" s="398" t="s">
        <v>573</v>
      </c>
      <c r="D13" s="233">
        <v>-13763.914919999999</v>
      </c>
      <c r="E13" s="6"/>
      <c r="F13" s="233">
        <f>D13-E13</f>
        <v>-13763.914919999999</v>
      </c>
      <c r="G13" s="369" t="s">
        <v>574</v>
      </c>
      <c r="H13" s="107">
        <f t="shared" si="1"/>
        <v>3</v>
      </c>
      <c r="J13" s="2"/>
    </row>
    <row r="14" spans="1:13" x14ac:dyDescent="0.25">
      <c r="A14" s="107">
        <f t="shared" si="0"/>
        <v>4</v>
      </c>
      <c r="B14" s="396">
        <v>923</v>
      </c>
      <c r="C14" s="398" t="s">
        <v>575</v>
      </c>
      <c r="D14" s="233">
        <v>106989.533</v>
      </c>
      <c r="E14" s="6">
        <f t="shared" ref="E14" si="2">E30</f>
        <v>-1888.2653800000001</v>
      </c>
      <c r="F14" s="233">
        <f>D14-E14</f>
        <v>108877.79837999999</v>
      </c>
      <c r="G14" s="369" t="s">
        <v>576</v>
      </c>
      <c r="H14" s="107">
        <f t="shared" si="1"/>
        <v>4</v>
      </c>
      <c r="J14"/>
      <c r="K14"/>
      <c r="L14"/>
      <c r="M14"/>
    </row>
    <row r="15" spans="1:13" x14ac:dyDescent="0.25">
      <c r="A15" s="107">
        <f t="shared" si="0"/>
        <v>5</v>
      </c>
      <c r="B15" s="396">
        <v>924</v>
      </c>
      <c r="C15" s="398" t="s">
        <v>577</v>
      </c>
      <c r="D15" s="233">
        <v>10584.239569999998</v>
      </c>
      <c r="E15" s="6"/>
      <c r="F15" s="233">
        <f t="shared" ref="F15:F16" si="3">D15-E15</f>
        <v>10584.239569999998</v>
      </c>
      <c r="G15" s="369" t="s">
        <v>578</v>
      </c>
      <c r="H15" s="107">
        <f t="shared" si="1"/>
        <v>5</v>
      </c>
      <c r="J15"/>
      <c r="K15"/>
      <c r="L15"/>
      <c r="M15"/>
    </row>
    <row r="16" spans="1:13" x14ac:dyDescent="0.25">
      <c r="A16" s="107">
        <f t="shared" si="0"/>
        <v>6</v>
      </c>
      <c r="B16" s="396">
        <v>925</v>
      </c>
      <c r="C16" s="398" t="s">
        <v>579</v>
      </c>
      <c r="D16" s="233">
        <v>213057.13392000002</v>
      </c>
      <c r="E16" s="6">
        <f>E31</f>
        <v>271.77697832000001</v>
      </c>
      <c r="F16" s="233">
        <f t="shared" si="3"/>
        <v>212785.35694168002</v>
      </c>
      <c r="G16" s="369" t="s">
        <v>580</v>
      </c>
      <c r="H16" s="107">
        <f t="shared" si="1"/>
        <v>6</v>
      </c>
      <c r="J16" s="2"/>
    </row>
    <row r="17" spans="1:13" ht="18.75" x14ac:dyDescent="0.25">
      <c r="A17" s="107">
        <f t="shared" si="0"/>
        <v>7</v>
      </c>
      <c r="B17" s="396">
        <v>926</v>
      </c>
      <c r="C17" s="398" t="s">
        <v>581</v>
      </c>
      <c r="D17" s="233">
        <v>63809.404609999998</v>
      </c>
      <c r="E17" s="6">
        <f>E32</f>
        <v>446.01363487000009</v>
      </c>
      <c r="F17" s="233">
        <f>D17-E17</f>
        <v>63363.390975129994</v>
      </c>
      <c r="G17" s="369" t="s">
        <v>582</v>
      </c>
      <c r="H17" s="107">
        <f t="shared" si="1"/>
        <v>7</v>
      </c>
      <c r="J17" s="2"/>
    </row>
    <row r="18" spans="1:13" x14ac:dyDescent="0.25">
      <c r="A18" s="107">
        <f t="shared" si="0"/>
        <v>8</v>
      </c>
      <c r="B18" s="396">
        <v>927</v>
      </c>
      <c r="C18" s="398" t="s">
        <v>583</v>
      </c>
      <c r="D18" s="903">
        <v>112751.95299999999</v>
      </c>
      <c r="E18" s="233">
        <f>E33</f>
        <v>112751.95299999999</v>
      </c>
      <c r="F18" s="233">
        <f t="shared" ref="F18:F20" si="4">D18-E18</f>
        <v>0</v>
      </c>
      <c r="G18" s="369" t="s">
        <v>584</v>
      </c>
      <c r="H18" s="107">
        <f t="shared" si="1"/>
        <v>8</v>
      </c>
      <c r="J18" s="2"/>
    </row>
    <row r="19" spans="1:13" ht="18.75" x14ac:dyDescent="0.25">
      <c r="A19" s="107">
        <f t="shared" si="0"/>
        <v>9</v>
      </c>
      <c r="B19" s="396">
        <v>928</v>
      </c>
      <c r="C19" s="398" t="s">
        <v>585</v>
      </c>
      <c r="D19" s="233">
        <v>36424.177230000001</v>
      </c>
      <c r="E19" s="6">
        <f>E39</f>
        <v>24922.609759999996</v>
      </c>
      <c r="F19" s="233">
        <f t="shared" si="4"/>
        <v>11501.567470000005</v>
      </c>
      <c r="G19" s="369" t="s">
        <v>586</v>
      </c>
      <c r="H19" s="107">
        <f t="shared" si="1"/>
        <v>9</v>
      </c>
      <c r="J19" s="2"/>
    </row>
    <row r="20" spans="1:13" x14ac:dyDescent="0.25">
      <c r="A20" s="107">
        <f t="shared" si="0"/>
        <v>10</v>
      </c>
      <c r="B20" s="396">
        <v>929</v>
      </c>
      <c r="C20" s="398" t="s">
        <v>587</v>
      </c>
      <c r="D20" s="233">
        <v>-17216.712979999997</v>
      </c>
      <c r="E20" s="6">
        <f>E40</f>
        <v>-3937.7277100000001</v>
      </c>
      <c r="F20" s="233">
        <f t="shared" si="4"/>
        <v>-13278.985269999997</v>
      </c>
      <c r="G20" s="369" t="s">
        <v>588</v>
      </c>
      <c r="H20" s="107">
        <f t="shared" si="1"/>
        <v>10</v>
      </c>
      <c r="J20" s="2"/>
    </row>
    <row r="21" spans="1:13" x14ac:dyDescent="0.25">
      <c r="A21" s="107">
        <f>A20+1</f>
        <v>11</v>
      </c>
      <c r="B21" s="400">
        <v>930.1</v>
      </c>
      <c r="C21" s="398" t="s">
        <v>589</v>
      </c>
      <c r="D21" s="233">
        <v>55.474339999999998</v>
      </c>
      <c r="E21" s="6">
        <f>E41</f>
        <v>55.474339999999998</v>
      </c>
      <c r="F21" s="233">
        <f>D21-E21</f>
        <v>0</v>
      </c>
      <c r="G21" s="369" t="s">
        <v>590</v>
      </c>
      <c r="H21" s="107">
        <f>H20+1</f>
        <v>11</v>
      </c>
      <c r="J21" s="2"/>
    </row>
    <row r="22" spans="1:13" x14ac:dyDescent="0.25">
      <c r="A22" s="107">
        <f>A21+1</f>
        <v>12</v>
      </c>
      <c r="B22" s="400">
        <v>930.2</v>
      </c>
      <c r="C22" s="398" t="s">
        <v>591</v>
      </c>
      <c r="D22" s="233">
        <v>2770.7686400000007</v>
      </c>
      <c r="E22" s="6">
        <f>E43</f>
        <v>2400.50488</v>
      </c>
      <c r="F22" s="233">
        <f t="shared" ref="F22" si="5">D22-E22</f>
        <v>370.26376000000073</v>
      </c>
      <c r="G22" s="369" t="s">
        <v>592</v>
      </c>
      <c r="H22" s="107">
        <f>H21+1</f>
        <v>12</v>
      </c>
      <c r="J22" s="2"/>
    </row>
    <row r="23" spans="1:13" x14ac:dyDescent="0.25">
      <c r="A23" s="107">
        <f t="shared" si="0"/>
        <v>13</v>
      </c>
      <c r="B23" s="396">
        <v>931</v>
      </c>
      <c r="C23" s="398" t="s">
        <v>528</v>
      </c>
      <c r="D23" s="233">
        <v>13677.63228</v>
      </c>
      <c r="E23" s="6"/>
      <c r="F23" s="233">
        <f>D23-E23</f>
        <v>13677.63228</v>
      </c>
      <c r="G23" s="369" t="s">
        <v>593</v>
      </c>
      <c r="H23" s="107">
        <f t="shared" si="1"/>
        <v>13</v>
      </c>
      <c r="J23" s="2"/>
    </row>
    <row r="24" spans="1:13" x14ac:dyDescent="0.25">
      <c r="A24" s="107">
        <f t="shared" si="0"/>
        <v>14</v>
      </c>
      <c r="B24" s="396">
        <v>935</v>
      </c>
      <c r="C24" s="398" t="s">
        <v>594</v>
      </c>
      <c r="D24" s="94">
        <v>22833.292279999998</v>
      </c>
      <c r="E24" s="877">
        <f>E45</f>
        <v>32.775579999999998</v>
      </c>
      <c r="F24" s="94">
        <f>D24-E24</f>
        <v>22800.516699999996</v>
      </c>
      <c r="G24" s="571" t="s">
        <v>595</v>
      </c>
      <c r="H24" s="107">
        <f t="shared" si="1"/>
        <v>14</v>
      </c>
      <c r="I24" s="106" t="s">
        <v>1</v>
      </c>
      <c r="J24" s="2"/>
    </row>
    <row r="25" spans="1:13" x14ac:dyDescent="0.25">
      <c r="A25" s="107">
        <f>A24+1</f>
        <v>15</v>
      </c>
      <c r="B25" s="396"/>
      <c r="D25" s="672"/>
      <c r="F25" s="672"/>
      <c r="G25" s="401"/>
      <c r="H25" s="107">
        <f>H24+1</f>
        <v>15</v>
      </c>
    </row>
    <row r="26" spans="1:13" ht="16.5" thickBot="1" x14ac:dyDescent="0.3">
      <c r="A26" s="107">
        <f t="shared" si="0"/>
        <v>16</v>
      </c>
      <c r="B26" s="396"/>
      <c r="C26" s="280" t="s">
        <v>596</v>
      </c>
      <c r="D26" s="99">
        <f>SUM(D11:D24)</f>
        <v>626994.16997000016</v>
      </c>
      <c r="E26" s="103">
        <f>SUM(E11:E24)</f>
        <v>135055.11508318994</v>
      </c>
      <c r="F26" s="99">
        <f>SUM(F11:F24)</f>
        <v>491939.05488681002</v>
      </c>
      <c r="G26" s="402" t="str">
        <f>"Sum Lines "&amp;A11&amp;" thru "&amp;A24</f>
        <v>Sum Lines 1 thru 14</v>
      </c>
      <c r="H26" s="107">
        <f t="shared" si="1"/>
        <v>16</v>
      </c>
    </row>
    <row r="27" spans="1:13" ht="17.25" thickTop="1" thickBot="1" x14ac:dyDescent="0.3">
      <c r="A27" s="107">
        <f>A26+1</f>
        <v>17</v>
      </c>
      <c r="B27" s="403"/>
      <c r="C27" s="878"/>
      <c r="D27" s="104"/>
      <c r="E27" s="105"/>
      <c r="F27" s="105"/>
      <c r="G27" s="634"/>
      <c r="H27" s="107">
        <f>H26+1</f>
        <v>17</v>
      </c>
    </row>
    <row r="28" spans="1:13" x14ac:dyDescent="0.25">
      <c r="A28" s="107">
        <f>A27+1</f>
        <v>18</v>
      </c>
      <c r="B28" s="1160"/>
      <c r="C28" s="1161"/>
      <c r="D28" s="1161"/>
      <c r="E28" s="1161"/>
      <c r="F28" s="1161"/>
      <c r="G28" s="1162"/>
      <c r="H28" s="107">
        <f>H27+1</f>
        <v>18</v>
      </c>
    </row>
    <row r="29" spans="1:13" x14ac:dyDescent="0.25">
      <c r="A29" s="107">
        <f t="shared" ref="A29:A53" si="6">A28+1</f>
        <v>19</v>
      </c>
      <c r="B29" s="405" t="s">
        <v>597</v>
      </c>
      <c r="C29" s="107"/>
      <c r="D29" s="107"/>
      <c r="E29" s="107"/>
      <c r="F29" s="107"/>
      <c r="G29" s="401"/>
      <c r="H29" s="107">
        <f>H28+1</f>
        <v>19</v>
      </c>
    </row>
    <row r="30" spans="1:13" ht="18.75" x14ac:dyDescent="0.25">
      <c r="A30" s="107">
        <f t="shared" si="6"/>
        <v>20</v>
      </c>
      <c r="B30" s="633">
        <v>923</v>
      </c>
      <c r="C30" s="398" t="s">
        <v>1716</v>
      </c>
      <c r="D30" s="1163"/>
      <c r="E30" s="1164">
        <v>-1888.2653800000001</v>
      </c>
      <c r="F30" s="1263"/>
      <c r="G30" s="401"/>
      <c r="H30" s="107">
        <f t="shared" ref="H30:H35" si="7">H29+1</f>
        <v>20</v>
      </c>
    </row>
    <row r="31" spans="1:13" x14ac:dyDescent="0.25">
      <c r="A31" s="107">
        <f>A30+1</f>
        <v>21</v>
      </c>
      <c r="B31" s="633">
        <v>925</v>
      </c>
      <c r="C31" s="398" t="s">
        <v>598</v>
      </c>
      <c r="E31" s="1173">
        <v>271.77697832000001</v>
      </c>
      <c r="F31" s="107"/>
      <c r="G31" s="401"/>
      <c r="H31" s="107">
        <f>H30+1</f>
        <v>21</v>
      </c>
      <c r="J31"/>
      <c r="K31"/>
      <c r="L31"/>
      <c r="M31"/>
    </row>
    <row r="32" spans="1:13" x14ac:dyDescent="0.25">
      <c r="A32" s="107">
        <f>A31+1</f>
        <v>22</v>
      </c>
      <c r="B32" s="633">
        <v>926</v>
      </c>
      <c r="C32" s="1165" t="s">
        <v>598</v>
      </c>
      <c r="D32"/>
      <c r="E32" s="905">
        <v>446.01363487000009</v>
      </c>
      <c r="F32" s="107"/>
      <c r="G32" s="401"/>
      <c r="H32" s="107">
        <f>H31+1</f>
        <v>22</v>
      </c>
      <c r="J32"/>
      <c r="K32"/>
      <c r="L32"/>
      <c r="M32"/>
    </row>
    <row r="33" spans="1:21" x14ac:dyDescent="0.25">
      <c r="A33" s="107">
        <f t="shared" ref="A33" si="8">A32+1</f>
        <v>23</v>
      </c>
      <c r="B33" s="631">
        <v>927</v>
      </c>
      <c r="C33" s="1165" t="s">
        <v>583</v>
      </c>
      <c r="D33" s="1163"/>
      <c r="E33" s="905">
        <v>112751.95299999999</v>
      </c>
      <c r="F33" s="107"/>
      <c r="G33" s="401"/>
      <c r="H33" s="107">
        <f t="shared" ref="H33" si="9">H32+1</f>
        <v>23</v>
      </c>
    </row>
    <row r="34" spans="1:21" x14ac:dyDescent="0.25">
      <c r="A34" s="107">
        <f t="shared" si="6"/>
        <v>24</v>
      </c>
      <c r="B34" s="633">
        <v>928</v>
      </c>
      <c r="C34" s="398" t="s">
        <v>599</v>
      </c>
      <c r="D34" s="1173">
        <v>22096.966619999999</v>
      </c>
      <c r="E34" s="107"/>
      <c r="F34" s="107"/>
      <c r="G34" s="401"/>
      <c r="H34" s="107">
        <f t="shared" si="7"/>
        <v>24</v>
      </c>
      <c r="J34" s="904"/>
    </row>
    <row r="35" spans="1:21" x14ac:dyDescent="0.25">
      <c r="A35" s="107">
        <f t="shared" si="6"/>
        <v>25</v>
      </c>
      <c r="B35" s="633"/>
      <c r="C35" s="398" t="s">
        <v>600</v>
      </c>
      <c r="D35" s="1163">
        <v>0.77205999999999997</v>
      </c>
      <c r="E35" s="107"/>
      <c r="F35" s="107"/>
      <c r="G35" s="401"/>
      <c r="H35" s="107">
        <f t="shared" si="7"/>
        <v>25</v>
      </c>
      <c r="J35" s="904"/>
    </row>
    <row r="36" spans="1:21" x14ac:dyDescent="0.25">
      <c r="A36" s="107">
        <f t="shared" si="6"/>
        <v>26</v>
      </c>
      <c r="B36" s="633"/>
      <c r="C36" s="398" t="s">
        <v>598</v>
      </c>
      <c r="D36" s="1163">
        <v>666.62089999999989</v>
      </c>
      <c r="E36" s="107"/>
      <c r="F36" s="107"/>
      <c r="G36" s="401"/>
      <c r="H36" s="107">
        <f t="shared" ref="H36" si="10">H35+1</f>
        <v>26</v>
      </c>
    </row>
    <row r="37" spans="1:21" x14ac:dyDescent="0.25">
      <c r="A37" s="107">
        <f t="shared" si="6"/>
        <v>27</v>
      </c>
      <c r="B37" s="633"/>
      <c r="C37" s="398" t="s">
        <v>1928</v>
      </c>
      <c r="D37" s="1163">
        <f>236.25819+654.39567</f>
        <v>890.65386000000001</v>
      </c>
      <c r="E37" s="107"/>
      <c r="F37" s="107"/>
      <c r="G37" s="401"/>
      <c r="H37" s="107">
        <f>+H36+1</f>
        <v>27</v>
      </c>
      <c r="J37" s="1225"/>
    </row>
    <row r="38" spans="1:21" x14ac:dyDescent="0.25">
      <c r="A38" s="107">
        <f t="shared" si="6"/>
        <v>28</v>
      </c>
      <c r="B38" s="633"/>
      <c r="C38" s="1166" t="s">
        <v>12</v>
      </c>
      <c r="D38" s="909">
        <v>0</v>
      </c>
      <c r="E38" s="107"/>
      <c r="F38" s="107"/>
      <c r="G38" s="401"/>
      <c r="H38" s="107">
        <f t="shared" ref="H38:H53" si="11">+H37+1</f>
        <v>28</v>
      </c>
      <c r="J38"/>
      <c r="K38"/>
      <c r="L38"/>
      <c r="M38"/>
      <c r="N38"/>
      <c r="O38"/>
      <c r="P38"/>
      <c r="Q38"/>
      <c r="R38"/>
      <c r="S38"/>
      <c r="T38"/>
      <c r="U38"/>
    </row>
    <row r="39" spans="1:21" x14ac:dyDescent="0.25">
      <c r="A39" s="107">
        <f t="shared" si="6"/>
        <v>29</v>
      </c>
      <c r="B39" s="633"/>
      <c r="C39" s="1166" t="s">
        <v>601</v>
      </c>
      <c r="D39" s="1096">
        <v>1267.5963200000001</v>
      </c>
      <c r="E39" s="1163">
        <f>SUM(D34:D39)</f>
        <v>24922.609759999996</v>
      </c>
      <c r="F39" s="107"/>
      <c r="G39" s="401"/>
      <c r="H39" s="107">
        <f t="shared" si="11"/>
        <v>29</v>
      </c>
      <c r="J39"/>
      <c r="K39"/>
      <c r="L39"/>
      <c r="M39"/>
      <c r="N39"/>
      <c r="O39"/>
      <c r="P39"/>
      <c r="Q39"/>
      <c r="R39"/>
      <c r="S39"/>
      <c r="T39"/>
      <c r="U39"/>
    </row>
    <row r="40" spans="1:21" x14ac:dyDescent="0.25">
      <c r="A40" s="107">
        <f t="shared" si="6"/>
        <v>30</v>
      </c>
      <c r="B40" s="633">
        <v>929</v>
      </c>
      <c r="C40" s="1166" t="s">
        <v>1505</v>
      </c>
      <c r="D40" s="1163"/>
      <c r="E40" s="1163">
        <v>-3937.7277100000001</v>
      </c>
      <c r="F40" s="107"/>
      <c r="G40" s="401"/>
      <c r="H40" s="107">
        <f t="shared" si="11"/>
        <v>30</v>
      </c>
      <c r="J40"/>
      <c r="K40"/>
      <c r="L40"/>
      <c r="M40"/>
      <c r="N40"/>
      <c r="O40"/>
      <c r="P40"/>
      <c r="Q40"/>
      <c r="R40"/>
      <c r="S40"/>
      <c r="T40"/>
      <c r="U40"/>
    </row>
    <row r="41" spans="1:21" x14ac:dyDescent="0.25">
      <c r="A41" s="107">
        <f t="shared" si="6"/>
        <v>31</v>
      </c>
      <c r="B41" s="632">
        <v>930.1</v>
      </c>
      <c r="C41" s="1166" t="s">
        <v>589</v>
      </c>
      <c r="D41" s="1163"/>
      <c r="E41" s="905">
        <v>55.474339999999998</v>
      </c>
      <c r="F41" s="107"/>
      <c r="G41" s="401"/>
      <c r="H41" s="107">
        <f t="shared" si="11"/>
        <v>31</v>
      </c>
      <c r="J41"/>
      <c r="K41"/>
    </row>
    <row r="42" spans="1:21" x14ac:dyDescent="0.25">
      <c r="A42" s="107">
        <f t="shared" si="6"/>
        <v>32</v>
      </c>
      <c r="B42" s="879">
        <v>930.2</v>
      </c>
      <c r="C42" s="1165" t="s">
        <v>602</v>
      </c>
      <c r="D42" s="905">
        <v>908.44687999999996</v>
      </c>
      <c r="F42" s="107"/>
      <c r="G42" s="401"/>
      <c r="H42" s="107">
        <f t="shared" si="11"/>
        <v>32</v>
      </c>
      <c r="J42"/>
      <c r="K42"/>
    </row>
    <row r="43" spans="1:21" x14ac:dyDescent="0.25">
      <c r="A43" s="107">
        <f t="shared" si="6"/>
        <v>33</v>
      </c>
      <c r="B43" s="879"/>
      <c r="C43" s="1165" t="s">
        <v>2043</v>
      </c>
      <c r="D43" s="1282">
        <v>1492.058</v>
      </c>
      <c r="E43" s="905">
        <f>SUM(D42:D43)</f>
        <v>2400.50488</v>
      </c>
      <c r="F43" s="107"/>
      <c r="G43" s="401"/>
      <c r="H43" s="107">
        <f t="shared" si="11"/>
        <v>33</v>
      </c>
      <c r="J43"/>
      <c r="K43"/>
    </row>
    <row r="44" spans="1:21" x14ac:dyDescent="0.25">
      <c r="A44" s="107">
        <f t="shared" si="6"/>
        <v>34</v>
      </c>
      <c r="B44" s="633">
        <v>935</v>
      </c>
      <c r="C44" s="398" t="s">
        <v>603</v>
      </c>
      <c r="D44" s="909">
        <v>0</v>
      </c>
      <c r="F44" s="107"/>
      <c r="G44" s="401"/>
      <c r="H44" s="107">
        <f t="shared" si="11"/>
        <v>34</v>
      </c>
    </row>
    <row r="45" spans="1:21" x14ac:dyDescent="0.25">
      <c r="A45" s="107">
        <f t="shared" si="6"/>
        <v>35</v>
      </c>
      <c r="B45" s="633"/>
      <c r="C45" s="398" t="s">
        <v>1928</v>
      </c>
      <c r="D45" s="1096">
        <v>32.775579999999998</v>
      </c>
      <c r="E45" s="906">
        <f>+D44+D45</f>
        <v>32.775579999999998</v>
      </c>
      <c r="F45" s="107"/>
      <c r="G45" s="401"/>
      <c r="H45" s="107">
        <f t="shared" si="11"/>
        <v>35</v>
      </c>
      <c r="J45" s="1225"/>
    </row>
    <row r="46" spans="1:21" x14ac:dyDescent="0.25">
      <c r="A46" s="107">
        <f t="shared" si="6"/>
        <v>36</v>
      </c>
      <c r="B46" s="633"/>
      <c r="C46" s="1167"/>
      <c r="D46" s="1168"/>
      <c r="E46" s="6"/>
      <c r="G46" s="401"/>
      <c r="H46" s="107">
        <f t="shared" si="11"/>
        <v>36</v>
      </c>
    </row>
    <row r="47" spans="1:21" ht="16.5" thickBot="1" x14ac:dyDescent="0.3">
      <c r="A47" s="107">
        <f t="shared" si="6"/>
        <v>37</v>
      </c>
      <c r="B47" s="404"/>
      <c r="C47" s="1169" t="s">
        <v>566</v>
      </c>
      <c r="D47" s="1170"/>
      <c r="E47" s="102">
        <f>SUM(E30:E45)</f>
        <v>135055.11508318994</v>
      </c>
      <c r="F47" s="108"/>
      <c r="G47" s="401"/>
      <c r="H47" s="107">
        <f t="shared" si="11"/>
        <v>37</v>
      </c>
    </row>
    <row r="48" spans="1:21" ht="16.5" thickTop="1" x14ac:dyDescent="0.25">
      <c r="A48" s="107">
        <f t="shared" si="6"/>
        <v>38</v>
      </c>
      <c r="B48" s="404"/>
      <c r="C48" s="1169"/>
      <c r="D48" s="1170"/>
      <c r="E48" s="43"/>
      <c r="F48" s="108"/>
      <c r="G48" s="401"/>
      <c r="H48" s="107">
        <f t="shared" si="11"/>
        <v>38</v>
      </c>
    </row>
    <row r="49" spans="1:16" x14ac:dyDescent="0.25">
      <c r="A49" s="107">
        <f t="shared" si="6"/>
        <v>39</v>
      </c>
      <c r="B49" s="404"/>
      <c r="C49" s="1169"/>
      <c r="E49" s="43"/>
      <c r="F49" s="1"/>
      <c r="G49" s="401"/>
      <c r="H49" s="107">
        <f t="shared" si="11"/>
        <v>39</v>
      </c>
    </row>
    <row r="50" spans="1:16" ht="18.75" x14ac:dyDescent="0.25">
      <c r="A50" s="107">
        <f t="shared" si="6"/>
        <v>40</v>
      </c>
      <c r="B50" s="406">
        <v>1</v>
      </c>
      <c r="C50" s="31" t="s">
        <v>1516</v>
      </c>
      <c r="E50" s="43"/>
      <c r="F50" s="1"/>
      <c r="G50" s="401"/>
      <c r="H50" s="107">
        <f t="shared" si="11"/>
        <v>40</v>
      </c>
    </row>
    <row r="51" spans="1:16" ht="18.75" x14ac:dyDescent="0.25">
      <c r="A51" s="107">
        <f t="shared" si="6"/>
        <v>41</v>
      </c>
      <c r="B51" s="406">
        <v>2</v>
      </c>
      <c r="C51" s="1100" t="s">
        <v>1724</v>
      </c>
      <c r="E51" s="255"/>
      <c r="F51" s="1"/>
      <c r="G51" s="401"/>
      <c r="H51" s="107">
        <f t="shared" si="11"/>
        <v>41</v>
      </c>
      <c r="J51"/>
      <c r="K51"/>
      <c r="L51"/>
      <c r="M51"/>
      <c r="N51"/>
      <c r="O51"/>
      <c r="P51"/>
    </row>
    <row r="52" spans="1:16" x14ac:dyDescent="0.25">
      <c r="A52" s="107">
        <f t="shared" si="6"/>
        <v>42</v>
      </c>
      <c r="B52" s="404"/>
      <c r="C52" s="1100" t="s">
        <v>1725</v>
      </c>
      <c r="E52" s="255"/>
      <c r="F52" s="1"/>
      <c r="G52" s="401"/>
      <c r="H52" s="107">
        <f t="shared" si="11"/>
        <v>42</v>
      </c>
      <c r="J52" s="1099"/>
      <c r="K52" s="1099"/>
      <c r="L52" s="1099"/>
      <c r="M52" s="1099"/>
      <c r="N52" s="1099"/>
      <c r="O52" s="1099"/>
    </row>
    <row r="53" spans="1:16" ht="16.5" thickBot="1" x14ac:dyDescent="0.3">
      <c r="A53" s="107">
        <f t="shared" si="6"/>
        <v>43</v>
      </c>
      <c r="B53" s="407"/>
      <c r="C53" s="880"/>
      <c r="D53" s="878"/>
      <c r="E53" s="878"/>
      <c r="F53" s="878"/>
      <c r="G53" s="634"/>
      <c r="H53" s="107">
        <f t="shared" si="11"/>
        <v>43</v>
      </c>
    </row>
    <row r="54" spans="1:16" x14ac:dyDescent="0.25">
      <c r="A54" s="386"/>
      <c r="C54" s="398"/>
      <c r="D54" s="408"/>
      <c r="E54" s="408"/>
    </row>
    <row r="55" spans="1:16" ht="18.75" x14ac:dyDescent="0.25">
      <c r="A55" s="409"/>
      <c r="C55" s="398"/>
    </row>
    <row r="56" spans="1:16" ht="18.75" x14ac:dyDescent="0.25">
      <c r="A56" s="409"/>
      <c r="C56" s="398"/>
    </row>
    <row r="57" spans="1:16" ht="18.75" x14ac:dyDescent="0.25">
      <c r="A57" s="409"/>
      <c r="C57" s="398"/>
    </row>
    <row r="58" spans="1:16" ht="18.75" x14ac:dyDescent="0.25">
      <c r="A58" s="409"/>
      <c r="C58" s="398"/>
    </row>
    <row r="59" spans="1:16" ht="18.75" x14ac:dyDescent="0.25">
      <c r="A59" s="409"/>
      <c r="C59" s="398"/>
    </row>
    <row r="60" spans="1:16" ht="18.75" x14ac:dyDescent="0.25">
      <c r="A60" s="409"/>
      <c r="C60" s="398"/>
    </row>
    <row r="61" spans="1:16" x14ac:dyDescent="0.25">
      <c r="A61" s="386"/>
      <c r="C61" s="398"/>
    </row>
    <row r="62" spans="1:16" ht="18.75" x14ac:dyDescent="0.25">
      <c r="A62" s="409"/>
      <c r="C62" s="398"/>
    </row>
    <row r="63" spans="1:16" x14ac:dyDescent="0.25">
      <c r="A63" s="386"/>
      <c r="C63" s="398"/>
    </row>
    <row r="64" spans="1:16" ht="18.75" x14ac:dyDescent="0.25">
      <c r="A64" s="409"/>
      <c r="C64" s="398"/>
    </row>
    <row r="65" spans="1:3" x14ac:dyDescent="0.25">
      <c r="A65" s="386"/>
      <c r="C65" s="398"/>
    </row>
    <row r="66" spans="1:3" ht="18.75" x14ac:dyDescent="0.25">
      <c r="A66" s="409"/>
      <c r="C66" s="398"/>
    </row>
    <row r="67" spans="1:3" ht="18.75" x14ac:dyDescent="0.25">
      <c r="A67" s="409"/>
      <c r="B67" s="398"/>
    </row>
    <row r="68" spans="1:3" ht="18.75" x14ac:dyDescent="0.25">
      <c r="A68" s="409"/>
      <c r="B68" s="398"/>
    </row>
    <row r="69" spans="1:3" x14ac:dyDescent="0.25">
      <c r="B69" s="398"/>
    </row>
    <row r="70" spans="1:3" ht="18.75" x14ac:dyDescent="0.25">
      <c r="A70" s="409"/>
      <c r="B70" s="398"/>
    </row>
    <row r="71" spans="1:3" x14ac:dyDescent="0.25">
      <c r="A71" s="410"/>
      <c r="B71" s="280"/>
    </row>
    <row r="72" spans="1:3" x14ac:dyDescent="0.25">
      <c r="B72" s="398"/>
    </row>
  </sheetData>
  <mergeCells count="4">
    <mergeCell ref="B2:G2"/>
    <mergeCell ref="B3:G3"/>
    <mergeCell ref="B4:G4"/>
    <mergeCell ref="B5:G5"/>
  </mergeCells>
  <phoneticPr fontId="56" type="noConversion"/>
  <printOptions horizontalCentered="1"/>
  <pageMargins left="0.5" right="0.5" top="0.5" bottom="0.5" header="0.25" footer="0.25"/>
  <pageSetup scale="52"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35"/>
  <sheetViews>
    <sheetView workbookViewId="0">
      <selection activeCell="C15" sqref="C15"/>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3" bestFit="1" customWidth="1"/>
    <col min="11" max="16384" width="8.7109375" style="5"/>
  </cols>
  <sheetData>
    <row r="1" spans="1:12" x14ac:dyDescent="0.25">
      <c r="A1" s="415"/>
      <c r="B1" s="31"/>
      <c r="D1" s="31"/>
      <c r="E1" s="411"/>
      <c r="F1" s="412"/>
      <c r="G1" s="4"/>
      <c r="H1" s="4"/>
    </row>
    <row r="2" spans="1:12" x14ac:dyDescent="0.25">
      <c r="B2" s="1294" t="s">
        <v>0</v>
      </c>
      <c r="C2" s="1294"/>
      <c r="D2" s="1294"/>
      <c r="E2" s="1294"/>
      <c r="F2" s="1294"/>
      <c r="G2" s="1294"/>
      <c r="H2" s="4"/>
      <c r="J2"/>
      <c r="K2"/>
      <c r="L2"/>
    </row>
    <row r="3" spans="1:12" x14ac:dyDescent="0.25">
      <c r="B3" s="1294" t="s">
        <v>604</v>
      </c>
      <c r="C3" s="1294"/>
      <c r="D3" s="1294"/>
      <c r="E3" s="1294"/>
      <c r="F3" s="1294"/>
      <c r="G3" s="1294"/>
      <c r="H3" s="4"/>
      <c r="J3" s="902"/>
    </row>
    <row r="4" spans="1:12" x14ac:dyDescent="0.25">
      <c r="B4" s="1294" t="s">
        <v>605</v>
      </c>
      <c r="C4" s="1294"/>
      <c r="D4" s="1294"/>
      <c r="E4" s="1294"/>
      <c r="F4" s="1294"/>
      <c r="G4" s="1294"/>
      <c r="H4" s="4"/>
    </row>
    <row r="5" spans="1:12" x14ac:dyDescent="0.25">
      <c r="B5" s="1300" t="str">
        <f>'Stmt AD'!B5</f>
        <v>Base Period &amp; True-Up Period 12 - Months Ending December 31, 2023</v>
      </c>
      <c r="C5" s="1300"/>
      <c r="D5" s="1300"/>
      <c r="E5" s="1300"/>
      <c r="F5" s="1300"/>
      <c r="G5" s="1300"/>
      <c r="H5" s="4"/>
    </row>
    <row r="6" spans="1:12" x14ac:dyDescent="0.25">
      <c r="B6" s="1299" t="s">
        <v>4</v>
      </c>
      <c r="C6" s="1295"/>
      <c r="D6" s="1295"/>
      <c r="E6" s="1295"/>
      <c r="F6" s="1295"/>
      <c r="G6" s="1295"/>
      <c r="H6" s="4"/>
      <c r="J6"/>
      <c r="K6"/>
      <c r="L6"/>
    </row>
    <row r="7" spans="1:12" x14ac:dyDescent="0.25">
      <c r="B7" s="4"/>
      <c r="C7" s="4"/>
      <c r="D7" s="4"/>
      <c r="E7" s="4"/>
      <c r="F7" s="218"/>
      <c r="G7" s="4"/>
      <c r="H7" s="4"/>
    </row>
    <row r="8" spans="1:12" x14ac:dyDescent="0.25">
      <c r="A8" s="4" t="s">
        <v>5</v>
      </c>
      <c r="B8" s="218"/>
      <c r="C8" s="4" t="s">
        <v>205</v>
      </c>
      <c r="D8" s="218"/>
      <c r="E8" s="218"/>
      <c r="F8" s="218"/>
      <c r="G8" s="4"/>
      <c r="H8" s="4" t="s">
        <v>5</v>
      </c>
    </row>
    <row r="9" spans="1:12" x14ac:dyDescent="0.25">
      <c r="A9" s="4" t="s">
        <v>6</v>
      </c>
      <c r="B9" s="31"/>
      <c r="C9" s="849" t="s">
        <v>207</v>
      </c>
      <c r="D9" s="31"/>
      <c r="E9" s="850" t="s">
        <v>7</v>
      </c>
      <c r="F9" s="4"/>
      <c r="G9" s="849" t="s">
        <v>8</v>
      </c>
      <c r="H9" s="4" t="s">
        <v>6</v>
      </c>
    </row>
    <row r="10" spans="1:12" x14ac:dyDescent="0.25">
      <c r="B10" s="31"/>
      <c r="D10" s="31"/>
      <c r="E10" s="31"/>
      <c r="F10" s="4"/>
      <c r="G10" s="991"/>
      <c r="H10" s="4"/>
    </row>
    <row r="11" spans="1:12" x14ac:dyDescent="0.25">
      <c r="A11" s="4">
        <v>1</v>
      </c>
      <c r="B11" s="31" t="s">
        <v>606</v>
      </c>
      <c r="C11" s="46" t="s">
        <v>607</v>
      </c>
      <c r="D11" s="31"/>
      <c r="E11" s="40">
        <v>14293.665000000001</v>
      </c>
      <c r="F11" s="41"/>
      <c r="G11" s="413"/>
      <c r="H11" s="4">
        <f>A11</f>
        <v>1</v>
      </c>
      <c r="K11" s="46"/>
    </row>
    <row r="12" spans="1:12" x14ac:dyDescent="0.25">
      <c r="A12" s="4">
        <f>+A11+1</f>
        <v>2</v>
      </c>
      <c r="B12" s="31"/>
      <c r="C12" s="46"/>
      <c r="D12" s="31"/>
      <c r="E12" s="70"/>
      <c r="F12" s="41"/>
      <c r="G12" s="414"/>
      <c r="H12" s="4">
        <f>+H11+1</f>
        <v>2</v>
      </c>
      <c r="K12" s="46"/>
    </row>
    <row r="13" spans="1:12" x14ac:dyDescent="0.25">
      <c r="A13" s="4">
        <f t="shared" ref="A13:A34" si="0">+A12+1</f>
        <v>3</v>
      </c>
      <c r="B13" s="31" t="s">
        <v>608</v>
      </c>
      <c r="C13" s="46"/>
      <c r="D13" s="31"/>
      <c r="E13" s="1264">
        <f>E29</f>
        <v>31962.25171412994</v>
      </c>
      <c r="F13" s="41"/>
      <c r="G13" s="46" t="s">
        <v>1914</v>
      </c>
      <c r="H13" s="4">
        <f t="shared" ref="H13:H34" si="1">+H12+1</f>
        <v>3</v>
      </c>
      <c r="K13" s="46"/>
    </row>
    <row r="14" spans="1:12" x14ac:dyDescent="0.25">
      <c r="A14" s="4">
        <f t="shared" si="0"/>
        <v>4</v>
      </c>
      <c r="B14" s="31"/>
      <c r="C14" s="46"/>
      <c r="D14" s="31"/>
      <c r="E14" s="38"/>
      <c r="F14" s="41"/>
      <c r="G14" s="444"/>
      <c r="H14" s="4">
        <f t="shared" si="1"/>
        <v>4</v>
      </c>
      <c r="K14" s="46"/>
    </row>
    <row r="15" spans="1:12" x14ac:dyDescent="0.25">
      <c r="A15" s="4">
        <f t="shared" si="0"/>
        <v>5</v>
      </c>
      <c r="B15" s="31" t="s">
        <v>610</v>
      </c>
      <c r="C15" s="46"/>
      <c r="D15" s="31"/>
      <c r="E15" s="1264">
        <f>E34</f>
        <v>78419.33328587006</v>
      </c>
      <c r="F15" s="41"/>
      <c r="G15" s="46" t="s">
        <v>1915</v>
      </c>
      <c r="H15" s="4">
        <f t="shared" si="1"/>
        <v>5</v>
      </c>
      <c r="K15" s="46"/>
    </row>
    <row r="16" spans="1:12" x14ac:dyDescent="0.25">
      <c r="A16" s="4">
        <f t="shared" si="0"/>
        <v>6</v>
      </c>
      <c r="B16" s="31"/>
      <c r="C16" s="46"/>
      <c r="D16" s="31"/>
      <c r="E16" s="38"/>
      <c r="F16" s="41"/>
      <c r="G16" s="444"/>
      <c r="H16" s="4">
        <f t="shared" si="1"/>
        <v>6</v>
      </c>
      <c r="K16" s="46"/>
    </row>
    <row r="17" spans="1:11" x14ac:dyDescent="0.25">
      <c r="A17" s="4">
        <f t="shared" si="0"/>
        <v>7</v>
      </c>
      <c r="B17" s="31" t="s">
        <v>612</v>
      </c>
      <c r="C17" s="46" t="s">
        <v>613</v>
      </c>
      <c r="D17" s="31"/>
      <c r="E17" s="42">
        <v>19469.243999999999</v>
      </c>
      <c r="F17" s="41"/>
      <c r="G17" s="444"/>
      <c r="H17" s="4">
        <f t="shared" si="1"/>
        <v>7</v>
      </c>
      <c r="K17" s="46"/>
    </row>
    <row r="18" spans="1:11" x14ac:dyDescent="0.25">
      <c r="A18" s="4">
        <f t="shared" si="0"/>
        <v>8</v>
      </c>
      <c r="B18" s="31"/>
      <c r="C18" s="46"/>
      <c r="D18" s="31"/>
      <c r="E18" s="38"/>
      <c r="F18" s="41"/>
      <c r="G18" s="444"/>
      <c r="H18" s="4">
        <f t="shared" si="1"/>
        <v>8</v>
      </c>
      <c r="K18" s="46"/>
    </row>
    <row r="19" spans="1:11" x14ac:dyDescent="0.25">
      <c r="A19" s="4">
        <f t="shared" si="0"/>
        <v>9</v>
      </c>
      <c r="B19" s="31" t="s">
        <v>614</v>
      </c>
      <c r="C19" s="46" t="s">
        <v>615</v>
      </c>
      <c r="D19" s="31"/>
      <c r="E19" s="42">
        <v>18488.069</v>
      </c>
      <c r="F19" s="41"/>
      <c r="G19" s="444"/>
      <c r="H19" s="4">
        <f t="shared" si="1"/>
        <v>9</v>
      </c>
      <c r="K19" s="46"/>
    </row>
    <row r="20" spans="1:11" x14ac:dyDescent="0.25">
      <c r="A20" s="4">
        <f t="shared" si="0"/>
        <v>10</v>
      </c>
      <c r="B20" s="31"/>
      <c r="C20" s="46"/>
      <c r="D20" s="31"/>
      <c r="E20" s="38"/>
      <c r="F20" s="41"/>
      <c r="G20" s="444"/>
      <c r="H20" s="4">
        <f t="shared" si="1"/>
        <v>10</v>
      </c>
      <c r="K20" s="46"/>
    </row>
    <row r="21" spans="1:11" x14ac:dyDescent="0.25">
      <c r="A21" s="4">
        <f t="shared" si="0"/>
        <v>11</v>
      </c>
      <c r="B21" s="31" t="s">
        <v>616</v>
      </c>
      <c r="C21" s="46" t="s">
        <v>617</v>
      </c>
      <c r="D21" s="31"/>
      <c r="E21" s="908">
        <v>0</v>
      </c>
      <c r="F21" s="41"/>
      <c r="G21" s="444"/>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618</v>
      </c>
      <c r="D23" s="31"/>
      <c r="E23" s="119">
        <f>SUM(E11:E21)</f>
        <v>162632.56299999999</v>
      </c>
      <c r="F23" s="41"/>
      <c r="G23" s="44" t="s">
        <v>619</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233</v>
      </c>
      <c r="D25" s="31"/>
      <c r="E25" s="109">
        <f>IFERROR(E13/E23,0)</f>
        <v>0.19653045567590263</v>
      </c>
      <c r="F25" s="73"/>
      <c r="G25" s="4" t="s">
        <v>620</v>
      </c>
      <c r="H25" s="4">
        <f t="shared" si="1"/>
        <v>15</v>
      </c>
    </row>
    <row r="26" spans="1:11" ht="16.5" thickTop="1" x14ac:dyDescent="0.25">
      <c r="A26" s="849">
        <f t="shared" si="0"/>
        <v>16</v>
      </c>
      <c r="B26" s="920"/>
      <c r="C26" s="920"/>
      <c r="D26" s="920"/>
      <c r="E26" s="1269"/>
      <c r="F26" s="1270"/>
      <c r="G26" s="849"/>
      <c r="H26" s="849">
        <f t="shared" si="1"/>
        <v>16</v>
      </c>
    </row>
    <row r="27" spans="1:11" x14ac:dyDescent="0.25">
      <c r="A27" s="4">
        <f t="shared" si="0"/>
        <v>17</v>
      </c>
      <c r="B27" s="31" t="s">
        <v>1895</v>
      </c>
      <c r="C27" s="46" t="s">
        <v>609</v>
      </c>
      <c r="D27" s="277"/>
      <c r="E27" s="1265">
        <v>32531.388999999999</v>
      </c>
      <c r="F27" s="73"/>
      <c r="G27" s="44" t="s">
        <v>258</v>
      </c>
      <c r="H27" s="4">
        <f t="shared" si="1"/>
        <v>17</v>
      </c>
    </row>
    <row r="28" spans="1:11" x14ac:dyDescent="0.25">
      <c r="A28" s="4">
        <f t="shared" si="0"/>
        <v>18</v>
      </c>
      <c r="B28" s="31" t="s">
        <v>2015</v>
      </c>
      <c r="C28" s="277"/>
      <c r="D28" s="277"/>
      <c r="E28" s="1258">
        <f>'AD-6'!F34</f>
        <v>0.982504980470706</v>
      </c>
      <c r="F28" s="31"/>
      <c r="G28" s="4" t="s">
        <v>1910</v>
      </c>
      <c r="H28" s="4">
        <f t="shared" si="1"/>
        <v>18</v>
      </c>
    </row>
    <row r="29" spans="1:11" ht="16.5" thickBot="1" x14ac:dyDescent="0.3">
      <c r="A29" s="4">
        <f t="shared" si="0"/>
        <v>19</v>
      </c>
      <c r="B29" s="31" t="s">
        <v>1893</v>
      </c>
      <c r="E29" s="1266">
        <f>E27*E28</f>
        <v>31962.25171412994</v>
      </c>
      <c r="F29" s="31"/>
      <c r="G29" s="4" t="s">
        <v>24</v>
      </c>
      <c r="H29" s="4">
        <f t="shared" si="1"/>
        <v>19</v>
      </c>
    </row>
    <row r="30" spans="1:11" ht="17.25" thickTop="1" thickBot="1" x14ac:dyDescent="0.3">
      <c r="A30" s="4">
        <f t="shared" si="0"/>
        <v>20</v>
      </c>
      <c r="B30" s="31" t="s">
        <v>1894</v>
      </c>
      <c r="E30" s="1267">
        <f>E27-E29</f>
        <v>569.13728587005971</v>
      </c>
      <c r="F30" s="31"/>
      <c r="G30" s="4" t="s">
        <v>1911</v>
      </c>
      <c r="H30" s="4">
        <f t="shared" si="1"/>
        <v>20</v>
      </c>
    </row>
    <row r="31" spans="1:11" ht="16.5" thickTop="1" x14ac:dyDescent="0.25">
      <c r="A31" s="4">
        <f t="shared" si="0"/>
        <v>21</v>
      </c>
      <c r="B31" s="31"/>
      <c r="E31" s="31"/>
      <c r="F31" s="31"/>
      <c r="G31" s="4"/>
      <c r="H31" s="4">
        <f t="shared" si="1"/>
        <v>21</v>
      </c>
    </row>
    <row r="32" spans="1:11" x14ac:dyDescent="0.25">
      <c r="A32" s="4">
        <f t="shared" si="0"/>
        <v>22</v>
      </c>
      <c r="B32" s="31" t="s">
        <v>1896</v>
      </c>
      <c r="C32" s="46" t="s">
        <v>611</v>
      </c>
      <c r="E32" s="1265">
        <v>77850.195999999996</v>
      </c>
      <c r="F32" s="31"/>
      <c r="G32" s="44" t="s">
        <v>258</v>
      </c>
      <c r="H32" s="4">
        <f t="shared" si="1"/>
        <v>22</v>
      </c>
    </row>
    <row r="33" spans="1:8" x14ac:dyDescent="0.25">
      <c r="A33" s="4">
        <f t="shared" si="0"/>
        <v>23</v>
      </c>
      <c r="B33" s="31" t="s">
        <v>1894</v>
      </c>
      <c r="E33" s="35">
        <f>E30</f>
        <v>569.13728587005971</v>
      </c>
      <c r="F33" s="31"/>
      <c r="G33" s="4" t="s">
        <v>1912</v>
      </c>
      <c r="H33" s="4">
        <f t="shared" si="1"/>
        <v>23</v>
      </c>
    </row>
    <row r="34" spans="1:8" ht="16.5" thickBot="1" x14ac:dyDescent="0.3">
      <c r="A34" s="4">
        <f t="shared" si="0"/>
        <v>24</v>
      </c>
      <c r="B34" s="31" t="s">
        <v>1897</v>
      </c>
      <c r="E34" s="1268">
        <f>E32+E33</f>
        <v>78419.33328587006</v>
      </c>
      <c r="F34" s="31"/>
      <c r="G34" s="4" t="s">
        <v>1913</v>
      </c>
      <c r="H34" s="4">
        <f t="shared" si="1"/>
        <v>24</v>
      </c>
    </row>
    <row r="35" spans="1:8" ht="16.5" thickTop="1" x14ac:dyDescent="0.25"/>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41"/>
  <sheetViews>
    <sheetView workbookViewId="0"/>
  </sheetViews>
  <sheetFormatPr defaultColWidth="8.7109375" defaultRowHeight="15.75" x14ac:dyDescent="0.25"/>
  <cols>
    <col min="1" max="1" width="5.28515625" style="4" customWidth="1"/>
    <col min="2" max="2" width="71.5703125" style="31" customWidth="1"/>
    <col min="3" max="3" width="21.28515625" style="358"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294" t="s">
        <v>0</v>
      </c>
      <c r="C2" s="1294"/>
      <c r="D2" s="1294"/>
      <c r="E2" s="1294"/>
      <c r="F2" s="1294"/>
      <c r="G2" s="1294"/>
    </row>
    <row r="3" spans="1:8" x14ac:dyDescent="0.25">
      <c r="B3" s="1294" t="s">
        <v>621</v>
      </c>
      <c r="C3" s="1294"/>
      <c r="D3" s="1294"/>
      <c r="E3" s="1294"/>
      <c r="F3" s="1294"/>
      <c r="G3" s="1294"/>
    </row>
    <row r="4" spans="1:8" x14ac:dyDescent="0.25">
      <c r="B4" s="1294" t="s">
        <v>622</v>
      </c>
      <c r="C4" s="1294"/>
      <c r="D4" s="1294"/>
      <c r="E4" s="1294"/>
      <c r="F4" s="1294"/>
      <c r="G4" s="1294"/>
    </row>
    <row r="5" spans="1:8" x14ac:dyDescent="0.25">
      <c r="B5" s="1300" t="str">
        <f>'Stmt AD'!B5</f>
        <v>Base Period &amp; True-Up Period 12 - Months Ending December 31, 2023</v>
      </c>
      <c r="C5" s="1300"/>
      <c r="D5" s="1300"/>
      <c r="E5" s="1300"/>
      <c r="F5" s="1300"/>
      <c r="G5" s="1300"/>
    </row>
    <row r="6" spans="1:8" ht="15.75" customHeight="1" x14ac:dyDescent="0.25">
      <c r="B6" s="1311">
        <v>-1000</v>
      </c>
      <c r="C6" s="1311"/>
      <c r="D6" s="1311"/>
      <c r="E6" s="1311"/>
      <c r="F6" s="1311"/>
      <c r="G6" s="1311"/>
    </row>
    <row r="7" spans="1:8" x14ac:dyDescent="0.25">
      <c r="B7" s="4"/>
      <c r="D7" s="4"/>
      <c r="E7" s="4"/>
      <c r="F7" s="218"/>
      <c r="G7" s="4"/>
    </row>
    <row r="8" spans="1:8" x14ac:dyDescent="0.25">
      <c r="A8" s="4" t="s">
        <v>5</v>
      </c>
      <c r="B8" s="218"/>
      <c r="C8" s="4" t="s">
        <v>205</v>
      </c>
      <c r="D8" s="218"/>
      <c r="E8" s="34"/>
      <c r="F8" s="218"/>
      <c r="G8" s="4"/>
      <c r="H8" s="4" t="s">
        <v>5</v>
      </c>
    </row>
    <row r="9" spans="1:8" x14ac:dyDescent="0.25">
      <c r="A9" s="4" t="s">
        <v>6</v>
      </c>
      <c r="B9" s="218"/>
      <c r="C9" s="849" t="s">
        <v>207</v>
      </c>
      <c r="D9" s="218"/>
      <c r="E9" s="850" t="s">
        <v>7</v>
      </c>
      <c r="F9" s="218"/>
      <c r="G9" s="849" t="s">
        <v>8</v>
      </c>
      <c r="H9" s="4" t="s">
        <v>6</v>
      </c>
    </row>
    <row r="10" spans="1:8" x14ac:dyDescent="0.25">
      <c r="B10" s="218"/>
      <c r="C10" s="415"/>
      <c r="D10" s="218"/>
      <c r="E10" s="4"/>
      <c r="F10" s="218"/>
      <c r="G10" s="4"/>
    </row>
    <row r="11" spans="1:8" x14ac:dyDescent="0.25">
      <c r="A11" s="4">
        <v>1</v>
      </c>
      <c r="B11" s="32" t="s">
        <v>623</v>
      </c>
      <c r="D11" s="4"/>
      <c r="E11" s="110">
        <f>'AJ-1'!F26</f>
        <v>238385.1245212658</v>
      </c>
      <c r="F11" s="4"/>
      <c r="G11" s="46" t="s">
        <v>1679</v>
      </c>
      <c r="H11" s="4">
        <f>A11</f>
        <v>1</v>
      </c>
    </row>
    <row r="12" spans="1:8" x14ac:dyDescent="0.25">
      <c r="A12" s="4">
        <f>A11+1</f>
        <v>2</v>
      </c>
      <c r="E12" s="111"/>
      <c r="F12" s="71"/>
      <c r="G12" s="46"/>
      <c r="H12" s="4">
        <f>H11+1</f>
        <v>2</v>
      </c>
    </row>
    <row r="13" spans="1:8" x14ac:dyDescent="0.25">
      <c r="A13" s="4">
        <f t="shared" ref="A13:A33" si="0">A12+1</f>
        <v>3</v>
      </c>
      <c r="B13" s="31" t="s">
        <v>624</v>
      </c>
      <c r="C13" s="4" t="s">
        <v>625</v>
      </c>
      <c r="E13" s="42">
        <f>'AJ-2'!C15</f>
        <v>13510.349459999998</v>
      </c>
      <c r="F13" s="71"/>
      <c r="G13" s="46" t="s">
        <v>626</v>
      </c>
      <c r="H13" s="4">
        <f t="shared" ref="H13:H28" si="1">H12+1</f>
        <v>3</v>
      </c>
    </row>
    <row r="14" spans="1:8" x14ac:dyDescent="0.25">
      <c r="A14" s="4">
        <f t="shared" si="0"/>
        <v>4</v>
      </c>
      <c r="C14" s="4"/>
      <c r="E14" s="111"/>
      <c r="F14" s="71"/>
      <c r="G14" s="46"/>
      <c r="H14" s="4">
        <f t="shared" si="1"/>
        <v>4</v>
      </c>
    </row>
    <row r="15" spans="1:8" x14ac:dyDescent="0.25">
      <c r="A15" s="4">
        <f t="shared" si="0"/>
        <v>5</v>
      </c>
      <c r="B15" s="31" t="s">
        <v>627</v>
      </c>
      <c r="C15" s="4" t="s">
        <v>628</v>
      </c>
      <c r="E15" s="112">
        <f>'AJ-3'!C15</f>
        <v>26427.473339999971</v>
      </c>
      <c r="F15" s="44"/>
      <c r="G15" s="46" t="s">
        <v>629</v>
      </c>
      <c r="H15" s="4">
        <f t="shared" si="1"/>
        <v>5</v>
      </c>
    </row>
    <row r="16" spans="1:8" x14ac:dyDescent="0.25">
      <c r="A16" s="4">
        <f t="shared" si="0"/>
        <v>6</v>
      </c>
      <c r="C16" s="4"/>
      <c r="E16" s="38"/>
      <c r="F16" s="73"/>
      <c r="G16" s="46"/>
      <c r="H16" s="4">
        <f t="shared" si="1"/>
        <v>6</v>
      </c>
    </row>
    <row r="17" spans="1:10" x14ac:dyDescent="0.25">
      <c r="A17" s="4">
        <f t="shared" si="0"/>
        <v>7</v>
      </c>
      <c r="B17" s="31" t="s">
        <v>630</v>
      </c>
      <c r="C17" s="4" t="s">
        <v>631</v>
      </c>
      <c r="E17" s="42">
        <f>'AJ-4'!D15</f>
        <v>164469.95111599998</v>
      </c>
      <c r="F17" s="41"/>
      <c r="G17" s="46" t="s">
        <v>632</v>
      </c>
      <c r="H17" s="4">
        <f t="shared" si="1"/>
        <v>7</v>
      </c>
    </row>
    <row r="18" spans="1:10" x14ac:dyDescent="0.25">
      <c r="A18" s="4">
        <f t="shared" si="0"/>
        <v>8</v>
      </c>
      <c r="E18" s="72"/>
      <c r="F18" s="73"/>
      <c r="G18" s="46"/>
      <c r="H18" s="4">
        <f t="shared" si="1"/>
        <v>8</v>
      </c>
    </row>
    <row r="19" spans="1:10" x14ac:dyDescent="0.25">
      <c r="A19" s="4">
        <f t="shared" si="0"/>
        <v>9</v>
      </c>
      <c r="B19" s="31" t="s">
        <v>233</v>
      </c>
      <c r="E19" s="971">
        <f>'Stmt AI'!E25</f>
        <v>0.19653045567590263</v>
      </c>
      <c r="F19" s="73"/>
      <c r="G19" s="46" t="s">
        <v>234</v>
      </c>
      <c r="H19" s="4">
        <f t="shared" si="1"/>
        <v>9</v>
      </c>
      <c r="J19" s="277"/>
    </row>
    <row r="20" spans="1:10" x14ac:dyDescent="0.25">
      <c r="A20" s="4">
        <f t="shared" si="0"/>
        <v>10</v>
      </c>
      <c r="E20" s="113"/>
      <c r="F20" s="73"/>
      <c r="G20" s="46"/>
      <c r="H20" s="4">
        <f t="shared" si="1"/>
        <v>10</v>
      </c>
    </row>
    <row r="21" spans="1:10" x14ac:dyDescent="0.25">
      <c r="A21" s="4">
        <f t="shared" si="0"/>
        <v>11</v>
      </c>
      <c r="B21" s="31" t="s">
        <v>633</v>
      </c>
      <c r="E21" s="75">
        <f>E13*$E$19</f>
        <v>2655.1951357144844</v>
      </c>
      <c r="F21" s="71"/>
      <c r="G21" s="46" t="s">
        <v>360</v>
      </c>
      <c r="H21" s="4">
        <f t="shared" si="1"/>
        <v>11</v>
      </c>
    </row>
    <row r="22" spans="1:10" x14ac:dyDescent="0.25">
      <c r="A22" s="4">
        <f t="shared" si="0"/>
        <v>12</v>
      </c>
      <c r="E22" s="113"/>
      <c r="F22" s="73"/>
      <c r="G22" s="46"/>
      <c r="H22" s="4">
        <f t="shared" si="1"/>
        <v>12</v>
      </c>
    </row>
    <row r="23" spans="1:10" x14ac:dyDescent="0.25">
      <c r="A23" s="4">
        <f t="shared" si="0"/>
        <v>13</v>
      </c>
      <c r="B23" s="31" t="s">
        <v>634</v>
      </c>
      <c r="E23" s="38">
        <f>E15*$E$19</f>
        <v>5193.8033778729632</v>
      </c>
      <c r="F23" s="41"/>
      <c r="G23" s="46" t="s">
        <v>362</v>
      </c>
      <c r="H23" s="4">
        <f t="shared" si="1"/>
        <v>13</v>
      </c>
    </row>
    <row r="24" spans="1:10" x14ac:dyDescent="0.25">
      <c r="A24" s="4">
        <f t="shared" si="0"/>
        <v>14</v>
      </c>
      <c r="B24" s="31" t="s">
        <v>1</v>
      </c>
      <c r="E24" s="76"/>
      <c r="F24" s="41"/>
      <c r="G24" s="46"/>
      <c r="H24" s="4">
        <f t="shared" si="1"/>
        <v>14</v>
      </c>
    </row>
    <row r="25" spans="1:10" x14ac:dyDescent="0.25">
      <c r="A25" s="4">
        <f t="shared" si="0"/>
        <v>15</v>
      </c>
      <c r="B25" s="31" t="s">
        <v>635</v>
      </c>
      <c r="E25" s="925">
        <f>E17*$E$19</f>
        <v>32323.354437820908</v>
      </c>
      <c r="F25" s="41"/>
      <c r="G25" s="46" t="s">
        <v>364</v>
      </c>
      <c r="H25" s="4">
        <f t="shared" si="1"/>
        <v>15</v>
      </c>
    </row>
    <row r="26" spans="1:10" x14ac:dyDescent="0.25">
      <c r="A26" s="4">
        <f t="shared" si="0"/>
        <v>16</v>
      </c>
      <c r="E26" s="76"/>
      <c r="F26" s="41"/>
      <c r="G26" s="46"/>
      <c r="H26" s="4">
        <f t="shared" si="1"/>
        <v>16</v>
      </c>
    </row>
    <row r="27" spans="1:10" ht="16.5" thickBot="1" x14ac:dyDescent="0.3">
      <c r="A27" s="4">
        <f t="shared" si="0"/>
        <v>17</v>
      </c>
      <c r="B27" s="31" t="s">
        <v>636</v>
      </c>
      <c r="D27" s="48"/>
      <c r="E27" s="77">
        <f>E11+E21+E23+E25</f>
        <v>278557.47747267416</v>
      </c>
      <c r="F27" s="71"/>
      <c r="G27" s="46" t="s">
        <v>365</v>
      </c>
      <c r="H27" s="4">
        <f t="shared" si="1"/>
        <v>17</v>
      </c>
    </row>
    <row r="28" spans="1:10" ht="16.5" thickTop="1" x14ac:dyDescent="0.25">
      <c r="A28" s="4">
        <f t="shared" si="0"/>
        <v>18</v>
      </c>
      <c r="D28" s="48"/>
      <c r="E28" s="48"/>
      <c r="F28" s="41"/>
      <c r="G28" s="46"/>
      <c r="H28" s="4">
        <f t="shared" si="1"/>
        <v>18</v>
      </c>
    </row>
    <row r="29" spans="1:10" ht="16.5" thickBot="1" x14ac:dyDescent="0.3">
      <c r="A29" s="4">
        <f>A28+1</f>
        <v>19</v>
      </c>
      <c r="B29" s="31" t="s">
        <v>35</v>
      </c>
      <c r="D29" s="48"/>
      <c r="E29" s="78">
        <f>'AJ-5'!F28</f>
        <v>0</v>
      </c>
      <c r="F29" s="41"/>
      <c r="G29" s="46" t="s">
        <v>1680</v>
      </c>
      <c r="H29" s="4">
        <f>H28+1</f>
        <v>19</v>
      </c>
    </row>
    <row r="30" spans="1:10" ht="16.5" thickTop="1" x14ac:dyDescent="0.25">
      <c r="A30" s="4">
        <f t="shared" si="0"/>
        <v>20</v>
      </c>
      <c r="D30" s="48"/>
      <c r="F30" s="41"/>
      <c r="G30" s="46"/>
      <c r="H30" s="4">
        <f t="shared" ref="H30:H33" si="2">H29+1</f>
        <v>20</v>
      </c>
    </row>
    <row r="31" spans="1:10" ht="19.5" thickBot="1" x14ac:dyDescent="0.3">
      <c r="A31" s="4">
        <f>A30+1</f>
        <v>21</v>
      </c>
      <c r="B31" s="31" t="s">
        <v>637</v>
      </c>
      <c r="D31" s="416"/>
      <c r="E31" s="78">
        <f>'AJ-6'!C17</f>
        <v>0</v>
      </c>
      <c r="F31" s="264"/>
      <c r="G31" s="46" t="s">
        <v>638</v>
      </c>
      <c r="H31" s="4">
        <f>H30+1</f>
        <v>21</v>
      </c>
    </row>
    <row r="32" spans="1:10" ht="16.5" thickTop="1" x14ac:dyDescent="0.25">
      <c r="A32" s="4">
        <f t="shared" si="0"/>
        <v>22</v>
      </c>
      <c r="D32" s="38"/>
      <c r="E32" s="38"/>
      <c r="F32" s="41"/>
      <c r="G32" s="46"/>
      <c r="H32" s="4">
        <f t="shared" si="2"/>
        <v>22</v>
      </c>
    </row>
    <row r="33" spans="1:8" ht="16.5" thickBot="1" x14ac:dyDescent="0.3">
      <c r="A33" s="4">
        <f t="shared" si="0"/>
        <v>23</v>
      </c>
      <c r="B33" s="31" t="s">
        <v>639</v>
      </c>
      <c r="C33" s="415"/>
      <c r="D33" s="111"/>
      <c r="E33" s="78">
        <f>'AJ-7'!C17</f>
        <v>0</v>
      </c>
      <c r="F33" s="41"/>
      <c r="G33" s="46" t="s">
        <v>640</v>
      </c>
      <c r="H33" s="4">
        <f t="shared" si="2"/>
        <v>23</v>
      </c>
    </row>
    <row r="34" spans="1:8" ht="16.5" thickTop="1" x14ac:dyDescent="0.25">
      <c r="B34" s="32"/>
      <c r="E34" s="111"/>
      <c r="F34" s="41"/>
      <c r="G34" s="49"/>
    </row>
    <row r="35" spans="1:8" x14ac:dyDescent="0.25">
      <c r="B35" s="32"/>
      <c r="E35" s="111"/>
      <c r="F35" s="41"/>
      <c r="G35" s="49"/>
    </row>
    <row r="36" spans="1:8" ht="18.75" x14ac:dyDescent="0.25">
      <c r="A36" s="266">
        <v>1</v>
      </c>
      <c r="B36" s="31" t="s">
        <v>641</v>
      </c>
      <c r="E36" s="48"/>
      <c r="F36" s="41"/>
      <c r="G36" s="46"/>
    </row>
    <row r="37" spans="1:8" x14ac:dyDescent="0.25">
      <c r="E37" s="48"/>
      <c r="F37" s="41"/>
      <c r="G37" s="46"/>
    </row>
    <row r="38" spans="1:8" x14ac:dyDescent="0.25">
      <c r="B38" s="251"/>
      <c r="E38" s="38"/>
      <c r="F38" s="41"/>
      <c r="G38" s="46"/>
    </row>
    <row r="39" spans="1:8" x14ac:dyDescent="0.25">
      <c r="B39" s="1"/>
      <c r="C39" s="415"/>
      <c r="E39" s="114"/>
      <c r="F39" s="41"/>
      <c r="G39" s="417"/>
    </row>
    <row r="40" spans="1:8" x14ac:dyDescent="0.25">
      <c r="B40" s="251"/>
      <c r="E40" s="70"/>
      <c r="F40" s="41"/>
      <c r="G40" s="417"/>
    </row>
    <row r="41" spans="1:8" x14ac:dyDescent="0.25">
      <c r="F41" s="4"/>
      <c r="G41" s="46"/>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workbookViewId="0"/>
  </sheetViews>
  <sheetFormatPr defaultColWidth="9.28515625" defaultRowHeight="15.75" x14ac:dyDescent="0.25"/>
  <cols>
    <col min="1" max="1" width="5.28515625" style="4" customWidth="1"/>
    <col min="2" max="2" width="8.5703125" style="31" customWidth="1"/>
    <col min="3" max="3" width="53.28515625" style="31" customWidth="1"/>
    <col min="4" max="4" width="18.5703125" style="31" customWidth="1"/>
    <col min="5" max="5" width="27.7109375" style="31" customWidth="1"/>
    <col min="6" max="6" width="18.5703125" style="31" customWidth="1"/>
    <col min="7" max="7" width="27.7109375" style="31" customWidth="1"/>
    <col min="8" max="9" width="5.28515625" style="4" customWidth="1"/>
    <col min="10" max="16384" width="9.28515625" style="31"/>
  </cols>
  <sheetData>
    <row r="2" spans="1:9" x14ac:dyDescent="0.25">
      <c r="B2" s="1294" t="s">
        <v>0</v>
      </c>
      <c r="C2" s="1294"/>
      <c r="D2" s="1294"/>
      <c r="E2" s="1294"/>
      <c r="F2" s="1294"/>
      <c r="G2" s="1294"/>
      <c r="H2" s="218"/>
      <c r="I2" s="218"/>
    </row>
    <row r="3" spans="1:9" x14ac:dyDescent="0.25">
      <c r="B3" s="1294" t="s">
        <v>642</v>
      </c>
      <c r="C3" s="1294"/>
      <c r="D3" s="1294"/>
      <c r="E3" s="1294"/>
      <c r="F3" s="1294"/>
      <c r="G3" s="1294"/>
      <c r="H3" s="218"/>
      <c r="I3" s="218"/>
    </row>
    <row r="4" spans="1:9" x14ac:dyDescent="0.25">
      <c r="B4" s="1294" t="s">
        <v>643</v>
      </c>
      <c r="C4" s="1294"/>
      <c r="D4" s="1294"/>
      <c r="E4" s="1294"/>
      <c r="F4" s="1294"/>
      <c r="G4" s="1294"/>
      <c r="H4" s="218"/>
      <c r="I4" s="218"/>
    </row>
    <row r="5" spans="1:9" x14ac:dyDescent="0.25">
      <c r="B5" s="1294" t="s">
        <v>1562</v>
      </c>
      <c r="C5" s="1294"/>
      <c r="D5" s="1294"/>
      <c r="E5" s="1294"/>
      <c r="F5" s="1294"/>
      <c r="G5" s="1294"/>
    </row>
    <row r="6" spans="1:9" x14ac:dyDescent="0.25">
      <c r="B6" s="1311">
        <v>-1000</v>
      </c>
      <c r="C6" s="1311"/>
      <c r="D6" s="1311"/>
      <c r="E6" s="1311"/>
      <c r="F6" s="1311"/>
      <c r="G6" s="1311"/>
    </row>
    <row r="7" spans="1:9" x14ac:dyDescent="0.25">
      <c r="B7" s="992"/>
      <c r="C7" s="969"/>
      <c r="D7" s="969"/>
      <c r="E7" s="969"/>
      <c r="F7" s="920"/>
    </row>
    <row r="8" spans="1:9" x14ac:dyDescent="0.25">
      <c r="B8" s="993"/>
      <c r="C8" s="927"/>
      <c r="D8" s="418" t="s">
        <v>449</v>
      </c>
      <c r="E8" s="994"/>
      <c r="F8" s="418"/>
      <c r="G8" s="994"/>
    </row>
    <row r="9" spans="1:9" s="218" customFormat="1" x14ac:dyDescent="0.25">
      <c r="B9" s="270"/>
      <c r="C9" s="270"/>
      <c r="D9" s="274" t="s">
        <v>290</v>
      </c>
      <c r="E9" s="270"/>
      <c r="F9" s="271" t="s">
        <v>290</v>
      </c>
      <c r="G9" s="270"/>
      <c r="H9" s="4"/>
      <c r="I9" s="4"/>
    </row>
    <row r="10" spans="1:9" x14ac:dyDescent="0.25">
      <c r="A10" s="4" t="s">
        <v>5</v>
      </c>
      <c r="B10" s="270" t="s">
        <v>305</v>
      </c>
      <c r="C10" s="270"/>
      <c r="D10" s="274" t="s">
        <v>644</v>
      </c>
      <c r="E10" s="270"/>
      <c r="F10" s="274" t="s">
        <v>644</v>
      </c>
      <c r="G10" s="270"/>
      <c r="H10" s="4" t="s">
        <v>5</v>
      </c>
    </row>
    <row r="11" spans="1:9" ht="18.75" x14ac:dyDescent="0.25">
      <c r="A11" s="4" t="s">
        <v>6</v>
      </c>
      <c r="B11" s="275" t="s">
        <v>6</v>
      </c>
      <c r="C11" s="275" t="s">
        <v>306</v>
      </c>
      <c r="D11" s="276" t="s">
        <v>256</v>
      </c>
      <c r="E11" s="275" t="s">
        <v>8</v>
      </c>
      <c r="F11" s="276" t="s">
        <v>257</v>
      </c>
      <c r="G11" s="275" t="s">
        <v>8</v>
      </c>
      <c r="H11" s="4" t="s">
        <v>6</v>
      </c>
    </row>
    <row r="12" spans="1:9" x14ac:dyDescent="0.25">
      <c r="A12" s="4">
        <v>1</v>
      </c>
      <c r="B12" s="935">
        <v>303</v>
      </c>
      <c r="C12" s="995" t="s">
        <v>314</v>
      </c>
      <c r="D12" s="64">
        <v>0</v>
      </c>
      <c r="E12" s="935" t="s">
        <v>258</v>
      </c>
      <c r="F12" s="64">
        <v>0</v>
      </c>
      <c r="G12" s="996" t="s">
        <v>258</v>
      </c>
      <c r="H12" s="4">
        <f>A12</f>
        <v>1</v>
      </c>
    </row>
    <row r="13" spans="1:9" x14ac:dyDescent="0.25">
      <c r="A13" s="4">
        <f>A12+1</f>
        <v>2</v>
      </c>
      <c r="B13" s="935">
        <v>350</v>
      </c>
      <c r="C13" s="995" t="s">
        <v>645</v>
      </c>
      <c r="D13" s="52">
        <v>2063.9457599999987</v>
      </c>
      <c r="E13" s="233"/>
      <c r="F13" s="52">
        <v>0</v>
      </c>
      <c r="G13" s="354"/>
      <c r="H13" s="4">
        <f>H12+1</f>
        <v>2</v>
      </c>
    </row>
    <row r="14" spans="1:9" x14ac:dyDescent="0.25">
      <c r="A14" s="4">
        <f t="shared" ref="A14:A27" si="0">A13+1</f>
        <v>3</v>
      </c>
      <c r="B14" s="950">
        <v>351.1</v>
      </c>
      <c r="C14" s="234" t="s">
        <v>1544</v>
      </c>
      <c r="D14" s="52">
        <v>0</v>
      </c>
      <c r="E14" s="1101"/>
      <c r="F14" s="52">
        <v>0</v>
      </c>
      <c r="G14" s="1102"/>
      <c r="H14" s="4">
        <f t="shared" ref="H14:H27" si="1">H13+1</f>
        <v>3</v>
      </c>
      <c r="I14" s="358"/>
    </row>
    <row r="15" spans="1:9" x14ac:dyDescent="0.25">
      <c r="A15" s="4">
        <f t="shared" si="0"/>
        <v>4</v>
      </c>
      <c r="B15" s="950">
        <v>351.2</v>
      </c>
      <c r="C15" s="234" t="s">
        <v>1545</v>
      </c>
      <c r="D15" s="52">
        <v>0</v>
      </c>
      <c r="E15" s="1101"/>
      <c r="F15" s="52">
        <v>0</v>
      </c>
      <c r="G15" s="1102"/>
      <c r="H15" s="4">
        <f t="shared" si="1"/>
        <v>4</v>
      </c>
      <c r="I15" s="358"/>
    </row>
    <row r="16" spans="1:9" x14ac:dyDescent="0.25">
      <c r="A16" s="4">
        <f t="shared" si="0"/>
        <v>5</v>
      </c>
      <c r="B16" s="950">
        <v>351.3</v>
      </c>
      <c r="C16" s="234" t="s">
        <v>1546</v>
      </c>
      <c r="D16" s="52">
        <v>0</v>
      </c>
      <c r="E16" s="1101"/>
      <c r="F16" s="52">
        <v>0</v>
      </c>
      <c r="G16" s="1102"/>
      <c r="H16" s="4">
        <f t="shared" si="1"/>
        <v>5</v>
      </c>
      <c r="I16" s="358"/>
    </row>
    <row r="17" spans="1:9" x14ac:dyDescent="0.25">
      <c r="A17" s="4">
        <f t="shared" si="0"/>
        <v>6</v>
      </c>
      <c r="B17" s="935">
        <v>352</v>
      </c>
      <c r="C17" s="234" t="s">
        <v>646</v>
      </c>
      <c r="D17" s="52">
        <v>19893.154329999994</v>
      </c>
      <c r="E17" s="233"/>
      <c r="F17" s="52">
        <v>0</v>
      </c>
      <c r="G17" s="354"/>
      <c r="H17" s="4">
        <f t="shared" si="1"/>
        <v>6</v>
      </c>
      <c r="I17" s="358"/>
    </row>
    <row r="18" spans="1:9" x14ac:dyDescent="0.25">
      <c r="A18" s="4">
        <f t="shared" si="0"/>
        <v>7</v>
      </c>
      <c r="B18" s="935">
        <v>353</v>
      </c>
      <c r="C18" s="234" t="s">
        <v>320</v>
      </c>
      <c r="D18" s="52">
        <v>80621.523489999978</v>
      </c>
      <c r="E18" s="233"/>
      <c r="F18" s="52">
        <v>0</v>
      </c>
      <c r="G18" s="354"/>
      <c r="H18" s="4">
        <f t="shared" si="1"/>
        <v>7</v>
      </c>
      <c r="I18" s="358"/>
    </row>
    <row r="19" spans="1:9" x14ac:dyDescent="0.25">
      <c r="A19" s="4">
        <f t="shared" si="0"/>
        <v>8</v>
      </c>
      <c r="B19" s="935">
        <v>354</v>
      </c>
      <c r="C19" s="234" t="s">
        <v>321</v>
      </c>
      <c r="D19" s="52">
        <v>23377.257859999976</v>
      </c>
      <c r="E19" s="233"/>
      <c r="F19" s="52">
        <v>0</v>
      </c>
      <c r="G19" s="354"/>
      <c r="H19" s="4">
        <f t="shared" si="1"/>
        <v>8</v>
      </c>
      <c r="I19" s="358"/>
    </row>
    <row r="20" spans="1:9" x14ac:dyDescent="0.25">
      <c r="A20" s="4">
        <f t="shared" si="0"/>
        <v>9</v>
      </c>
      <c r="B20" s="935">
        <v>355</v>
      </c>
      <c r="C20" s="234" t="s">
        <v>322</v>
      </c>
      <c r="D20" s="52">
        <v>53050.548390000025</v>
      </c>
      <c r="E20" s="233"/>
      <c r="F20" s="52">
        <v>0</v>
      </c>
      <c r="G20" s="354"/>
      <c r="H20" s="4">
        <f t="shared" si="1"/>
        <v>9</v>
      </c>
      <c r="I20" s="358"/>
    </row>
    <row r="21" spans="1:9" x14ac:dyDescent="0.25">
      <c r="A21" s="4">
        <f t="shared" si="0"/>
        <v>10</v>
      </c>
      <c r="B21" s="935">
        <v>356</v>
      </c>
      <c r="C21" s="234" t="s">
        <v>647</v>
      </c>
      <c r="D21" s="52">
        <v>29044.104979999978</v>
      </c>
      <c r="E21" s="233"/>
      <c r="F21" s="52">
        <v>0</v>
      </c>
      <c r="G21" s="354"/>
      <c r="H21" s="4">
        <f t="shared" si="1"/>
        <v>10</v>
      </c>
      <c r="I21" s="358"/>
    </row>
    <row r="22" spans="1:9" x14ac:dyDescent="0.25">
      <c r="A22" s="4">
        <f t="shared" si="0"/>
        <v>11</v>
      </c>
      <c r="B22" s="935">
        <v>357</v>
      </c>
      <c r="C22" s="234" t="s">
        <v>324</v>
      </c>
      <c r="D22" s="52">
        <v>13916.249910000002</v>
      </c>
      <c r="E22" s="233"/>
      <c r="F22" s="52">
        <v>0</v>
      </c>
      <c r="G22" s="354"/>
      <c r="H22" s="4">
        <f t="shared" si="1"/>
        <v>11</v>
      </c>
      <c r="I22" s="358"/>
    </row>
    <row r="23" spans="1:9" x14ac:dyDescent="0.25">
      <c r="A23" s="4">
        <f t="shared" si="0"/>
        <v>12</v>
      </c>
      <c r="B23" s="935">
        <v>358</v>
      </c>
      <c r="C23" s="234" t="s">
        <v>648</v>
      </c>
      <c r="D23" s="52">
        <v>13294.971769999996</v>
      </c>
      <c r="E23" s="233"/>
      <c r="F23" s="52">
        <v>0</v>
      </c>
      <c r="G23" s="354"/>
      <c r="H23" s="4">
        <f t="shared" si="1"/>
        <v>12</v>
      </c>
      <c r="I23" s="358"/>
    </row>
    <row r="24" spans="1:9" x14ac:dyDescent="0.25">
      <c r="A24" s="4">
        <f t="shared" si="0"/>
        <v>13</v>
      </c>
      <c r="B24" s="419">
        <v>359</v>
      </c>
      <c r="C24" s="285" t="s">
        <v>649</v>
      </c>
      <c r="D24" s="52">
        <v>6401.6523199999965</v>
      </c>
      <c r="E24" s="419" t="s">
        <v>258</v>
      </c>
      <c r="F24" s="52">
        <v>0</v>
      </c>
      <c r="G24" s="68" t="s">
        <v>258</v>
      </c>
      <c r="H24" s="4">
        <f t="shared" si="1"/>
        <v>13</v>
      </c>
      <c r="I24" s="358"/>
    </row>
    <row r="25" spans="1:9" x14ac:dyDescent="0.25">
      <c r="A25" s="4">
        <f t="shared" si="0"/>
        <v>14</v>
      </c>
      <c r="B25" s="927"/>
      <c r="C25" s="927"/>
      <c r="D25" s="54"/>
      <c r="E25" s="927"/>
      <c r="F25" s="54"/>
      <c r="G25" s="927"/>
      <c r="H25" s="4">
        <f t="shared" si="1"/>
        <v>14</v>
      </c>
      <c r="I25" s="358"/>
    </row>
    <row r="26" spans="1:9" x14ac:dyDescent="0.25">
      <c r="A26" s="4">
        <f t="shared" si="0"/>
        <v>15</v>
      </c>
      <c r="B26" s="278"/>
      <c r="C26" s="278" t="s">
        <v>650</v>
      </c>
      <c r="D26" s="55">
        <f>'AJ-1A'!D40</f>
        <v>241663.40880999996</v>
      </c>
      <c r="E26" s="935" t="s">
        <v>651</v>
      </c>
      <c r="F26" s="55">
        <f>'AJ-1A'!J40</f>
        <v>238385.1245212658</v>
      </c>
      <c r="G26" s="935" t="s">
        <v>652</v>
      </c>
      <c r="H26" s="4">
        <f t="shared" si="1"/>
        <v>15</v>
      </c>
      <c r="I26" s="358"/>
    </row>
    <row r="27" spans="1:9" x14ac:dyDescent="0.25">
      <c r="A27" s="4">
        <f t="shared" si="0"/>
        <v>16</v>
      </c>
      <c r="B27" s="117"/>
      <c r="C27" s="117"/>
      <c r="D27" s="420"/>
      <c r="E27" s="117"/>
      <c r="F27" s="420"/>
      <c r="G27" s="117"/>
      <c r="H27" s="4">
        <f t="shared" si="1"/>
        <v>16</v>
      </c>
      <c r="I27" s="358"/>
    </row>
    <row r="30" spans="1:9" ht="18.75" x14ac:dyDescent="0.25">
      <c r="A30" s="266">
        <v>1</v>
      </c>
      <c r="B30" s="31" t="s">
        <v>653</v>
      </c>
    </row>
    <row r="31" spans="1:9" x14ac:dyDescent="0.25">
      <c r="A31" s="218"/>
      <c r="B31" s="31" t="s">
        <v>376</v>
      </c>
      <c r="G31" s="421"/>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3"/>
  <sheetViews>
    <sheetView workbookViewId="0"/>
  </sheetViews>
  <sheetFormatPr defaultColWidth="8.7109375" defaultRowHeight="15.75" x14ac:dyDescent="0.25"/>
  <cols>
    <col min="1" max="1" width="5.28515625" style="4" customWidth="1"/>
    <col min="2" max="2" width="11.28515625" style="31" customWidth="1"/>
    <col min="3" max="3" width="35.7109375" style="31" customWidth="1"/>
    <col min="4" max="10" width="18.5703125" style="116" customWidth="1"/>
    <col min="11" max="11" width="25.5703125" style="6" customWidth="1"/>
    <col min="12" max="13" width="5.28515625" style="4" customWidth="1"/>
    <col min="14" max="14" width="12.28515625" style="31" customWidth="1"/>
    <col min="15" max="15" width="12.28515625" style="31" bestFit="1" customWidth="1"/>
    <col min="16" max="16384" width="8.7109375" style="31"/>
  </cols>
  <sheetData>
    <row r="1" spans="1:13" s="1" customFormat="1" x14ac:dyDescent="0.25">
      <c r="A1" s="218" t="s">
        <v>1</v>
      </c>
      <c r="L1" s="218"/>
      <c r="M1" s="218"/>
    </row>
    <row r="2" spans="1:13" s="1" customFormat="1" x14ac:dyDescent="0.25">
      <c r="A2" s="218"/>
      <c r="B2" s="1294" t="s">
        <v>0</v>
      </c>
      <c r="C2" s="1294"/>
      <c r="D2" s="1294"/>
      <c r="E2" s="1294"/>
      <c r="F2" s="1294"/>
      <c r="G2" s="1294"/>
      <c r="H2" s="1294"/>
      <c r="I2" s="1294"/>
      <c r="J2" s="1294"/>
      <c r="K2" s="1294"/>
      <c r="L2" s="218"/>
      <c r="M2" s="218"/>
    </row>
    <row r="3" spans="1:13" s="1" customFormat="1" x14ac:dyDescent="0.25">
      <c r="A3" s="218"/>
      <c r="B3" s="1294" t="s">
        <v>291</v>
      </c>
      <c r="C3" s="1294"/>
      <c r="D3" s="1294"/>
      <c r="E3" s="1294"/>
      <c r="F3" s="1294"/>
      <c r="G3" s="1294"/>
      <c r="H3" s="1294"/>
      <c r="I3" s="1294"/>
      <c r="J3" s="1294"/>
      <c r="K3" s="1294"/>
      <c r="L3" s="218"/>
      <c r="M3" s="218"/>
    </row>
    <row r="4" spans="1:13" ht="12.75" customHeight="1" x14ac:dyDescent="0.25">
      <c r="B4" s="1294" t="s">
        <v>654</v>
      </c>
      <c r="C4" s="1294"/>
      <c r="D4" s="1294"/>
      <c r="E4" s="1294"/>
      <c r="F4" s="1294"/>
      <c r="G4" s="1294"/>
      <c r="H4" s="1294"/>
      <c r="I4" s="1294"/>
      <c r="J4" s="1294"/>
      <c r="K4" s="1294"/>
      <c r="L4" s="218"/>
      <c r="M4" s="218"/>
    </row>
    <row r="5" spans="1:13" x14ac:dyDescent="0.25">
      <c r="B5" s="1294" t="s">
        <v>655</v>
      </c>
      <c r="C5" s="1294"/>
      <c r="D5" s="1294"/>
      <c r="E5" s="1294"/>
      <c r="F5" s="1294"/>
      <c r="G5" s="1294"/>
      <c r="H5" s="1294"/>
      <c r="I5" s="1294"/>
      <c r="J5" s="1294"/>
      <c r="K5" s="1294"/>
      <c r="L5" s="218"/>
      <c r="M5" s="218"/>
    </row>
    <row r="6" spans="1:13" x14ac:dyDescent="0.25">
      <c r="B6" s="1294" t="s">
        <v>1560</v>
      </c>
      <c r="C6" s="1294"/>
      <c r="D6" s="1294"/>
      <c r="E6" s="1294"/>
      <c r="F6" s="1294"/>
      <c r="G6" s="1294"/>
      <c r="H6" s="1294"/>
      <c r="I6" s="1294"/>
      <c r="J6" s="1294"/>
      <c r="K6" s="1294"/>
      <c r="L6" s="218"/>
      <c r="M6" s="218"/>
    </row>
    <row r="7" spans="1:13" x14ac:dyDescent="0.25">
      <c r="B7" s="1299" t="s">
        <v>4</v>
      </c>
      <c r="C7" s="1294"/>
      <c r="D7" s="1294"/>
      <c r="E7" s="1294"/>
      <c r="F7" s="1294"/>
      <c r="G7" s="1294"/>
      <c r="H7" s="1294"/>
      <c r="I7" s="1294"/>
      <c r="J7" s="1294"/>
      <c r="K7" s="1294"/>
      <c r="L7" s="218"/>
      <c r="M7" s="218"/>
    </row>
    <row r="8" spans="1:13" x14ac:dyDescent="0.25">
      <c r="C8" s="267"/>
      <c r="D8" s="268"/>
      <c r="E8" s="294" t="s">
        <v>656</v>
      </c>
      <c r="F8" s="294"/>
      <c r="G8" s="294"/>
      <c r="H8" s="294"/>
      <c r="I8" s="294"/>
      <c r="J8" s="294"/>
      <c r="K8" s="294"/>
    </row>
    <row r="9" spans="1:13" s="218" customFormat="1" x14ac:dyDescent="0.25">
      <c r="B9" s="928"/>
      <c r="C9" s="946"/>
      <c r="D9" s="947" t="s">
        <v>293</v>
      </c>
      <c r="E9" s="947" t="s">
        <v>294</v>
      </c>
      <c r="F9" s="947" t="s">
        <v>295</v>
      </c>
      <c r="G9" s="422" t="s">
        <v>296</v>
      </c>
      <c r="H9" s="947" t="s">
        <v>297</v>
      </c>
      <c r="I9" s="947" t="s">
        <v>298</v>
      </c>
      <c r="J9" s="947" t="s">
        <v>299</v>
      </c>
      <c r="K9" s="947"/>
    </row>
    <row r="10" spans="1:13" x14ac:dyDescent="0.25">
      <c r="B10" s="997"/>
      <c r="C10" s="929"/>
      <c r="D10" s="299"/>
      <c r="E10" s="295"/>
      <c r="F10" s="299"/>
      <c r="G10" s="423"/>
      <c r="H10" s="295" t="s">
        <v>657</v>
      </c>
      <c r="I10" s="296"/>
      <c r="J10" s="295"/>
      <c r="K10" s="948"/>
    </row>
    <row r="11" spans="1:13" x14ac:dyDescent="0.25">
      <c r="B11" s="997"/>
      <c r="C11" s="929"/>
      <c r="D11" s="299" t="s">
        <v>177</v>
      </c>
      <c r="E11" s="295" t="s">
        <v>285</v>
      </c>
      <c r="F11" s="299" t="s">
        <v>290</v>
      </c>
      <c r="G11" s="423" t="s">
        <v>290</v>
      </c>
      <c r="H11" s="295" t="s">
        <v>290</v>
      </c>
      <c r="I11" s="296" t="s">
        <v>658</v>
      </c>
      <c r="J11" s="295" t="s">
        <v>659</v>
      </c>
      <c r="K11" s="935"/>
    </row>
    <row r="12" spans="1:13" x14ac:dyDescent="0.25">
      <c r="B12" s="332"/>
      <c r="C12" s="234"/>
      <c r="D12" s="299" t="s">
        <v>290</v>
      </c>
      <c r="E12" s="998" t="s">
        <v>660</v>
      </c>
      <c r="F12" s="998" t="s">
        <v>660</v>
      </c>
      <c r="G12" s="268" t="s">
        <v>660</v>
      </c>
      <c r="H12" s="295" t="s">
        <v>644</v>
      </c>
      <c r="I12" s="300" t="s">
        <v>332</v>
      </c>
      <c r="J12" s="998" t="s">
        <v>644</v>
      </c>
      <c r="K12" s="270"/>
    </row>
    <row r="13" spans="1:13" ht="18.75" x14ac:dyDescent="0.25">
      <c r="A13" s="4" t="s">
        <v>5</v>
      </c>
      <c r="B13" s="319"/>
      <c r="C13" s="278"/>
      <c r="D13" s="424" t="s">
        <v>661</v>
      </c>
      <c r="E13" s="998" t="s">
        <v>662</v>
      </c>
      <c r="F13" s="998" t="s">
        <v>662</v>
      </c>
      <c r="G13" s="305" t="s">
        <v>662</v>
      </c>
      <c r="H13" s="426" t="s">
        <v>663</v>
      </c>
      <c r="I13" s="425" t="s">
        <v>664</v>
      </c>
      <c r="J13" s="426" t="s">
        <v>665</v>
      </c>
      <c r="K13" s="270"/>
      <c r="L13" s="4" t="s">
        <v>5</v>
      </c>
    </row>
    <row r="14" spans="1:13" ht="18.75" x14ac:dyDescent="0.25">
      <c r="A14" s="4" t="s">
        <v>6</v>
      </c>
      <c r="B14" s="306" t="s">
        <v>305</v>
      </c>
      <c r="C14" s="275" t="s">
        <v>306</v>
      </c>
      <c r="D14" s="276" t="s">
        <v>666</v>
      </c>
      <c r="E14" s="301" t="s">
        <v>308</v>
      </c>
      <c r="F14" s="301" t="s">
        <v>667</v>
      </c>
      <c r="G14" s="999" t="s">
        <v>668</v>
      </c>
      <c r="H14" s="275" t="s">
        <v>669</v>
      </c>
      <c r="I14" s="1000" t="s">
        <v>670</v>
      </c>
      <c r="J14" s="275" t="s">
        <v>671</v>
      </c>
      <c r="K14" s="275" t="s">
        <v>8</v>
      </c>
      <c r="L14" s="4" t="s">
        <v>6</v>
      </c>
    </row>
    <row r="15" spans="1:13" x14ac:dyDescent="0.25">
      <c r="B15" s="234"/>
      <c r="C15" s="234" t="s">
        <v>313</v>
      </c>
      <c r="D15" s="234"/>
      <c r="E15" s="234"/>
      <c r="F15" s="234"/>
      <c r="G15" s="62"/>
      <c r="H15" s="234"/>
      <c r="I15" s="234"/>
      <c r="J15" s="234"/>
      <c r="K15" s="935"/>
    </row>
    <row r="16" spans="1:13" x14ac:dyDescent="0.25">
      <c r="A16" s="4">
        <v>1</v>
      </c>
      <c r="B16" s="950">
        <v>182</v>
      </c>
      <c r="C16" s="234" t="s">
        <v>672</v>
      </c>
      <c r="D16" s="956">
        <v>0</v>
      </c>
      <c r="E16" s="956">
        <v>0</v>
      </c>
      <c r="F16" s="956">
        <v>0</v>
      </c>
      <c r="G16" s="956">
        <v>0</v>
      </c>
      <c r="H16" s="232">
        <f>SUM(D16:G16)</f>
        <v>0</v>
      </c>
      <c r="I16" s="956">
        <v>0</v>
      </c>
      <c r="J16" s="232">
        <f t="shared" ref="J16:J21" si="0">+H16+I16</f>
        <v>0</v>
      </c>
      <c r="K16" s="935" t="s">
        <v>258</v>
      </c>
      <c r="L16" s="4">
        <f>A16</f>
        <v>1</v>
      </c>
    </row>
    <row r="17" spans="1:15" x14ac:dyDescent="0.25">
      <c r="A17" s="4">
        <f t="shared" ref="A17:A40" si="1">A16+1</f>
        <v>2</v>
      </c>
      <c r="B17" s="950">
        <v>186</v>
      </c>
      <c r="C17" s="234" t="s">
        <v>673</v>
      </c>
      <c r="D17" s="957">
        <v>0</v>
      </c>
      <c r="E17" s="957">
        <v>0</v>
      </c>
      <c r="F17" s="957">
        <v>0</v>
      </c>
      <c r="G17" s="957">
        <v>0</v>
      </c>
      <c r="H17" s="233">
        <f>SUM(D17:G17)</f>
        <v>0</v>
      </c>
      <c r="I17" s="957">
        <v>15.80242</v>
      </c>
      <c r="J17" s="233">
        <f t="shared" si="0"/>
        <v>15.80242</v>
      </c>
      <c r="K17" s="935" t="s">
        <v>258</v>
      </c>
      <c r="L17" s="4">
        <f t="shared" ref="L17:L40" si="2">L16+1</f>
        <v>2</v>
      </c>
    </row>
    <row r="18" spans="1:15" x14ac:dyDescent="0.25">
      <c r="A18" s="4">
        <f t="shared" si="1"/>
        <v>3</v>
      </c>
      <c r="B18" s="950">
        <v>303</v>
      </c>
      <c r="C18" s="234" t="s">
        <v>314</v>
      </c>
      <c r="D18" s="957">
        <v>0</v>
      </c>
      <c r="E18" s="957">
        <v>0</v>
      </c>
      <c r="F18" s="957">
        <v>0</v>
      </c>
      <c r="G18" s="957">
        <v>0</v>
      </c>
      <c r="H18" s="233">
        <f t="shared" ref="H18:H21" si="3">SUM(D18:G18)</f>
        <v>0</v>
      </c>
      <c r="I18" s="957">
        <v>0</v>
      </c>
      <c r="J18" s="233">
        <f t="shared" si="0"/>
        <v>0</v>
      </c>
      <c r="K18" s="935" t="s">
        <v>258</v>
      </c>
      <c r="L18" s="4">
        <f t="shared" si="2"/>
        <v>3</v>
      </c>
    </row>
    <row r="19" spans="1:15" x14ac:dyDescent="0.25">
      <c r="A19" s="4">
        <f t="shared" si="1"/>
        <v>4</v>
      </c>
      <c r="B19" s="950">
        <v>360</v>
      </c>
      <c r="C19" s="951" t="s">
        <v>674</v>
      </c>
      <c r="D19" s="957">
        <v>0</v>
      </c>
      <c r="E19" s="957">
        <v>0.61314000000000013</v>
      </c>
      <c r="F19" s="957">
        <v>0</v>
      </c>
      <c r="G19" s="957">
        <v>0</v>
      </c>
      <c r="H19" s="233">
        <f t="shared" si="3"/>
        <v>0.61314000000000013</v>
      </c>
      <c r="I19" s="957">
        <v>0</v>
      </c>
      <c r="J19" s="233">
        <f t="shared" si="0"/>
        <v>0.61314000000000013</v>
      </c>
      <c r="K19" s="935" t="s">
        <v>258</v>
      </c>
      <c r="L19" s="4">
        <f t="shared" si="2"/>
        <v>4</v>
      </c>
    </row>
    <row r="20" spans="1:15" x14ac:dyDescent="0.25">
      <c r="A20" s="4">
        <f t="shared" si="1"/>
        <v>5</v>
      </c>
      <c r="B20" s="950">
        <v>361</v>
      </c>
      <c r="C20" s="234" t="s">
        <v>317</v>
      </c>
      <c r="D20" s="957">
        <v>0</v>
      </c>
      <c r="E20" s="957">
        <v>55.086878836240849</v>
      </c>
      <c r="F20" s="957">
        <v>0</v>
      </c>
      <c r="G20" s="957">
        <v>0</v>
      </c>
      <c r="H20" s="233">
        <f t="shared" si="3"/>
        <v>55.086878836240849</v>
      </c>
      <c r="I20" s="957">
        <v>0</v>
      </c>
      <c r="J20" s="233">
        <f t="shared" si="0"/>
        <v>55.086878836240849</v>
      </c>
      <c r="K20" s="935" t="s">
        <v>258</v>
      </c>
      <c r="L20" s="4">
        <f t="shared" si="2"/>
        <v>5</v>
      </c>
    </row>
    <row r="21" spans="1:15" x14ac:dyDescent="0.25">
      <c r="A21" s="4">
        <f t="shared" si="1"/>
        <v>6</v>
      </c>
      <c r="B21" s="950">
        <v>362</v>
      </c>
      <c r="C21" s="234" t="s">
        <v>320</v>
      </c>
      <c r="D21" s="957">
        <v>0</v>
      </c>
      <c r="E21" s="957">
        <v>0</v>
      </c>
      <c r="F21" s="957">
        <v>0</v>
      </c>
      <c r="G21" s="957">
        <v>0</v>
      </c>
      <c r="H21" s="233">
        <f t="shared" si="3"/>
        <v>0</v>
      </c>
      <c r="I21" s="957">
        <v>0</v>
      </c>
      <c r="J21" s="233">
        <f t="shared" si="0"/>
        <v>0</v>
      </c>
      <c r="K21" s="935" t="s">
        <v>258</v>
      </c>
      <c r="L21" s="4">
        <f t="shared" si="2"/>
        <v>6</v>
      </c>
    </row>
    <row r="22" spans="1:15" x14ac:dyDescent="0.25">
      <c r="A22" s="4">
        <f t="shared" si="1"/>
        <v>7</v>
      </c>
      <c r="B22" s="935"/>
      <c r="C22" s="234"/>
      <c r="D22" s="1001"/>
      <c r="E22" s="1001"/>
      <c r="F22" s="233"/>
      <c r="G22" s="62"/>
      <c r="H22" s="234"/>
      <c r="I22" s="234"/>
      <c r="J22" s="234"/>
      <c r="K22" s="935"/>
      <c r="L22" s="4">
        <f t="shared" si="2"/>
        <v>7</v>
      </c>
    </row>
    <row r="23" spans="1:15" s="1" customFormat="1" x14ac:dyDescent="0.25">
      <c r="A23" s="4">
        <f t="shared" si="1"/>
        <v>8</v>
      </c>
      <c r="B23" s="952" t="s">
        <v>318</v>
      </c>
      <c r="C23" s="953" t="s">
        <v>319</v>
      </c>
      <c r="D23" s="1002">
        <f t="shared" ref="D23:I23" si="4">SUM(D16:D22)</f>
        <v>0</v>
      </c>
      <c r="E23" s="1002">
        <f t="shared" si="4"/>
        <v>55.700018836240851</v>
      </c>
      <c r="F23" s="954">
        <f t="shared" si="4"/>
        <v>0</v>
      </c>
      <c r="G23" s="236">
        <f t="shared" si="4"/>
        <v>0</v>
      </c>
      <c r="H23" s="954">
        <f t="shared" si="4"/>
        <v>55.700018836240851</v>
      </c>
      <c r="I23" s="954">
        <f t="shared" si="4"/>
        <v>15.80242</v>
      </c>
      <c r="J23" s="954">
        <f>SUM(J16:J22)</f>
        <v>71.502438836240856</v>
      </c>
      <c r="K23" s="955" t="s">
        <v>143</v>
      </c>
      <c r="L23" s="4">
        <f t="shared" si="2"/>
        <v>8</v>
      </c>
      <c r="M23" s="4"/>
    </row>
    <row r="24" spans="1:15" x14ac:dyDescent="0.25">
      <c r="A24" s="4">
        <f t="shared" si="1"/>
        <v>9</v>
      </c>
      <c r="B24" s="935"/>
      <c r="C24" s="234"/>
      <c r="D24" s="957"/>
      <c r="E24" s="957"/>
      <c r="F24" s="233"/>
      <c r="G24" s="52"/>
      <c r="H24" s="52"/>
      <c r="I24" s="944"/>
      <c r="J24" s="234"/>
      <c r="K24" s="935"/>
      <c r="L24" s="4">
        <f t="shared" si="2"/>
        <v>9</v>
      </c>
      <c r="O24" s="427"/>
    </row>
    <row r="25" spans="1:15" x14ac:dyDescent="0.25">
      <c r="A25" s="4">
        <f t="shared" si="1"/>
        <v>10</v>
      </c>
      <c r="B25" s="950">
        <v>350</v>
      </c>
      <c r="C25" s="234" t="s">
        <v>316</v>
      </c>
      <c r="D25" s="956">
        <v>2063.9457599999987</v>
      </c>
      <c r="E25" s="956">
        <v>0</v>
      </c>
      <c r="F25" s="956">
        <v>0</v>
      </c>
      <c r="G25" s="956">
        <v>-11.572938739999998</v>
      </c>
      <c r="H25" s="232">
        <f>SUM(D25:G25)</f>
        <v>2052.3728212599985</v>
      </c>
      <c r="I25" s="956">
        <v>0</v>
      </c>
      <c r="J25" s="232">
        <f t="shared" ref="J25:J36" si="5">H25+I25</f>
        <v>2052.3728212599985</v>
      </c>
      <c r="K25" s="935" t="s">
        <v>258</v>
      </c>
      <c r="L25" s="4">
        <f t="shared" si="2"/>
        <v>10</v>
      </c>
    </row>
    <row r="26" spans="1:15" x14ac:dyDescent="0.25">
      <c r="A26" s="4">
        <f t="shared" si="1"/>
        <v>11</v>
      </c>
      <c r="B26" s="950">
        <v>351.1</v>
      </c>
      <c r="C26" s="234" t="s">
        <v>1544</v>
      </c>
      <c r="D26" s="957">
        <v>0</v>
      </c>
      <c r="E26" s="957">
        <v>0</v>
      </c>
      <c r="F26" s="957">
        <v>0</v>
      </c>
      <c r="G26" s="957">
        <v>0</v>
      </c>
      <c r="H26" s="957">
        <v>0</v>
      </c>
      <c r="I26" s="957">
        <v>0</v>
      </c>
      <c r="J26" s="233">
        <f t="shared" ref="J26:J28" si="6">+H26+I26</f>
        <v>0</v>
      </c>
      <c r="K26" s="935" t="s">
        <v>258</v>
      </c>
      <c r="L26" s="4">
        <f t="shared" si="2"/>
        <v>11</v>
      </c>
    </row>
    <row r="27" spans="1:15" x14ac:dyDescent="0.25">
      <c r="A27" s="4">
        <f t="shared" si="1"/>
        <v>12</v>
      </c>
      <c r="B27" s="950">
        <v>351.2</v>
      </c>
      <c r="C27" s="234" t="s">
        <v>1545</v>
      </c>
      <c r="D27" s="957">
        <v>0</v>
      </c>
      <c r="E27" s="957">
        <v>0</v>
      </c>
      <c r="F27" s="957">
        <v>0</v>
      </c>
      <c r="G27" s="957">
        <v>0</v>
      </c>
      <c r="H27" s="957">
        <v>0</v>
      </c>
      <c r="I27" s="957">
        <v>0</v>
      </c>
      <c r="J27" s="233">
        <f t="shared" si="6"/>
        <v>0</v>
      </c>
      <c r="K27" s="935" t="s">
        <v>258</v>
      </c>
      <c r="L27" s="4">
        <f t="shared" si="2"/>
        <v>12</v>
      </c>
    </row>
    <row r="28" spans="1:15" x14ac:dyDescent="0.25">
      <c r="A28" s="4">
        <f t="shared" si="1"/>
        <v>13</v>
      </c>
      <c r="B28" s="950">
        <v>351.3</v>
      </c>
      <c r="C28" s="234" t="s">
        <v>1546</v>
      </c>
      <c r="D28" s="957">
        <v>0</v>
      </c>
      <c r="E28" s="957">
        <v>0</v>
      </c>
      <c r="F28" s="957">
        <v>0</v>
      </c>
      <c r="G28" s="957">
        <v>0</v>
      </c>
      <c r="H28" s="957">
        <v>0</v>
      </c>
      <c r="I28" s="957">
        <v>0</v>
      </c>
      <c r="J28" s="233">
        <f t="shared" si="6"/>
        <v>0</v>
      </c>
      <c r="K28" s="935" t="s">
        <v>258</v>
      </c>
      <c r="L28" s="4">
        <f t="shared" si="2"/>
        <v>13</v>
      </c>
    </row>
    <row r="29" spans="1:15" x14ac:dyDescent="0.25">
      <c r="A29" s="4">
        <f t="shared" si="1"/>
        <v>14</v>
      </c>
      <c r="B29" s="950">
        <v>352</v>
      </c>
      <c r="C29" s="234" t="s">
        <v>317</v>
      </c>
      <c r="D29" s="957">
        <v>19893.154329999994</v>
      </c>
      <c r="E29" s="957">
        <v>0</v>
      </c>
      <c r="F29" s="957">
        <v>-45.507372238269063</v>
      </c>
      <c r="G29" s="957">
        <v>-2702.0027998354376</v>
      </c>
      <c r="H29" s="233">
        <f>SUM(D29:G29)</f>
        <v>17145.644157926286</v>
      </c>
      <c r="I29" s="957">
        <v>0</v>
      </c>
      <c r="J29" s="233">
        <f t="shared" si="5"/>
        <v>17145.644157926286</v>
      </c>
      <c r="K29" s="935" t="s">
        <v>258</v>
      </c>
      <c r="L29" s="4">
        <f t="shared" si="2"/>
        <v>14</v>
      </c>
      <c r="M29" s="358"/>
      <c r="N29" s="428"/>
    </row>
    <row r="30" spans="1:15" x14ac:dyDescent="0.25">
      <c r="A30" s="4">
        <f t="shared" si="1"/>
        <v>15</v>
      </c>
      <c r="B30" s="950">
        <v>353</v>
      </c>
      <c r="C30" s="234" t="s">
        <v>320</v>
      </c>
      <c r="D30" s="957">
        <v>80621.523489999978</v>
      </c>
      <c r="E30" s="957">
        <v>0</v>
      </c>
      <c r="F30" s="957">
        <v>-469.85234080569154</v>
      </c>
      <c r="G30" s="957">
        <v>-84.148639266404757</v>
      </c>
      <c r="H30" s="233">
        <f t="shared" ref="H30:H36" si="7">SUM(D30:G30)</f>
        <v>80067.522509927876</v>
      </c>
      <c r="I30" s="957">
        <v>0</v>
      </c>
      <c r="J30" s="233">
        <f t="shared" si="5"/>
        <v>80067.522509927876</v>
      </c>
      <c r="K30" s="935" t="s">
        <v>258</v>
      </c>
      <c r="L30" s="4">
        <f t="shared" si="2"/>
        <v>15</v>
      </c>
      <c r="M30" s="358"/>
      <c r="N30" s="429"/>
    </row>
    <row r="31" spans="1:15" x14ac:dyDescent="0.25">
      <c r="A31" s="4">
        <f t="shared" si="1"/>
        <v>16</v>
      </c>
      <c r="B31" s="950">
        <v>354</v>
      </c>
      <c r="C31" s="234" t="s">
        <v>321</v>
      </c>
      <c r="D31" s="957">
        <v>23377.257859999976</v>
      </c>
      <c r="E31" s="957">
        <v>0</v>
      </c>
      <c r="F31" s="957">
        <v>0</v>
      </c>
      <c r="G31" s="957">
        <v>0</v>
      </c>
      <c r="H31" s="233">
        <f t="shared" si="7"/>
        <v>23377.257859999976</v>
      </c>
      <c r="I31" s="957">
        <v>0</v>
      </c>
      <c r="J31" s="233">
        <f t="shared" si="5"/>
        <v>23377.257859999976</v>
      </c>
      <c r="K31" s="935" t="s">
        <v>258</v>
      </c>
      <c r="L31" s="4">
        <f t="shared" si="2"/>
        <v>16</v>
      </c>
      <c r="M31" s="358"/>
    </row>
    <row r="32" spans="1:15" x14ac:dyDescent="0.25">
      <c r="A32" s="4">
        <f t="shared" si="1"/>
        <v>17</v>
      </c>
      <c r="B32" s="950">
        <v>355</v>
      </c>
      <c r="C32" s="234" t="s">
        <v>322</v>
      </c>
      <c r="D32" s="957">
        <v>53050.548390000025</v>
      </c>
      <c r="E32" s="957">
        <v>0</v>
      </c>
      <c r="F32" s="957">
        <v>0</v>
      </c>
      <c r="G32" s="957">
        <v>0</v>
      </c>
      <c r="H32" s="233">
        <f t="shared" si="7"/>
        <v>53050.548390000025</v>
      </c>
      <c r="I32" s="957">
        <v>0</v>
      </c>
      <c r="J32" s="233">
        <f t="shared" si="5"/>
        <v>53050.548390000025</v>
      </c>
      <c r="K32" s="935" t="s">
        <v>258</v>
      </c>
      <c r="L32" s="4">
        <f t="shared" si="2"/>
        <v>17</v>
      </c>
      <c r="M32" s="358"/>
    </row>
    <row r="33" spans="1:15" x14ac:dyDescent="0.25">
      <c r="A33" s="4">
        <f t="shared" si="1"/>
        <v>18</v>
      </c>
      <c r="B33" s="950">
        <v>356</v>
      </c>
      <c r="C33" s="234" t="s">
        <v>323</v>
      </c>
      <c r="D33" s="957">
        <v>29044.104979999978</v>
      </c>
      <c r="E33" s="957">
        <v>0</v>
      </c>
      <c r="F33" s="957">
        <v>0</v>
      </c>
      <c r="G33" s="957">
        <v>0</v>
      </c>
      <c r="H33" s="233">
        <f t="shared" si="7"/>
        <v>29044.104979999978</v>
      </c>
      <c r="I33" s="957">
        <v>0</v>
      </c>
      <c r="J33" s="233">
        <f t="shared" si="5"/>
        <v>29044.104979999978</v>
      </c>
      <c r="K33" s="935" t="s">
        <v>258</v>
      </c>
      <c r="L33" s="4">
        <f t="shared" si="2"/>
        <v>18</v>
      </c>
      <c r="M33" s="358"/>
    </row>
    <row r="34" spans="1:15" x14ac:dyDescent="0.25">
      <c r="A34" s="4">
        <f t="shared" si="1"/>
        <v>19</v>
      </c>
      <c r="B34" s="950">
        <v>357</v>
      </c>
      <c r="C34" s="234" t="s">
        <v>324</v>
      </c>
      <c r="D34" s="957">
        <v>13916.249910000002</v>
      </c>
      <c r="E34" s="957">
        <v>0</v>
      </c>
      <c r="F34" s="957">
        <v>0</v>
      </c>
      <c r="G34" s="957">
        <v>0</v>
      </c>
      <c r="H34" s="233">
        <f t="shared" si="7"/>
        <v>13916.249910000002</v>
      </c>
      <c r="I34" s="957">
        <v>0</v>
      </c>
      <c r="J34" s="233">
        <f t="shared" si="5"/>
        <v>13916.249910000002</v>
      </c>
      <c r="K34" s="935" t="s">
        <v>258</v>
      </c>
      <c r="L34" s="4">
        <f t="shared" si="2"/>
        <v>19</v>
      </c>
      <c r="M34" s="358"/>
    </row>
    <row r="35" spans="1:15" x14ac:dyDescent="0.25">
      <c r="A35" s="4">
        <f t="shared" si="1"/>
        <v>20</v>
      </c>
      <c r="B35" s="950">
        <v>358</v>
      </c>
      <c r="C35" s="234" t="s">
        <v>325</v>
      </c>
      <c r="D35" s="957">
        <v>13294.971769999996</v>
      </c>
      <c r="E35" s="957">
        <v>0</v>
      </c>
      <c r="F35" s="957">
        <v>-36.702636684580099</v>
      </c>
      <c r="G35" s="957">
        <v>0</v>
      </c>
      <c r="H35" s="233">
        <f t="shared" si="7"/>
        <v>13258.269133315416</v>
      </c>
      <c r="I35" s="957">
        <v>0</v>
      </c>
      <c r="J35" s="233">
        <f t="shared" si="5"/>
        <v>13258.269133315416</v>
      </c>
      <c r="K35" s="935" t="s">
        <v>258</v>
      </c>
      <c r="L35" s="4">
        <f t="shared" si="2"/>
        <v>20</v>
      </c>
      <c r="M35" s="358"/>
    </row>
    <row r="36" spans="1:15" x14ac:dyDescent="0.25">
      <c r="A36" s="4">
        <f t="shared" si="1"/>
        <v>21</v>
      </c>
      <c r="B36" s="950">
        <v>359</v>
      </c>
      <c r="C36" s="234" t="s">
        <v>326</v>
      </c>
      <c r="D36" s="957">
        <v>6401.6523199999965</v>
      </c>
      <c r="E36" s="957">
        <v>0</v>
      </c>
      <c r="F36" s="957">
        <v>0</v>
      </c>
      <c r="G36" s="957">
        <v>0</v>
      </c>
      <c r="H36" s="233">
        <f t="shared" si="7"/>
        <v>6401.6523199999965</v>
      </c>
      <c r="I36" s="957">
        <v>0</v>
      </c>
      <c r="J36" s="233">
        <f t="shared" si="5"/>
        <v>6401.6523199999965</v>
      </c>
      <c r="K36" s="935" t="s">
        <v>258</v>
      </c>
      <c r="L36" s="4">
        <f t="shared" si="2"/>
        <v>21</v>
      </c>
      <c r="M36" s="358"/>
    </row>
    <row r="37" spans="1:15" x14ac:dyDescent="0.25">
      <c r="A37" s="4">
        <f t="shared" si="1"/>
        <v>22</v>
      </c>
      <c r="B37" s="974"/>
      <c r="C37" s="234"/>
      <c r="D37" s="233" t="s">
        <v>1</v>
      </c>
      <c r="E37" s="94"/>
      <c r="F37" s="94"/>
      <c r="G37" s="6"/>
      <c r="H37" s="94"/>
      <c r="I37" s="94"/>
      <c r="J37" s="94"/>
      <c r="K37" s="950"/>
      <c r="L37" s="4">
        <f t="shared" si="2"/>
        <v>22</v>
      </c>
      <c r="M37" s="358"/>
    </row>
    <row r="38" spans="1:15" x14ac:dyDescent="0.25">
      <c r="A38" s="4">
        <f t="shared" si="1"/>
        <v>23</v>
      </c>
      <c r="B38" s="958" t="s">
        <v>318</v>
      </c>
      <c r="C38" s="953" t="s">
        <v>289</v>
      </c>
      <c r="D38" s="954">
        <f t="shared" ref="D38:J38" si="8">SUM(D25:D37)</f>
        <v>241663.40880999996</v>
      </c>
      <c r="E38" s="954">
        <f t="shared" si="8"/>
        <v>0</v>
      </c>
      <c r="F38" s="954">
        <f t="shared" si="8"/>
        <v>-552.06234972854065</v>
      </c>
      <c r="G38" s="236">
        <f t="shared" si="8"/>
        <v>-2797.7243778418424</v>
      </c>
      <c r="H38" s="954">
        <f t="shared" si="8"/>
        <v>238313.62208242956</v>
      </c>
      <c r="I38" s="954">
        <f t="shared" si="8"/>
        <v>0</v>
      </c>
      <c r="J38" s="954">
        <f t="shared" si="8"/>
        <v>238313.62208242956</v>
      </c>
      <c r="K38" s="959" t="s">
        <v>1563</v>
      </c>
      <c r="L38" s="4">
        <f t="shared" si="2"/>
        <v>23</v>
      </c>
      <c r="M38" s="358"/>
    </row>
    <row r="39" spans="1:15" x14ac:dyDescent="0.25">
      <c r="A39" s="4">
        <f t="shared" si="1"/>
        <v>24</v>
      </c>
      <c r="B39" s="332"/>
      <c r="D39" s="31"/>
      <c r="E39" s="6"/>
      <c r="F39" s="6"/>
      <c r="G39" s="6"/>
      <c r="H39" s="6"/>
      <c r="I39" s="6"/>
      <c r="J39" s="6"/>
      <c r="K39" s="430"/>
      <c r="L39" s="4">
        <f t="shared" si="2"/>
        <v>24</v>
      </c>
      <c r="M39" s="358"/>
    </row>
    <row r="40" spans="1:15" x14ac:dyDescent="0.25">
      <c r="A40" s="4">
        <f t="shared" si="1"/>
        <v>25</v>
      </c>
      <c r="B40" s="333" t="s">
        <v>327</v>
      </c>
      <c r="C40" s="960"/>
      <c r="D40" s="576">
        <f t="shared" ref="D40:J40" si="9">D38+D23</f>
        <v>241663.40880999996</v>
      </c>
      <c r="E40" s="576">
        <f t="shared" si="9"/>
        <v>55.700018836240851</v>
      </c>
      <c r="F40" s="576">
        <f t="shared" si="9"/>
        <v>-552.06234972854065</v>
      </c>
      <c r="G40" s="63">
        <f t="shared" si="9"/>
        <v>-2797.7243778418424</v>
      </c>
      <c r="H40" s="576">
        <f t="shared" si="9"/>
        <v>238369.3221012658</v>
      </c>
      <c r="I40" s="576">
        <f t="shared" si="9"/>
        <v>15.80242</v>
      </c>
      <c r="J40" s="576">
        <f t="shared" si="9"/>
        <v>238385.1245212658</v>
      </c>
      <c r="K40" s="955" t="s">
        <v>1564</v>
      </c>
      <c r="L40" s="4">
        <f t="shared" si="2"/>
        <v>25</v>
      </c>
      <c r="M40" s="358"/>
    </row>
    <row r="41" spans="1:15" x14ac:dyDescent="0.25">
      <c r="D41" s="31"/>
      <c r="E41" s="6"/>
      <c r="F41" s="6"/>
      <c r="G41" s="6"/>
      <c r="H41" s="6"/>
      <c r="I41" s="6"/>
      <c r="J41" s="6"/>
    </row>
    <row r="42" spans="1:15" x14ac:dyDescent="0.25">
      <c r="D42" s="31"/>
      <c r="E42" s="6"/>
      <c r="F42" s="6"/>
      <c r="G42" s="6"/>
      <c r="H42" s="6"/>
      <c r="I42" s="6"/>
      <c r="J42" s="6"/>
    </row>
    <row r="43" spans="1:15" x14ac:dyDescent="0.25">
      <c r="B43" s="31" t="s">
        <v>675</v>
      </c>
      <c r="D43" s="2"/>
      <c r="E43" s="6"/>
      <c r="F43" s="6"/>
      <c r="G43" s="6"/>
      <c r="H43" s="6"/>
      <c r="I43" s="6"/>
      <c r="J43" s="6"/>
    </row>
    <row r="44" spans="1:15" x14ac:dyDescent="0.25">
      <c r="D44" s="31"/>
    </row>
    <row r="45" spans="1:15" ht="18.75" x14ac:dyDescent="0.25">
      <c r="A45" s="266">
        <v>1</v>
      </c>
      <c r="B45" s="31" t="s">
        <v>676</v>
      </c>
      <c r="D45" s="31"/>
    </row>
    <row r="46" spans="1:15" ht="18.75" x14ac:dyDescent="0.25">
      <c r="A46" s="266">
        <v>2</v>
      </c>
      <c r="B46" s="31" t="s">
        <v>677</v>
      </c>
      <c r="D46" s="31"/>
    </row>
    <row r="47" spans="1:15" s="116" customFormat="1" x14ac:dyDescent="0.25">
      <c r="A47" s="4"/>
      <c r="B47" s="31" t="s">
        <v>678</v>
      </c>
      <c r="C47" s="31"/>
      <c r="D47" s="31"/>
      <c r="K47" s="6"/>
      <c r="L47" s="4"/>
      <c r="M47" s="4"/>
      <c r="N47" s="31"/>
      <c r="O47" s="31"/>
    </row>
    <row r="48" spans="1:15" s="116" customFormat="1" ht="18.75" x14ac:dyDescent="0.25">
      <c r="A48" s="266">
        <v>3</v>
      </c>
      <c r="B48" s="31" t="s">
        <v>1504</v>
      </c>
      <c r="C48" s="31"/>
      <c r="D48" s="31"/>
      <c r="G48" s="431"/>
      <c r="K48" s="6"/>
      <c r="L48" s="4"/>
      <c r="M48" s="4"/>
      <c r="N48" s="31"/>
      <c r="O48" s="31"/>
    </row>
    <row r="49" spans="1:15" s="116" customFormat="1" x14ac:dyDescent="0.25">
      <c r="A49" s="4"/>
      <c r="B49" s="31" t="s">
        <v>679</v>
      </c>
      <c r="C49" s="31"/>
      <c r="D49" s="31"/>
      <c r="K49" s="6"/>
      <c r="L49" s="4"/>
      <c r="M49" s="4"/>
      <c r="N49" s="31"/>
      <c r="O49" s="31"/>
    </row>
    <row r="50" spans="1:15" s="116" customFormat="1" x14ac:dyDescent="0.25">
      <c r="A50" s="4"/>
      <c r="B50" s="31" t="s">
        <v>680</v>
      </c>
      <c r="C50" s="31"/>
      <c r="D50" s="31"/>
      <c r="K50" s="6"/>
      <c r="L50" s="4"/>
      <c r="M50" s="4"/>
      <c r="N50" s="31"/>
      <c r="O50" s="31"/>
    </row>
    <row r="51" spans="1:15" s="116" customFormat="1" x14ac:dyDescent="0.25">
      <c r="A51" s="4"/>
      <c r="B51" s="31"/>
      <c r="C51" s="31"/>
      <c r="D51" s="31"/>
      <c r="K51" s="6"/>
      <c r="L51" s="4"/>
      <c r="M51" s="4"/>
      <c r="N51" s="31"/>
      <c r="O51" s="31"/>
    </row>
    <row r="52" spans="1:15" s="116" customFormat="1" x14ac:dyDescent="0.25">
      <c r="A52" s="4"/>
      <c r="B52" s="31"/>
      <c r="C52" s="31"/>
      <c r="D52" s="31"/>
      <c r="K52" s="6"/>
      <c r="L52" s="4"/>
      <c r="M52" s="4"/>
      <c r="N52" s="31"/>
      <c r="O52" s="31"/>
    </row>
    <row r="53" spans="1:15" s="116" customFormat="1" x14ac:dyDescent="0.25">
      <c r="A53" s="4"/>
      <c r="B53" s="31"/>
      <c r="C53" s="31"/>
      <c r="D53" s="31"/>
      <c r="K53" s="6"/>
      <c r="L53" s="4"/>
      <c r="M53" s="4"/>
      <c r="N53" s="31"/>
      <c r="O53" s="31"/>
    </row>
    <row r="54" spans="1:15" s="116" customFormat="1" x14ac:dyDescent="0.25">
      <c r="A54" s="4"/>
      <c r="B54" s="31"/>
      <c r="C54" s="31"/>
      <c r="D54" s="31"/>
      <c r="K54" s="6"/>
      <c r="L54" s="4"/>
      <c r="M54" s="4"/>
      <c r="N54" s="31"/>
      <c r="O54" s="31"/>
    </row>
    <row r="55" spans="1:15" s="116" customFormat="1" x14ac:dyDescent="0.25">
      <c r="A55" s="4"/>
      <c r="B55" s="31"/>
      <c r="C55" s="31"/>
      <c r="D55" s="31"/>
      <c r="K55" s="6"/>
      <c r="L55" s="4"/>
      <c r="M55" s="4"/>
      <c r="N55" s="31"/>
      <c r="O55" s="31"/>
    </row>
    <row r="56" spans="1:15" s="116" customFormat="1" x14ac:dyDescent="0.25">
      <c r="A56" s="4"/>
      <c r="B56" s="31"/>
      <c r="C56" s="31"/>
      <c r="D56" s="31"/>
      <c r="K56" s="6"/>
      <c r="L56" s="4"/>
      <c r="M56" s="4"/>
      <c r="N56" s="31"/>
      <c r="O56" s="31"/>
    </row>
    <row r="57" spans="1:15" s="116" customFormat="1" x14ac:dyDescent="0.25">
      <c r="A57" s="4"/>
      <c r="B57" s="31"/>
      <c r="C57" s="31"/>
      <c r="D57" s="31"/>
      <c r="K57" s="6"/>
      <c r="L57" s="4"/>
      <c r="M57" s="4"/>
      <c r="N57" s="31"/>
      <c r="O57" s="31"/>
    </row>
    <row r="58" spans="1:15" s="116" customFormat="1" x14ac:dyDescent="0.25">
      <c r="A58" s="4"/>
      <c r="B58" s="31"/>
      <c r="C58" s="31"/>
      <c r="D58" s="31"/>
      <c r="K58" s="6"/>
      <c r="L58" s="4"/>
      <c r="M58" s="4"/>
      <c r="N58" s="31"/>
      <c r="O58" s="31"/>
    </row>
    <row r="59" spans="1:15" s="116" customFormat="1" x14ac:dyDescent="0.25">
      <c r="A59" s="4"/>
      <c r="B59" s="31"/>
      <c r="C59" s="31"/>
      <c r="D59" s="31"/>
      <c r="K59" s="6"/>
      <c r="L59" s="4"/>
      <c r="M59" s="4"/>
      <c r="N59" s="31"/>
      <c r="O59" s="31"/>
    </row>
    <row r="60" spans="1:15" s="116" customFormat="1" x14ac:dyDescent="0.25">
      <c r="A60" s="4"/>
      <c r="B60" s="31"/>
      <c r="C60" s="31"/>
      <c r="D60" s="31"/>
      <c r="K60" s="6"/>
      <c r="L60" s="4"/>
      <c r="M60" s="4"/>
      <c r="N60" s="31"/>
      <c r="O60" s="31"/>
    </row>
    <row r="61" spans="1:15" s="116" customFormat="1" x14ac:dyDescent="0.25">
      <c r="A61" s="4"/>
      <c r="B61" s="31"/>
      <c r="C61" s="31"/>
      <c r="D61" s="31"/>
      <c r="K61" s="6"/>
      <c r="L61" s="4"/>
      <c r="M61" s="4"/>
      <c r="N61" s="31"/>
      <c r="O61" s="31"/>
    </row>
    <row r="62" spans="1:15" s="116" customFormat="1" x14ac:dyDescent="0.25">
      <c r="A62" s="4"/>
      <c r="B62" s="31"/>
      <c r="C62" s="31"/>
      <c r="D62" s="31"/>
      <c r="K62" s="6"/>
      <c r="L62" s="4"/>
      <c r="M62" s="4"/>
      <c r="N62" s="31"/>
      <c r="O62" s="31"/>
    </row>
    <row r="63" spans="1:15" s="116" customFormat="1" x14ac:dyDescent="0.25">
      <c r="A63" s="4"/>
      <c r="B63" s="31"/>
      <c r="C63" s="31"/>
      <c r="D63" s="31"/>
      <c r="K63" s="6"/>
      <c r="L63" s="4"/>
      <c r="M63" s="4"/>
      <c r="N63" s="31"/>
      <c r="O63" s="31"/>
    </row>
    <row r="64" spans="1:15" s="116" customFormat="1" x14ac:dyDescent="0.25">
      <c r="A64" s="4"/>
      <c r="B64" s="31"/>
      <c r="C64" s="31"/>
      <c r="D64" s="31"/>
      <c r="K64" s="6"/>
      <c r="L64" s="4"/>
      <c r="M64" s="4"/>
      <c r="N64" s="31"/>
      <c r="O64" s="31"/>
    </row>
    <row r="65" spans="1:15" s="116" customFormat="1" x14ac:dyDescent="0.25">
      <c r="A65" s="4"/>
      <c r="B65" s="31"/>
      <c r="C65" s="31"/>
      <c r="D65" s="31"/>
      <c r="K65" s="6"/>
      <c r="L65" s="4"/>
      <c r="M65" s="4"/>
      <c r="N65" s="31"/>
      <c r="O65" s="31"/>
    </row>
    <row r="66" spans="1:15" s="116" customFormat="1" x14ac:dyDescent="0.25">
      <c r="A66" s="4"/>
      <c r="B66" s="31"/>
      <c r="C66" s="31"/>
      <c r="D66" s="31"/>
      <c r="K66" s="6"/>
      <c r="L66" s="4"/>
      <c r="M66" s="4"/>
      <c r="N66" s="31"/>
      <c r="O66" s="31"/>
    </row>
    <row r="67" spans="1:15" s="116" customFormat="1" x14ac:dyDescent="0.25">
      <c r="A67" s="4"/>
      <c r="B67" s="31"/>
      <c r="C67" s="31"/>
      <c r="D67" s="31"/>
      <c r="K67" s="6"/>
      <c r="L67" s="4"/>
      <c r="M67" s="4"/>
      <c r="N67" s="31"/>
      <c r="O67" s="31"/>
    </row>
    <row r="68" spans="1:15" s="116" customFormat="1" x14ac:dyDescent="0.25">
      <c r="A68" s="4"/>
      <c r="B68" s="31"/>
      <c r="C68" s="31"/>
      <c r="D68" s="31"/>
      <c r="K68" s="6"/>
      <c r="L68" s="4"/>
      <c r="M68" s="4"/>
      <c r="N68" s="31"/>
      <c r="O68" s="31"/>
    </row>
    <row r="69" spans="1:15" s="116" customFormat="1" x14ac:dyDescent="0.25">
      <c r="A69" s="4"/>
      <c r="B69" s="31"/>
      <c r="C69" s="31"/>
      <c r="D69" s="31"/>
      <c r="K69" s="6"/>
      <c r="L69" s="4"/>
      <c r="M69" s="4"/>
      <c r="N69" s="31"/>
      <c r="O69" s="31"/>
    </row>
    <row r="70" spans="1:15" s="116" customFormat="1" x14ac:dyDescent="0.25">
      <c r="A70" s="4"/>
      <c r="B70" s="31"/>
      <c r="C70" s="31"/>
      <c r="D70" s="31"/>
      <c r="K70" s="6"/>
      <c r="L70" s="4"/>
      <c r="M70" s="4"/>
      <c r="N70" s="31"/>
      <c r="O70" s="31"/>
    </row>
    <row r="71" spans="1:15" s="116" customFormat="1" x14ac:dyDescent="0.25">
      <c r="A71" s="4"/>
      <c r="B71" s="31"/>
      <c r="C71" s="31"/>
      <c r="D71" s="31"/>
      <c r="K71" s="6"/>
      <c r="L71" s="4"/>
      <c r="M71" s="4"/>
      <c r="N71" s="31"/>
      <c r="O71" s="31"/>
    </row>
    <row r="72" spans="1:15" s="116" customFormat="1" x14ac:dyDescent="0.25">
      <c r="A72" s="4"/>
      <c r="B72" s="31"/>
      <c r="C72" s="31"/>
      <c r="D72" s="31"/>
      <c r="K72" s="6"/>
      <c r="L72" s="4"/>
      <c r="M72" s="4"/>
      <c r="N72" s="31"/>
      <c r="O72" s="31"/>
    </row>
    <row r="73" spans="1:15" s="116" customFormat="1" x14ac:dyDescent="0.25">
      <c r="A73" s="4"/>
      <c r="B73" s="31"/>
      <c r="C73" s="31"/>
      <c r="D73" s="31"/>
      <c r="K73" s="6"/>
      <c r="L73" s="4"/>
      <c r="M73" s="4"/>
      <c r="N73" s="31"/>
      <c r="O73" s="31"/>
    </row>
    <row r="74" spans="1:15" s="116" customFormat="1" x14ac:dyDescent="0.25">
      <c r="A74" s="4"/>
      <c r="B74" s="31"/>
      <c r="C74" s="31"/>
      <c r="D74" s="31"/>
      <c r="K74" s="6"/>
      <c r="L74" s="4"/>
      <c r="M74" s="4"/>
      <c r="N74" s="31"/>
      <c r="O74" s="31"/>
    </row>
    <row r="75" spans="1:15" s="116" customFormat="1" x14ac:dyDescent="0.25">
      <c r="A75" s="4"/>
      <c r="B75" s="31"/>
      <c r="C75" s="31"/>
      <c r="D75" s="31"/>
      <c r="K75" s="6"/>
      <c r="L75" s="4"/>
      <c r="M75" s="4"/>
      <c r="N75" s="31"/>
      <c r="O75" s="31"/>
    </row>
    <row r="76" spans="1:15" s="116" customFormat="1" x14ac:dyDescent="0.25">
      <c r="A76" s="4"/>
      <c r="B76" s="31"/>
      <c r="C76" s="31"/>
      <c r="D76" s="31"/>
      <c r="K76" s="6"/>
      <c r="L76" s="4"/>
      <c r="M76" s="4"/>
      <c r="N76" s="31"/>
      <c r="O76" s="31"/>
    </row>
    <row r="77" spans="1:15" s="116" customFormat="1" x14ac:dyDescent="0.25">
      <c r="A77" s="4"/>
      <c r="B77" s="31"/>
      <c r="C77" s="31"/>
      <c r="D77" s="31"/>
      <c r="K77" s="6"/>
      <c r="L77" s="4"/>
      <c r="M77" s="4"/>
      <c r="N77" s="31"/>
      <c r="O77" s="31"/>
    </row>
    <row r="78" spans="1:15" s="116" customFormat="1" x14ac:dyDescent="0.25">
      <c r="A78" s="4"/>
      <c r="B78" s="31"/>
      <c r="C78" s="31"/>
      <c r="D78" s="31"/>
      <c r="K78" s="6"/>
      <c r="L78" s="4"/>
      <c r="M78" s="4"/>
      <c r="N78" s="31"/>
      <c r="O78" s="31"/>
    </row>
    <row r="79" spans="1:15" s="116" customFormat="1" x14ac:dyDescent="0.25">
      <c r="A79" s="4"/>
      <c r="B79" s="31"/>
      <c r="C79" s="31"/>
      <c r="D79" s="31"/>
      <c r="K79" s="6"/>
      <c r="L79" s="4"/>
      <c r="M79" s="4"/>
      <c r="N79" s="31"/>
      <c r="O79" s="31"/>
    </row>
    <row r="80" spans="1:15" s="116" customFormat="1" x14ac:dyDescent="0.25">
      <c r="A80" s="4"/>
      <c r="B80" s="31"/>
      <c r="C80" s="31"/>
      <c r="D80" s="31"/>
      <c r="K80" s="6"/>
      <c r="L80" s="4"/>
      <c r="M80" s="4"/>
      <c r="N80" s="31"/>
      <c r="O80" s="31"/>
    </row>
    <row r="81" spans="1:15" s="116" customFormat="1" x14ac:dyDescent="0.25">
      <c r="A81" s="4"/>
      <c r="B81" s="31"/>
      <c r="C81" s="31"/>
      <c r="D81" s="31"/>
      <c r="K81" s="6"/>
      <c r="L81" s="4"/>
      <c r="M81" s="4"/>
      <c r="N81" s="31"/>
      <c r="O81" s="31"/>
    </row>
    <row r="82" spans="1:15" s="116" customFormat="1" x14ac:dyDescent="0.25">
      <c r="A82" s="4"/>
      <c r="B82" s="31"/>
      <c r="C82" s="31"/>
      <c r="D82" s="31"/>
      <c r="K82" s="6"/>
      <c r="L82" s="4"/>
      <c r="M82" s="4"/>
      <c r="N82" s="31"/>
      <c r="O82" s="31"/>
    </row>
    <row r="83" spans="1:15" s="116" customFormat="1" x14ac:dyDescent="0.25">
      <c r="A83" s="4"/>
      <c r="B83" s="31"/>
      <c r="C83" s="31"/>
      <c r="D83" s="31"/>
      <c r="K83" s="6"/>
      <c r="L83" s="4"/>
      <c r="M83" s="4"/>
      <c r="N83" s="31"/>
      <c r="O83" s="31"/>
    </row>
    <row r="84" spans="1:15" s="116" customFormat="1" x14ac:dyDescent="0.25">
      <c r="A84" s="4"/>
      <c r="B84" s="31"/>
      <c r="C84" s="31"/>
      <c r="D84" s="31"/>
      <c r="K84" s="6"/>
      <c r="L84" s="4"/>
      <c r="M84" s="4"/>
      <c r="N84" s="31"/>
      <c r="O84" s="31"/>
    </row>
    <row r="85" spans="1:15" s="116" customFormat="1" x14ac:dyDescent="0.25">
      <c r="A85" s="4"/>
      <c r="B85" s="31"/>
      <c r="C85" s="31"/>
      <c r="D85" s="31"/>
      <c r="K85" s="6"/>
      <c r="L85" s="4"/>
      <c r="M85" s="4"/>
      <c r="N85" s="31"/>
      <c r="O85" s="31"/>
    </row>
    <row r="86" spans="1:15" s="116" customFormat="1" x14ac:dyDescent="0.25">
      <c r="A86" s="4"/>
      <c r="B86" s="31"/>
      <c r="C86" s="31"/>
      <c r="D86" s="31"/>
      <c r="K86" s="6"/>
      <c r="L86" s="4"/>
      <c r="M86" s="4"/>
      <c r="N86" s="31"/>
      <c r="O86" s="31"/>
    </row>
    <row r="87" spans="1:15" s="116" customFormat="1" x14ac:dyDescent="0.25">
      <c r="A87" s="4"/>
      <c r="B87" s="31"/>
      <c r="C87" s="31"/>
      <c r="D87" s="31"/>
      <c r="K87" s="6"/>
      <c r="L87" s="4"/>
      <c r="M87" s="4"/>
      <c r="N87" s="31"/>
      <c r="O87" s="31"/>
    </row>
    <row r="88" spans="1:15" s="116" customFormat="1" x14ac:dyDescent="0.25">
      <c r="A88" s="4"/>
      <c r="B88" s="31"/>
      <c r="C88" s="31"/>
      <c r="D88" s="31"/>
      <c r="K88" s="6"/>
      <c r="L88" s="4"/>
      <c r="M88" s="4"/>
      <c r="N88" s="31"/>
      <c r="O88" s="31"/>
    </row>
    <row r="89" spans="1:15" s="116" customFormat="1" x14ac:dyDescent="0.25">
      <c r="A89" s="4"/>
      <c r="B89" s="31"/>
      <c r="C89" s="31"/>
      <c r="D89" s="31"/>
      <c r="K89" s="6"/>
      <c r="L89" s="4"/>
      <c r="M89" s="4"/>
      <c r="N89" s="31"/>
      <c r="O89" s="31"/>
    </row>
    <row r="90" spans="1:15" s="116" customFormat="1" x14ac:dyDescent="0.25">
      <c r="A90" s="4"/>
      <c r="B90" s="31"/>
      <c r="C90" s="31"/>
      <c r="D90" s="31"/>
      <c r="K90" s="6"/>
      <c r="L90" s="4"/>
      <c r="M90" s="4"/>
      <c r="N90" s="31"/>
      <c r="O90" s="31"/>
    </row>
    <row r="91" spans="1:15" s="116" customFormat="1" x14ac:dyDescent="0.25">
      <c r="A91" s="4"/>
      <c r="B91" s="31"/>
      <c r="C91" s="31"/>
      <c r="D91" s="31"/>
      <c r="K91" s="6"/>
      <c r="L91" s="4"/>
      <c r="M91" s="4"/>
      <c r="N91" s="31"/>
      <c r="O91" s="31"/>
    </row>
    <row r="92" spans="1:15" s="116" customFormat="1" x14ac:dyDescent="0.25">
      <c r="A92" s="4"/>
      <c r="B92" s="31"/>
      <c r="C92" s="31"/>
      <c r="D92" s="31"/>
      <c r="K92" s="6"/>
      <c r="L92" s="4"/>
      <c r="M92" s="4"/>
      <c r="N92" s="31"/>
      <c r="O92" s="31"/>
    </row>
    <row r="93" spans="1:15" s="116" customFormat="1" x14ac:dyDescent="0.25">
      <c r="A93" s="4"/>
      <c r="B93" s="31"/>
      <c r="C93" s="31"/>
      <c r="D93" s="31"/>
      <c r="K93" s="6"/>
      <c r="L93" s="4"/>
      <c r="M93" s="4"/>
      <c r="N93" s="31"/>
      <c r="O93" s="31"/>
    </row>
    <row r="94" spans="1:15" s="116" customFormat="1" x14ac:dyDescent="0.25">
      <c r="A94" s="4"/>
      <c r="B94" s="31"/>
      <c r="C94" s="31"/>
      <c r="D94" s="31"/>
      <c r="K94" s="6"/>
      <c r="L94" s="4"/>
      <c r="M94" s="4"/>
      <c r="N94" s="31"/>
      <c r="O94" s="31"/>
    </row>
    <row r="95" spans="1:15" s="116" customFormat="1" x14ac:dyDescent="0.25">
      <c r="A95" s="4"/>
      <c r="B95" s="31"/>
      <c r="C95" s="31"/>
      <c r="D95" s="31"/>
      <c r="K95" s="6"/>
      <c r="L95" s="4"/>
      <c r="M95" s="4"/>
      <c r="N95" s="31"/>
      <c r="O95" s="31"/>
    </row>
    <row r="96" spans="1:15" s="116" customFormat="1" x14ac:dyDescent="0.25">
      <c r="A96" s="4"/>
      <c r="B96" s="31"/>
      <c r="C96" s="31"/>
      <c r="D96" s="31"/>
      <c r="K96" s="6"/>
      <c r="L96" s="4"/>
      <c r="M96" s="4"/>
      <c r="N96" s="31"/>
      <c r="O96" s="31"/>
    </row>
    <row r="97" spans="1:15" s="116" customFormat="1" x14ac:dyDescent="0.25">
      <c r="A97" s="4"/>
      <c r="B97" s="31"/>
      <c r="C97" s="31"/>
      <c r="D97" s="31"/>
      <c r="K97" s="6"/>
      <c r="L97" s="4"/>
      <c r="M97" s="4"/>
      <c r="N97" s="31"/>
      <c r="O97" s="31"/>
    </row>
    <row r="98" spans="1:15" s="116" customFormat="1" x14ac:dyDescent="0.25">
      <c r="A98" s="4"/>
      <c r="B98" s="31"/>
      <c r="C98" s="31"/>
      <c r="D98" s="31"/>
      <c r="K98" s="6"/>
      <c r="L98" s="4"/>
      <c r="M98" s="4"/>
      <c r="N98" s="31"/>
      <c r="O98" s="31"/>
    </row>
    <row r="99" spans="1:15" s="116" customFormat="1" x14ac:dyDescent="0.25">
      <c r="A99" s="4"/>
      <c r="B99" s="31"/>
      <c r="C99" s="31"/>
      <c r="D99" s="31"/>
      <c r="K99" s="6"/>
      <c r="L99" s="4"/>
      <c r="M99" s="4"/>
      <c r="N99" s="31"/>
      <c r="O99" s="31"/>
    </row>
    <row r="100" spans="1:15" s="116" customFormat="1" x14ac:dyDescent="0.25">
      <c r="A100" s="4"/>
      <c r="B100" s="31"/>
      <c r="C100" s="31"/>
      <c r="D100" s="31"/>
      <c r="K100" s="6"/>
      <c r="L100" s="4"/>
      <c r="M100" s="4"/>
      <c r="N100" s="31"/>
      <c r="O100" s="31"/>
    </row>
    <row r="101" spans="1:15" s="116" customFormat="1" x14ac:dyDescent="0.25">
      <c r="A101" s="4"/>
      <c r="B101" s="31"/>
      <c r="C101" s="31"/>
      <c r="D101" s="31"/>
      <c r="K101" s="6"/>
      <c r="L101" s="4"/>
      <c r="M101" s="4"/>
      <c r="N101" s="31"/>
      <c r="O101" s="31"/>
    </row>
    <row r="102" spans="1:15" s="116" customFormat="1" x14ac:dyDescent="0.25">
      <c r="A102" s="4"/>
      <c r="B102" s="31"/>
      <c r="C102" s="31"/>
      <c r="D102" s="31"/>
      <c r="K102" s="6"/>
      <c r="L102" s="4"/>
      <c r="M102" s="4"/>
      <c r="N102" s="31"/>
      <c r="O102" s="31"/>
    </row>
    <row r="103" spans="1:15" s="116" customFormat="1" x14ac:dyDescent="0.25">
      <c r="A103" s="4"/>
      <c r="B103" s="31"/>
      <c r="C103" s="31"/>
      <c r="D103" s="31"/>
      <c r="K103" s="6"/>
      <c r="L103" s="4"/>
      <c r="M103" s="4"/>
      <c r="N103" s="31"/>
      <c r="O103" s="31"/>
    </row>
    <row r="104" spans="1:15" s="116" customFormat="1" x14ac:dyDescent="0.25">
      <c r="A104" s="4"/>
      <c r="B104" s="31"/>
      <c r="C104" s="31"/>
      <c r="D104" s="31"/>
      <c r="K104" s="6"/>
      <c r="L104" s="4"/>
      <c r="M104" s="4"/>
      <c r="N104" s="31"/>
      <c r="O104" s="31"/>
    </row>
    <row r="105" spans="1:15" s="116" customFormat="1" x14ac:dyDescent="0.25">
      <c r="A105" s="4"/>
      <c r="B105" s="31"/>
      <c r="C105" s="31"/>
      <c r="D105" s="31"/>
      <c r="K105" s="6"/>
      <c r="L105" s="4"/>
      <c r="M105" s="4"/>
      <c r="N105" s="31"/>
      <c r="O105" s="31"/>
    </row>
    <row r="106" spans="1:15" s="116" customFormat="1" x14ac:dyDescent="0.25">
      <c r="A106" s="4"/>
      <c r="B106" s="31"/>
      <c r="C106" s="31"/>
      <c r="D106" s="31"/>
      <c r="K106" s="6"/>
      <c r="L106" s="4"/>
      <c r="M106" s="4"/>
      <c r="N106" s="31"/>
      <c r="O106" s="31"/>
    </row>
    <row r="107" spans="1:15" s="116" customFormat="1" x14ac:dyDescent="0.25">
      <c r="A107" s="4"/>
      <c r="B107" s="31"/>
      <c r="C107" s="31"/>
      <c r="D107" s="31"/>
      <c r="K107" s="6"/>
      <c r="L107" s="4"/>
      <c r="M107" s="4"/>
      <c r="N107" s="31"/>
      <c r="O107" s="31"/>
    </row>
    <row r="108" spans="1:15" s="116" customFormat="1" x14ac:dyDescent="0.25">
      <c r="A108" s="4"/>
      <c r="B108" s="31"/>
      <c r="C108" s="31"/>
      <c r="D108" s="31"/>
      <c r="K108" s="6"/>
      <c r="L108" s="4"/>
      <c r="M108" s="4"/>
      <c r="N108" s="31"/>
      <c r="O108" s="31"/>
    </row>
    <row r="109" spans="1:15" s="116" customFormat="1" x14ac:dyDescent="0.25">
      <c r="A109" s="4"/>
      <c r="B109" s="31"/>
      <c r="C109" s="31"/>
      <c r="D109" s="31"/>
      <c r="K109" s="6"/>
      <c r="L109" s="4"/>
      <c r="M109" s="4"/>
      <c r="N109" s="31"/>
      <c r="O109" s="31"/>
    </row>
    <row r="110" spans="1:15" s="116" customFormat="1" x14ac:dyDescent="0.25">
      <c r="A110" s="4"/>
      <c r="B110" s="31"/>
      <c r="C110" s="31"/>
      <c r="D110" s="31"/>
      <c r="K110" s="6"/>
      <c r="L110" s="4"/>
      <c r="M110" s="4"/>
      <c r="N110" s="31"/>
      <c r="O110" s="31"/>
    </row>
    <row r="111" spans="1:15" s="116" customFormat="1" x14ac:dyDescent="0.25">
      <c r="A111" s="4"/>
      <c r="B111" s="31"/>
      <c r="C111" s="31"/>
      <c r="D111" s="31"/>
      <c r="K111" s="6"/>
      <c r="L111" s="4"/>
      <c r="M111" s="4"/>
      <c r="N111" s="31"/>
      <c r="O111" s="31"/>
    </row>
    <row r="112" spans="1:15" s="116" customFormat="1" x14ac:dyDescent="0.25">
      <c r="A112" s="4"/>
      <c r="B112" s="31"/>
      <c r="C112" s="31"/>
      <c r="D112" s="31"/>
      <c r="K112" s="6"/>
      <c r="L112" s="4"/>
      <c r="M112" s="4"/>
      <c r="N112" s="31"/>
      <c r="O112" s="31"/>
    </row>
    <row r="113" spans="1:15" s="116" customFormat="1" x14ac:dyDescent="0.25">
      <c r="A113" s="4"/>
      <c r="B113" s="31"/>
      <c r="C113" s="31"/>
      <c r="D113" s="31"/>
      <c r="K113" s="6"/>
      <c r="L113" s="4"/>
      <c r="M113" s="4"/>
      <c r="N113" s="31"/>
      <c r="O113" s="31"/>
    </row>
    <row r="114" spans="1:15" s="116" customFormat="1" x14ac:dyDescent="0.25">
      <c r="A114" s="4"/>
      <c r="B114" s="31"/>
      <c r="C114" s="31"/>
      <c r="D114" s="31"/>
      <c r="K114" s="6"/>
      <c r="L114" s="4"/>
      <c r="M114" s="4"/>
      <c r="N114" s="31"/>
      <c r="O114" s="31"/>
    </row>
    <row r="115" spans="1:15" s="116" customFormat="1" x14ac:dyDescent="0.25">
      <c r="A115" s="4"/>
      <c r="B115" s="31"/>
      <c r="C115" s="31"/>
      <c r="D115" s="31"/>
      <c r="K115" s="6"/>
      <c r="L115" s="4"/>
      <c r="M115" s="4"/>
      <c r="N115" s="31"/>
      <c r="O115" s="31"/>
    </row>
    <row r="116" spans="1:15" s="116" customFormat="1" x14ac:dyDescent="0.25">
      <c r="A116" s="4"/>
      <c r="B116" s="31"/>
      <c r="C116" s="31"/>
      <c r="D116" s="31"/>
      <c r="K116" s="6"/>
      <c r="L116" s="4"/>
      <c r="M116" s="4"/>
      <c r="N116" s="31"/>
      <c r="O116" s="31"/>
    </row>
    <row r="117" spans="1:15" s="116" customFormat="1" x14ac:dyDescent="0.25">
      <c r="A117" s="4"/>
      <c r="B117" s="31"/>
      <c r="C117" s="31"/>
      <c r="D117" s="31"/>
      <c r="K117" s="6"/>
      <c r="L117" s="4"/>
      <c r="M117" s="4"/>
      <c r="N117" s="31"/>
      <c r="O117" s="31"/>
    </row>
    <row r="118" spans="1:15" s="116" customFormat="1" x14ac:dyDescent="0.25">
      <c r="A118" s="4"/>
      <c r="B118" s="31"/>
      <c r="C118" s="31"/>
      <c r="D118" s="31"/>
      <c r="K118" s="6"/>
      <c r="L118" s="4"/>
      <c r="M118" s="4"/>
      <c r="N118" s="31"/>
      <c r="O118" s="31"/>
    </row>
    <row r="119" spans="1:15" s="116" customFormat="1" x14ac:dyDescent="0.25">
      <c r="A119" s="4"/>
      <c r="B119" s="31"/>
      <c r="C119" s="31"/>
      <c r="D119" s="31"/>
      <c r="K119" s="6"/>
      <c r="L119" s="4"/>
      <c r="M119" s="4"/>
      <c r="N119" s="31"/>
      <c r="O119" s="31"/>
    </row>
    <row r="120" spans="1:15" s="116" customFormat="1" x14ac:dyDescent="0.25">
      <c r="A120" s="4"/>
      <c r="B120" s="31"/>
      <c r="C120" s="31"/>
      <c r="D120" s="31"/>
      <c r="K120" s="6"/>
      <c r="L120" s="4"/>
      <c r="M120" s="4"/>
      <c r="N120" s="31"/>
      <c r="O120" s="31"/>
    </row>
    <row r="121" spans="1:15" s="116" customFormat="1" x14ac:dyDescent="0.25">
      <c r="A121" s="4"/>
      <c r="B121" s="31"/>
      <c r="C121" s="31"/>
      <c r="D121" s="31"/>
      <c r="K121" s="6"/>
      <c r="L121" s="4"/>
      <c r="M121" s="4"/>
      <c r="N121" s="31"/>
      <c r="O121" s="31"/>
    </row>
    <row r="122" spans="1:15" s="116" customFormat="1" x14ac:dyDescent="0.25">
      <c r="A122" s="4"/>
      <c r="B122" s="31"/>
      <c r="C122" s="31"/>
      <c r="D122" s="31"/>
      <c r="K122" s="6"/>
      <c r="L122" s="4"/>
      <c r="M122" s="4"/>
      <c r="N122" s="31"/>
      <c r="O122" s="31"/>
    </row>
    <row r="123" spans="1:15" s="116" customFormat="1" x14ac:dyDescent="0.25">
      <c r="A123" s="4"/>
      <c r="B123" s="31"/>
      <c r="C123" s="31"/>
      <c r="D123" s="31"/>
      <c r="K123" s="6"/>
      <c r="L123" s="4"/>
      <c r="M123" s="4"/>
      <c r="N123" s="31"/>
      <c r="O123" s="31"/>
    </row>
    <row r="124" spans="1:15" s="116" customFormat="1" x14ac:dyDescent="0.25">
      <c r="A124" s="4"/>
      <c r="B124" s="31"/>
      <c r="C124" s="31"/>
      <c r="D124" s="31"/>
      <c r="K124" s="6"/>
      <c r="L124" s="4"/>
      <c r="M124" s="4"/>
      <c r="N124" s="31"/>
      <c r="O124" s="31"/>
    </row>
    <row r="125" spans="1:15" s="116" customFormat="1" x14ac:dyDescent="0.25">
      <c r="A125" s="4"/>
      <c r="B125" s="31"/>
      <c r="C125" s="31"/>
      <c r="D125" s="31"/>
      <c r="K125" s="6"/>
      <c r="L125" s="4"/>
      <c r="M125" s="4"/>
      <c r="N125" s="31"/>
      <c r="O125" s="31"/>
    </row>
    <row r="126" spans="1:15" s="116" customFormat="1" x14ac:dyDescent="0.25">
      <c r="A126" s="4"/>
      <c r="B126" s="31"/>
      <c r="C126" s="31"/>
      <c r="D126" s="31"/>
      <c r="K126" s="6"/>
      <c r="L126" s="4"/>
      <c r="M126" s="4"/>
      <c r="N126" s="31"/>
      <c r="O126" s="31"/>
    </row>
    <row r="127" spans="1:15" s="116" customFormat="1" x14ac:dyDescent="0.25">
      <c r="A127" s="4"/>
      <c r="B127" s="31"/>
      <c r="C127" s="31"/>
      <c r="D127" s="31"/>
      <c r="K127" s="6"/>
      <c r="L127" s="4"/>
      <c r="M127" s="4"/>
      <c r="N127" s="31"/>
      <c r="O127" s="31"/>
    </row>
    <row r="128" spans="1:15" s="116" customFormat="1" x14ac:dyDescent="0.25">
      <c r="A128" s="4"/>
      <c r="B128" s="31"/>
      <c r="C128" s="31"/>
      <c r="D128" s="31"/>
      <c r="K128" s="6"/>
      <c r="L128" s="4"/>
      <c r="M128" s="4"/>
      <c r="N128" s="31"/>
      <c r="O128" s="31"/>
    </row>
    <row r="129" spans="1:15" s="116" customFormat="1" x14ac:dyDescent="0.25">
      <c r="A129" s="4"/>
      <c r="B129" s="31"/>
      <c r="C129" s="31"/>
      <c r="D129" s="31"/>
      <c r="K129" s="6"/>
      <c r="L129" s="4"/>
      <c r="M129" s="4"/>
      <c r="N129" s="31"/>
      <c r="O129" s="31"/>
    </row>
    <row r="130" spans="1:15" s="116" customFormat="1" x14ac:dyDescent="0.25">
      <c r="A130" s="4"/>
      <c r="B130" s="31"/>
      <c r="C130" s="31"/>
      <c r="D130" s="31"/>
      <c r="K130" s="6"/>
      <c r="L130" s="4"/>
      <c r="M130" s="4"/>
      <c r="N130" s="31"/>
      <c r="O130" s="31"/>
    </row>
    <row r="131" spans="1:15" s="116" customFormat="1" x14ac:dyDescent="0.25">
      <c r="A131" s="4"/>
      <c r="B131" s="31"/>
      <c r="C131" s="31"/>
      <c r="D131" s="31"/>
      <c r="K131" s="6"/>
      <c r="L131" s="4"/>
      <c r="M131" s="4"/>
      <c r="N131" s="31"/>
      <c r="O131" s="31"/>
    </row>
    <row r="132" spans="1:15" s="116" customFormat="1" x14ac:dyDescent="0.25">
      <c r="A132" s="4"/>
      <c r="B132" s="31"/>
      <c r="C132" s="31"/>
      <c r="D132" s="31"/>
      <c r="K132" s="6"/>
      <c r="L132" s="4"/>
      <c r="M132" s="4"/>
      <c r="N132" s="31"/>
      <c r="O132" s="31"/>
    </row>
    <row r="133" spans="1:15" s="116" customFormat="1" x14ac:dyDescent="0.25">
      <c r="A133" s="4"/>
      <c r="B133" s="31"/>
      <c r="C133" s="31"/>
      <c r="D133" s="31"/>
      <c r="K133" s="6"/>
      <c r="L133" s="4"/>
      <c r="M133" s="4"/>
      <c r="N133" s="31"/>
      <c r="O133" s="31"/>
    </row>
    <row r="134" spans="1:15" s="116" customFormat="1" x14ac:dyDescent="0.25">
      <c r="A134" s="4"/>
      <c r="B134" s="31"/>
      <c r="C134" s="31"/>
      <c r="D134" s="31"/>
      <c r="K134" s="6"/>
      <c r="L134" s="4"/>
      <c r="M134" s="4"/>
      <c r="N134" s="31"/>
      <c r="O134" s="31"/>
    </row>
    <row r="135" spans="1:15" s="116" customFormat="1" x14ac:dyDescent="0.25">
      <c r="A135" s="4"/>
      <c r="B135" s="31"/>
      <c r="C135" s="31"/>
      <c r="D135" s="31"/>
      <c r="K135" s="6"/>
      <c r="L135" s="4"/>
      <c r="M135" s="4"/>
      <c r="N135" s="31"/>
      <c r="O135" s="31"/>
    </row>
    <row r="136" spans="1:15" s="116" customFormat="1" x14ac:dyDescent="0.25">
      <c r="A136" s="4"/>
      <c r="B136" s="31"/>
      <c r="C136" s="31"/>
      <c r="D136" s="31"/>
      <c r="K136" s="6"/>
      <c r="L136" s="4"/>
      <c r="M136" s="4"/>
      <c r="N136" s="31"/>
      <c r="O136" s="31"/>
    </row>
    <row r="137" spans="1:15" s="116" customFormat="1" x14ac:dyDescent="0.25">
      <c r="A137" s="4"/>
      <c r="B137" s="31"/>
      <c r="C137" s="31"/>
      <c r="D137" s="31"/>
      <c r="K137" s="6"/>
      <c r="L137" s="4"/>
      <c r="M137" s="4"/>
      <c r="N137" s="31"/>
      <c r="O137" s="31"/>
    </row>
    <row r="138" spans="1:15" s="116" customFormat="1" x14ac:dyDescent="0.25">
      <c r="A138" s="4"/>
      <c r="B138" s="31"/>
      <c r="C138" s="31"/>
      <c r="D138" s="31"/>
      <c r="K138" s="6"/>
      <c r="L138" s="4"/>
      <c r="M138" s="4"/>
      <c r="N138" s="31"/>
      <c r="O138" s="31"/>
    </row>
    <row r="139" spans="1:15" s="116" customFormat="1" x14ac:dyDescent="0.25">
      <c r="A139" s="4"/>
      <c r="B139" s="31"/>
      <c r="C139" s="31"/>
      <c r="D139" s="31"/>
      <c r="K139" s="6"/>
      <c r="L139" s="4"/>
      <c r="M139" s="4"/>
      <c r="N139" s="31"/>
      <c r="O139" s="31"/>
    </row>
    <row r="140" spans="1:15" s="116" customFormat="1" x14ac:dyDescent="0.25">
      <c r="A140" s="4"/>
      <c r="B140" s="31"/>
      <c r="C140" s="31"/>
      <c r="D140" s="31"/>
      <c r="K140" s="6"/>
      <c r="L140" s="4"/>
      <c r="M140" s="4"/>
      <c r="N140" s="31"/>
      <c r="O140" s="31"/>
    </row>
    <row r="141" spans="1:15" s="116" customFormat="1" x14ac:dyDescent="0.25">
      <c r="A141" s="4"/>
      <c r="B141" s="31"/>
      <c r="C141" s="31"/>
      <c r="D141" s="31"/>
      <c r="K141" s="6"/>
      <c r="L141" s="4"/>
      <c r="M141" s="4"/>
      <c r="N141" s="31"/>
      <c r="O141" s="31"/>
    </row>
    <row r="142" spans="1:15" s="116" customFormat="1" x14ac:dyDescent="0.25">
      <c r="A142" s="4"/>
      <c r="B142" s="31"/>
      <c r="C142" s="31"/>
      <c r="D142" s="31"/>
      <c r="K142" s="6"/>
      <c r="L142" s="4"/>
      <c r="M142" s="4"/>
      <c r="N142" s="31"/>
      <c r="O142" s="31"/>
    </row>
    <row r="143" spans="1:15" s="116" customFormat="1" x14ac:dyDescent="0.25">
      <c r="A143" s="4"/>
      <c r="B143" s="31"/>
      <c r="C143" s="31"/>
      <c r="D143" s="31"/>
      <c r="K143" s="6"/>
      <c r="L143" s="4"/>
      <c r="M143" s="4"/>
      <c r="N143" s="31"/>
      <c r="O143" s="31"/>
    </row>
    <row r="144" spans="1:15" s="116" customFormat="1" x14ac:dyDescent="0.25">
      <c r="A144" s="4"/>
      <c r="B144" s="31"/>
      <c r="C144" s="31"/>
      <c r="D144" s="31"/>
      <c r="K144" s="6"/>
      <c r="L144" s="4"/>
      <c r="M144" s="4"/>
      <c r="N144" s="31"/>
      <c r="O144" s="31"/>
    </row>
    <row r="145" spans="1:15" s="116" customFormat="1" x14ac:dyDescent="0.25">
      <c r="A145" s="4"/>
      <c r="B145" s="31"/>
      <c r="C145" s="31"/>
      <c r="D145" s="31"/>
      <c r="K145" s="6"/>
      <c r="L145" s="4"/>
      <c r="M145" s="4"/>
      <c r="N145" s="31"/>
      <c r="O145" s="31"/>
    </row>
    <row r="146" spans="1:15" s="116" customFormat="1" x14ac:dyDescent="0.25">
      <c r="A146" s="4"/>
      <c r="B146" s="31"/>
      <c r="C146" s="31"/>
      <c r="D146" s="31"/>
      <c r="K146" s="6"/>
      <c r="L146" s="4"/>
      <c r="M146" s="4"/>
      <c r="N146" s="31"/>
      <c r="O146" s="31"/>
    </row>
    <row r="147" spans="1:15" s="116" customFormat="1" x14ac:dyDescent="0.25">
      <c r="A147" s="4"/>
      <c r="B147" s="31"/>
      <c r="C147" s="31"/>
      <c r="D147" s="31"/>
      <c r="K147" s="6"/>
      <c r="L147" s="4"/>
      <c r="M147" s="4"/>
      <c r="N147" s="31"/>
      <c r="O147" s="31"/>
    </row>
    <row r="148" spans="1:15" s="116" customFormat="1" x14ac:dyDescent="0.25">
      <c r="A148" s="4"/>
      <c r="B148" s="31"/>
      <c r="C148" s="31"/>
      <c r="D148" s="31"/>
      <c r="K148" s="6"/>
      <c r="L148" s="4"/>
      <c r="M148" s="4"/>
      <c r="N148" s="31"/>
      <c r="O148" s="31"/>
    </row>
    <row r="149" spans="1:15" s="116" customFormat="1" x14ac:dyDescent="0.25">
      <c r="A149" s="4"/>
      <c r="B149" s="31"/>
      <c r="C149" s="31"/>
      <c r="D149" s="31"/>
      <c r="K149" s="6"/>
      <c r="L149" s="4"/>
      <c r="M149" s="4"/>
      <c r="N149" s="31"/>
      <c r="O149" s="31"/>
    </row>
    <row r="150" spans="1:15" s="116" customFormat="1" x14ac:dyDescent="0.25">
      <c r="A150" s="4"/>
      <c r="B150" s="31"/>
      <c r="C150" s="31"/>
      <c r="D150" s="31"/>
      <c r="K150" s="6"/>
      <c r="L150" s="4"/>
      <c r="M150" s="4"/>
      <c r="N150" s="31"/>
      <c r="O150" s="31"/>
    </row>
    <row r="151" spans="1:15" s="116" customFormat="1" x14ac:dyDescent="0.25">
      <c r="A151" s="4"/>
      <c r="B151" s="31"/>
      <c r="C151" s="31"/>
      <c r="D151" s="31"/>
      <c r="K151" s="6"/>
      <c r="L151" s="4"/>
      <c r="M151" s="4"/>
      <c r="N151" s="31"/>
      <c r="O151" s="31"/>
    </row>
    <row r="152" spans="1:15" s="116" customFormat="1" x14ac:dyDescent="0.25">
      <c r="A152" s="4"/>
      <c r="B152" s="31"/>
      <c r="C152" s="31"/>
      <c r="D152" s="31"/>
      <c r="K152" s="6"/>
      <c r="L152" s="4"/>
      <c r="M152" s="4"/>
      <c r="N152" s="31"/>
      <c r="O152" s="31"/>
    </row>
    <row r="153" spans="1:15" s="116" customFormat="1" x14ac:dyDescent="0.25">
      <c r="A153" s="4"/>
      <c r="B153" s="31"/>
      <c r="C153" s="31"/>
      <c r="D153" s="31"/>
      <c r="K153" s="6"/>
      <c r="L153" s="4"/>
      <c r="M153" s="4"/>
      <c r="N153" s="31"/>
      <c r="O153" s="31"/>
    </row>
    <row r="154" spans="1:15" s="116" customFormat="1" x14ac:dyDescent="0.25">
      <c r="A154" s="4"/>
      <c r="B154" s="31"/>
      <c r="C154" s="31"/>
      <c r="D154" s="31"/>
      <c r="K154" s="6"/>
      <c r="L154" s="4"/>
      <c r="M154" s="4"/>
      <c r="N154" s="31"/>
      <c r="O154" s="31"/>
    </row>
    <row r="155" spans="1:15" s="116" customFormat="1" x14ac:dyDescent="0.25">
      <c r="A155" s="4"/>
      <c r="B155" s="31"/>
      <c r="C155" s="31"/>
      <c r="D155" s="31"/>
      <c r="K155" s="6"/>
      <c r="L155" s="4"/>
      <c r="M155" s="4"/>
      <c r="N155" s="31"/>
      <c r="O155" s="31"/>
    </row>
    <row r="156" spans="1:15" s="116" customFormat="1" x14ac:dyDescent="0.25">
      <c r="A156" s="4"/>
      <c r="B156" s="31"/>
      <c r="C156" s="31"/>
      <c r="D156" s="31"/>
      <c r="K156" s="6"/>
      <c r="L156" s="4"/>
      <c r="M156" s="4"/>
      <c r="N156" s="31"/>
      <c r="O156" s="31"/>
    </row>
    <row r="157" spans="1:15" s="116" customFormat="1" x14ac:dyDescent="0.25">
      <c r="A157" s="4"/>
      <c r="B157" s="31"/>
      <c r="C157" s="31"/>
      <c r="D157" s="31"/>
      <c r="K157" s="6"/>
      <c r="L157" s="4"/>
      <c r="M157" s="4"/>
      <c r="N157" s="31"/>
      <c r="O157" s="31"/>
    </row>
    <row r="158" spans="1:15" s="116" customFormat="1" x14ac:dyDescent="0.25">
      <c r="A158" s="4"/>
      <c r="B158" s="31"/>
      <c r="C158" s="31"/>
      <c r="D158" s="31"/>
      <c r="K158" s="6"/>
      <c r="L158" s="4"/>
      <c r="M158" s="4"/>
      <c r="N158" s="31"/>
      <c r="O158" s="31"/>
    </row>
    <row r="159" spans="1:15" s="116" customFormat="1" x14ac:dyDescent="0.25">
      <c r="A159" s="4"/>
      <c r="B159" s="31"/>
      <c r="C159" s="31"/>
      <c r="D159" s="31"/>
      <c r="K159" s="6"/>
      <c r="L159" s="4"/>
      <c r="M159" s="4"/>
      <c r="N159" s="31"/>
      <c r="O159" s="31"/>
    </row>
    <row r="160" spans="1:15" s="116" customFormat="1" x14ac:dyDescent="0.25">
      <c r="A160" s="4"/>
      <c r="B160" s="31"/>
      <c r="C160" s="31"/>
      <c r="D160" s="31"/>
      <c r="K160" s="6"/>
      <c r="L160" s="4"/>
      <c r="M160" s="4"/>
      <c r="N160" s="31"/>
      <c r="O160" s="31"/>
    </row>
    <row r="161" spans="1:15" s="116" customFormat="1" x14ac:dyDescent="0.25">
      <c r="A161" s="4"/>
      <c r="B161" s="31"/>
      <c r="C161" s="31"/>
      <c r="D161" s="31"/>
      <c r="K161" s="6"/>
      <c r="L161" s="4"/>
      <c r="M161" s="4"/>
      <c r="N161" s="31"/>
      <c r="O161" s="31"/>
    </row>
    <row r="162" spans="1:15" s="116" customFormat="1" x14ac:dyDescent="0.25">
      <c r="A162" s="4"/>
      <c r="B162" s="31"/>
      <c r="C162" s="31"/>
      <c r="D162" s="31"/>
      <c r="K162" s="6"/>
      <c r="L162" s="4"/>
      <c r="M162" s="4"/>
      <c r="N162" s="31"/>
      <c r="O162" s="31"/>
    </row>
    <row r="163" spans="1:15" s="116" customFormat="1" x14ac:dyDescent="0.25">
      <c r="A163" s="4"/>
      <c r="B163" s="31"/>
      <c r="C163" s="31"/>
      <c r="D163" s="31"/>
      <c r="K163" s="6"/>
      <c r="L163" s="4"/>
      <c r="M163" s="4"/>
      <c r="N163" s="31"/>
      <c r="O163" s="31"/>
    </row>
    <row r="164" spans="1:15" s="116" customFormat="1" x14ac:dyDescent="0.25">
      <c r="A164" s="4"/>
      <c r="B164" s="31"/>
      <c r="C164" s="31"/>
      <c r="D164" s="31"/>
      <c r="K164" s="6"/>
      <c r="L164" s="4"/>
      <c r="M164" s="4"/>
      <c r="N164" s="31"/>
      <c r="O164" s="31"/>
    </row>
    <row r="165" spans="1:15" s="116" customFormat="1" x14ac:dyDescent="0.25">
      <c r="A165" s="4"/>
      <c r="B165" s="31"/>
      <c r="C165" s="31"/>
      <c r="D165" s="31"/>
      <c r="K165" s="6"/>
      <c r="L165" s="4"/>
      <c r="M165" s="4"/>
      <c r="N165" s="31"/>
      <c r="O165" s="31"/>
    </row>
    <row r="166" spans="1:15" s="116" customFormat="1" x14ac:dyDescent="0.25">
      <c r="A166" s="4"/>
      <c r="B166" s="31"/>
      <c r="C166" s="31"/>
      <c r="D166" s="31"/>
      <c r="K166" s="6"/>
      <c r="L166" s="4"/>
      <c r="M166" s="4"/>
      <c r="N166" s="31"/>
      <c r="O166" s="31"/>
    </row>
    <row r="167" spans="1:15" s="116" customFormat="1" x14ac:dyDescent="0.25">
      <c r="A167" s="4"/>
      <c r="B167" s="31"/>
      <c r="C167" s="31"/>
      <c r="D167" s="31"/>
      <c r="K167" s="6"/>
      <c r="L167" s="4"/>
      <c r="M167" s="4"/>
      <c r="N167" s="31"/>
      <c r="O167" s="31"/>
    </row>
    <row r="168" spans="1:15" s="116" customFormat="1" x14ac:dyDescent="0.25">
      <c r="A168" s="4"/>
      <c r="B168" s="31"/>
      <c r="C168" s="31"/>
      <c r="D168" s="31"/>
      <c r="K168" s="6"/>
      <c r="L168" s="4"/>
      <c r="M168" s="4"/>
      <c r="N168" s="31"/>
      <c r="O168" s="31"/>
    </row>
    <row r="169" spans="1:15" s="116" customFormat="1" x14ac:dyDescent="0.25">
      <c r="A169" s="4"/>
      <c r="B169" s="31"/>
      <c r="C169" s="31"/>
      <c r="D169" s="31"/>
      <c r="K169" s="6"/>
      <c r="L169" s="4"/>
      <c r="M169" s="4"/>
      <c r="N169" s="31"/>
      <c r="O169" s="31"/>
    </row>
    <row r="170" spans="1:15" s="116" customFormat="1" x14ac:dyDescent="0.25">
      <c r="A170" s="4"/>
      <c r="B170" s="31"/>
      <c r="C170" s="31"/>
      <c r="D170" s="31"/>
      <c r="K170" s="6"/>
      <c r="L170" s="4"/>
      <c r="M170" s="4"/>
      <c r="N170" s="31"/>
      <c r="O170" s="31"/>
    </row>
    <row r="171" spans="1:15" s="116" customFormat="1" x14ac:dyDescent="0.25">
      <c r="A171" s="4"/>
      <c r="B171" s="31"/>
      <c r="C171" s="31"/>
      <c r="D171" s="31"/>
      <c r="K171" s="6"/>
      <c r="L171" s="4"/>
      <c r="M171" s="4"/>
      <c r="N171" s="31"/>
      <c r="O171" s="31"/>
    </row>
    <row r="172" spans="1:15" s="116" customFormat="1" x14ac:dyDescent="0.25">
      <c r="A172" s="4"/>
      <c r="B172" s="31"/>
      <c r="C172" s="31"/>
      <c r="D172" s="31"/>
      <c r="K172" s="6"/>
      <c r="L172" s="4"/>
      <c r="M172" s="4"/>
      <c r="N172" s="31"/>
      <c r="O172" s="31"/>
    </row>
    <row r="173" spans="1:15" s="116" customFormat="1" x14ac:dyDescent="0.25">
      <c r="A173" s="4"/>
      <c r="B173" s="31"/>
      <c r="C173" s="31"/>
      <c r="D173" s="31"/>
      <c r="K173" s="6"/>
      <c r="L173" s="4"/>
      <c r="M173" s="4"/>
      <c r="N173" s="31"/>
      <c r="O173" s="31"/>
    </row>
  </sheetData>
  <mergeCells count="6">
    <mergeCell ref="B2:K2"/>
    <mergeCell ref="B6:K6"/>
    <mergeCell ref="B7:K7"/>
    <mergeCell ref="B3:K3"/>
    <mergeCell ref="B4:K4"/>
    <mergeCell ref="B5:K5"/>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59"/>
  <sheetViews>
    <sheetView workbookViewId="0"/>
  </sheetViews>
  <sheetFormatPr defaultColWidth="9.7109375" defaultRowHeight="15.75" x14ac:dyDescent="0.25"/>
  <cols>
    <col min="1" max="1" width="5.28515625" style="4" customWidth="1"/>
    <col min="2" max="2" width="15.28515625" style="31" customWidth="1"/>
    <col min="3" max="3" width="44.28515625" style="31" customWidth="1"/>
    <col min="4" max="6" width="16.7109375" style="4" customWidth="1"/>
    <col min="7" max="7" width="5.28515625" style="4" customWidth="1"/>
    <col min="8" max="8" width="7.7109375" style="31" customWidth="1"/>
    <col min="9" max="16384" width="9.7109375" style="31"/>
  </cols>
  <sheetData>
    <row r="2" spans="1:10" x14ac:dyDescent="0.25">
      <c r="B2" s="1294" t="s">
        <v>0</v>
      </c>
      <c r="C2" s="1294"/>
      <c r="D2" s="1294"/>
      <c r="E2" s="1294"/>
      <c r="F2" s="1294"/>
      <c r="G2" s="218"/>
      <c r="J2"/>
    </row>
    <row r="3" spans="1:10" x14ac:dyDescent="0.25">
      <c r="B3" s="1294" t="s">
        <v>681</v>
      </c>
      <c r="C3" s="1294"/>
      <c r="D3" s="1294"/>
      <c r="E3" s="1294"/>
      <c r="F3" s="1294"/>
      <c r="G3" s="218"/>
    </row>
    <row r="4" spans="1:10" x14ac:dyDescent="0.25">
      <c r="B4" s="1294" t="s">
        <v>1566</v>
      </c>
      <c r="C4" s="1294"/>
      <c r="D4" s="1294"/>
      <c r="E4" s="1294"/>
      <c r="F4" s="1294"/>
      <c r="G4" s="218"/>
    </row>
    <row r="5" spans="1:10" x14ac:dyDescent="0.25">
      <c r="B5" s="1298" t="s">
        <v>1567</v>
      </c>
      <c r="C5" s="1298"/>
      <c r="D5" s="1298"/>
      <c r="E5" s="1298"/>
      <c r="F5" s="1298"/>
      <c r="G5" s="218"/>
    </row>
    <row r="6" spans="1:10" x14ac:dyDescent="0.25">
      <c r="B6" s="1298" t="s">
        <v>1468</v>
      </c>
      <c r="C6" s="1298"/>
      <c r="D6" s="1298"/>
      <c r="E6" s="1298"/>
      <c r="F6" s="1298"/>
      <c r="G6" s="218"/>
    </row>
    <row r="7" spans="1:10" x14ac:dyDescent="0.25">
      <c r="A7" s="218"/>
      <c r="B7" s="4"/>
      <c r="C7" s="4"/>
    </row>
    <row r="8" spans="1:10" x14ac:dyDescent="0.25">
      <c r="A8" s="432"/>
      <c r="B8" s="288"/>
      <c r="C8" s="946"/>
      <c r="D8" s="946" t="s">
        <v>184</v>
      </c>
      <c r="E8" s="946" t="s">
        <v>185</v>
      </c>
      <c r="F8" s="433" t="s">
        <v>682</v>
      </c>
      <c r="G8" s="298"/>
      <c r="H8" s="218"/>
    </row>
    <row r="9" spans="1:10" x14ac:dyDescent="0.25">
      <c r="A9" s="432" t="s">
        <v>5</v>
      </c>
      <c r="B9" s="274" t="s">
        <v>449</v>
      </c>
      <c r="C9" s="270"/>
      <c r="D9" s="270" t="s">
        <v>683</v>
      </c>
      <c r="E9" s="270" t="s">
        <v>684</v>
      </c>
      <c r="F9" s="298" t="s">
        <v>177</v>
      </c>
      <c r="G9" s="297" t="s">
        <v>5</v>
      </c>
      <c r="H9" s="218"/>
    </row>
    <row r="10" spans="1:10" x14ac:dyDescent="0.25">
      <c r="A10" s="432" t="s">
        <v>6</v>
      </c>
      <c r="B10" s="276" t="s">
        <v>305</v>
      </c>
      <c r="C10" s="275" t="s">
        <v>306</v>
      </c>
      <c r="D10" s="275" t="s">
        <v>685</v>
      </c>
      <c r="E10" s="275" t="s">
        <v>685</v>
      </c>
      <c r="F10" s="306" t="s">
        <v>685</v>
      </c>
      <c r="G10" s="297" t="s">
        <v>6</v>
      </c>
      <c r="H10" s="218"/>
    </row>
    <row r="11" spans="1:10" x14ac:dyDescent="0.25">
      <c r="A11" s="432">
        <v>1</v>
      </c>
      <c r="B11" s="434" t="s">
        <v>2011</v>
      </c>
      <c r="C11" s="1004" t="s">
        <v>1925</v>
      </c>
      <c r="D11" s="1272">
        <v>0</v>
      </c>
      <c r="E11" s="1272">
        <v>0</v>
      </c>
      <c r="F11" s="1273">
        <v>0</v>
      </c>
      <c r="G11" s="297">
        <f>A11</f>
        <v>1</v>
      </c>
      <c r="H11" s="218"/>
    </row>
    <row r="12" spans="1:10" x14ac:dyDescent="0.25">
      <c r="A12" s="432">
        <f>1+A11</f>
        <v>2</v>
      </c>
      <c r="B12" s="434" t="s">
        <v>2012</v>
      </c>
      <c r="C12" s="1004" t="s">
        <v>1926</v>
      </c>
      <c r="D12" s="1272">
        <v>0</v>
      </c>
      <c r="E12" s="1272">
        <v>0</v>
      </c>
      <c r="F12" s="1273">
        <v>0</v>
      </c>
      <c r="G12" s="297">
        <f>G11+1</f>
        <v>2</v>
      </c>
      <c r="H12" s="218"/>
    </row>
    <row r="13" spans="1:10" x14ac:dyDescent="0.25">
      <c r="A13" s="432">
        <f t="shared" ref="A13:A49" si="0">1+A12</f>
        <v>3</v>
      </c>
      <c r="B13" s="434" t="s">
        <v>2013</v>
      </c>
      <c r="C13" s="1004" t="s">
        <v>1927</v>
      </c>
      <c r="D13" s="1272">
        <v>0</v>
      </c>
      <c r="E13" s="1272">
        <v>0</v>
      </c>
      <c r="F13" s="1273">
        <v>0</v>
      </c>
      <c r="G13" s="297">
        <f t="shared" ref="G13:G16" si="1">G12+1</f>
        <v>3</v>
      </c>
      <c r="H13" s="218"/>
    </row>
    <row r="14" spans="1:10" x14ac:dyDescent="0.25">
      <c r="A14" s="432">
        <f t="shared" si="0"/>
        <v>4</v>
      </c>
      <c r="B14" s="302" t="s">
        <v>686</v>
      </c>
      <c r="C14" s="955" t="s">
        <v>283</v>
      </c>
      <c r="D14" s="1003">
        <v>1.3599999999999999E-2</v>
      </c>
      <c r="E14" s="1003">
        <v>1.01E-2</v>
      </c>
      <c r="F14" s="1271">
        <f>D14+E14</f>
        <v>2.3699999999999999E-2</v>
      </c>
      <c r="G14" s="297">
        <f t="shared" si="1"/>
        <v>4</v>
      </c>
      <c r="H14" s="4"/>
      <c r="I14" s="277"/>
    </row>
    <row r="15" spans="1:10" x14ac:dyDescent="0.25">
      <c r="A15" s="432">
        <f t="shared" si="0"/>
        <v>5</v>
      </c>
      <c r="B15" s="302" t="s">
        <v>687</v>
      </c>
      <c r="C15" s="955" t="s">
        <v>658</v>
      </c>
      <c r="D15" s="1003">
        <v>1.2500000000000001E-2</v>
      </c>
      <c r="E15" s="1003">
        <v>9.2999999999999992E-3</v>
      </c>
      <c r="F15" s="1271">
        <f t="shared" ref="F15:F16" si="2">D15+E15</f>
        <v>2.18E-2</v>
      </c>
      <c r="G15" s="297">
        <f t="shared" si="1"/>
        <v>5</v>
      </c>
      <c r="H15" s="4"/>
    </row>
    <row r="16" spans="1:10" x14ac:dyDescent="0.25">
      <c r="A16" s="432">
        <f t="shared" si="0"/>
        <v>6</v>
      </c>
      <c r="B16" s="302" t="s">
        <v>688</v>
      </c>
      <c r="C16" s="955" t="s">
        <v>689</v>
      </c>
      <c r="D16" s="1003">
        <v>1.38E-2</v>
      </c>
      <c r="E16" s="1003">
        <v>1.03E-2</v>
      </c>
      <c r="F16" s="1271">
        <f t="shared" si="2"/>
        <v>2.41E-2</v>
      </c>
      <c r="G16" s="297">
        <f t="shared" si="1"/>
        <v>6</v>
      </c>
      <c r="H16" s="4"/>
    </row>
    <row r="17" spans="1:8" x14ac:dyDescent="0.25">
      <c r="A17" s="432">
        <f t="shared" si="0"/>
        <v>7</v>
      </c>
      <c r="B17" s="434" t="s">
        <v>690</v>
      </c>
      <c r="C17" s="1004" t="s">
        <v>691</v>
      </c>
      <c r="D17" s="1272">
        <v>1.3552485311967791E-2</v>
      </c>
      <c r="E17" s="1272">
        <v>1.0073494391294673E-2</v>
      </c>
      <c r="F17" s="1273">
        <f>D17+E17</f>
        <v>2.3625979703262464E-2</v>
      </c>
      <c r="G17" s="297">
        <f t="shared" ref="G17:G19" si="3">G16+1</f>
        <v>7</v>
      </c>
      <c r="H17" s="4"/>
    </row>
    <row r="18" spans="1:8" x14ac:dyDescent="0.25">
      <c r="A18" s="432">
        <f t="shared" si="0"/>
        <v>8</v>
      </c>
      <c r="B18" s="302" t="s">
        <v>692</v>
      </c>
      <c r="C18" s="955" t="s">
        <v>283</v>
      </c>
      <c r="D18" s="1003">
        <v>2.06E-2</v>
      </c>
      <c r="E18" s="1003">
        <v>1.43E-2</v>
      </c>
      <c r="F18" s="1271">
        <f t="shared" ref="F18:F21" si="4">D18+E18</f>
        <v>3.49E-2</v>
      </c>
      <c r="G18" s="297">
        <f t="shared" si="3"/>
        <v>8</v>
      </c>
      <c r="H18" s="4"/>
    </row>
    <row r="19" spans="1:8" x14ac:dyDescent="0.25">
      <c r="A19" s="432">
        <f t="shared" si="0"/>
        <v>9</v>
      </c>
      <c r="B19" s="302" t="s">
        <v>693</v>
      </c>
      <c r="C19" s="955" t="s">
        <v>658</v>
      </c>
      <c r="D19" s="1003">
        <v>2.0500000000000001E-2</v>
      </c>
      <c r="E19" s="1003">
        <v>1.44E-2</v>
      </c>
      <c r="F19" s="1271">
        <f t="shared" si="4"/>
        <v>3.49E-2</v>
      </c>
      <c r="G19" s="297">
        <f t="shared" si="3"/>
        <v>9</v>
      </c>
      <c r="H19" s="4"/>
    </row>
    <row r="20" spans="1:8" x14ac:dyDescent="0.25">
      <c r="A20" s="432">
        <f t="shared" si="0"/>
        <v>10</v>
      </c>
      <c r="B20" s="302" t="s">
        <v>694</v>
      </c>
      <c r="C20" s="955" t="s">
        <v>695</v>
      </c>
      <c r="D20" s="1003">
        <v>2.1399999999999999E-2</v>
      </c>
      <c r="E20" s="1003">
        <v>1.4999999999999999E-2</v>
      </c>
      <c r="F20" s="1271">
        <f t="shared" si="4"/>
        <v>3.6400000000000002E-2</v>
      </c>
      <c r="G20" s="297">
        <f t="shared" ref="G20:G49" si="5">G19+1</f>
        <v>10</v>
      </c>
      <c r="H20" s="4"/>
    </row>
    <row r="21" spans="1:8" x14ac:dyDescent="0.25">
      <c r="A21" s="432">
        <f t="shared" si="0"/>
        <v>11</v>
      </c>
      <c r="B21" s="302" t="s">
        <v>696</v>
      </c>
      <c r="C21" s="955" t="s">
        <v>689</v>
      </c>
      <c r="D21" s="1003">
        <v>2.0500000000000001E-2</v>
      </c>
      <c r="E21" s="1003">
        <v>1.43E-2</v>
      </c>
      <c r="F21" s="1271">
        <f t="shared" si="4"/>
        <v>3.4799999999999998E-2</v>
      </c>
      <c r="G21" s="297">
        <f t="shared" si="5"/>
        <v>11</v>
      </c>
      <c r="H21" s="4"/>
    </row>
    <row r="22" spans="1:8" x14ac:dyDescent="0.25">
      <c r="A22" s="432">
        <f t="shared" si="0"/>
        <v>12</v>
      </c>
      <c r="B22" s="434" t="s">
        <v>697</v>
      </c>
      <c r="C22" s="1004" t="s">
        <v>698</v>
      </c>
      <c r="D22" s="1272">
        <v>2.0578520879044104E-2</v>
      </c>
      <c r="E22" s="1272">
        <v>1.4315165413159553E-2</v>
      </c>
      <c r="F22" s="1273">
        <f>D22+E22</f>
        <v>3.4893686292203657E-2</v>
      </c>
      <c r="G22" s="297">
        <f t="shared" si="5"/>
        <v>12</v>
      </c>
      <c r="H22" s="4"/>
    </row>
    <row r="23" spans="1:8" x14ac:dyDescent="0.25">
      <c r="A23" s="432">
        <f t="shared" si="0"/>
        <v>13</v>
      </c>
      <c r="B23" s="302" t="s">
        <v>699</v>
      </c>
      <c r="C23" s="955" t="s">
        <v>283</v>
      </c>
      <c r="D23" s="1003">
        <v>1.35E-2</v>
      </c>
      <c r="E23" s="1003">
        <v>1.01E-2</v>
      </c>
      <c r="F23" s="1271">
        <f t="shared" ref="F23:F25" si="6">D23+E23</f>
        <v>2.3599999999999999E-2</v>
      </c>
      <c r="G23" s="297">
        <f t="shared" si="5"/>
        <v>13</v>
      </c>
      <c r="H23" s="4"/>
    </row>
    <row r="24" spans="1:8" x14ac:dyDescent="0.25">
      <c r="A24" s="432">
        <f t="shared" si="0"/>
        <v>14</v>
      </c>
      <c r="B24" s="302" t="s">
        <v>700</v>
      </c>
      <c r="C24" s="955" t="s">
        <v>658</v>
      </c>
      <c r="D24" s="1003">
        <v>1.1599999999999999E-2</v>
      </c>
      <c r="E24" s="1003">
        <v>8.6E-3</v>
      </c>
      <c r="F24" s="1271">
        <f t="shared" si="6"/>
        <v>2.0199999999999999E-2</v>
      </c>
      <c r="G24" s="297">
        <f t="shared" si="5"/>
        <v>14</v>
      </c>
      <c r="H24" s="4"/>
    </row>
    <row r="25" spans="1:8" x14ac:dyDescent="0.25">
      <c r="A25" s="432">
        <f t="shared" si="0"/>
        <v>15</v>
      </c>
      <c r="B25" s="302" t="s">
        <v>701</v>
      </c>
      <c r="C25" s="955" t="s">
        <v>689</v>
      </c>
      <c r="D25" s="1003">
        <v>1.47E-2</v>
      </c>
      <c r="E25" s="1003">
        <v>1.0999999999999999E-2</v>
      </c>
      <c r="F25" s="1271">
        <f t="shared" si="6"/>
        <v>2.5700000000000001E-2</v>
      </c>
      <c r="G25" s="297">
        <f t="shared" si="5"/>
        <v>15</v>
      </c>
      <c r="H25" s="4"/>
    </row>
    <row r="26" spans="1:8" x14ac:dyDescent="0.25">
      <c r="A26" s="432">
        <f t="shared" si="0"/>
        <v>16</v>
      </c>
      <c r="B26" s="434" t="s">
        <v>702</v>
      </c>
      <c r="C26" s="1004" t="s">
        <v>703</v>
      </c>
      <c r="D26" s="1272">
        <v>1.4361348036829161E-2</v>
      </c>
      <c r="E26" s="1272">
        <v>1.0741003401870097E-2</v>
      </c>
      <c r="F26" s="1273">
        <f>D26+E26</f>
        <v>2.5102351438699259E-2</v>
      </c>
      <c r="G26" s="297">
        <f t="shared" si="5"/>
        <v>16</v>
      </c>
      <c r="H26" s="4"/>
    </row>
    <row r="27" spans="1:8" x14ac:dyDescent="0.25">
      <c r="A27" s="432">
        <f t="shared" si="0"/>
        <v>17</v>
      </c>
      <c r="B27" s="302" t="s">
        <v>704</v>
      </c>
      <c r="C27" s="955" t="s">
        <v>283</v>
      </c>
      <c r="D27" s="1003">
        <v>2.29E-2</v>
      </c>
      <c r="E27" s="1003">
        <v>2.2800000000000001E-2</v>
      </c>
      <c r="F27" s="1271">
        <f t="shared" ref="F27:F29" si="7">D27+E27</f>
        <v>4.5700000000000005E-2</v>
      </c>
      <c r="G27" s="297">
        <f t="shared" si="5"/>
        <v>17</v>
      </c>
      <c r="H27" s="4"/>
    </row>
    <row r="28" spans="1:8" x14ac:dyDescent="0.25">
      <c r="A28" s="432">
        <f t="shared" si="0"/>
        <v>18</v>
      </c>
      <c r="B28" s="302" t="s">
        <v>705</v>
      </c>
      <c r="C28" s="955" t="s">
        <v>658</v>
      </c>
      <c r="D28" s="1003">
        <v>1.7000000000000001E-2</v>
      </c>
      <c r="E28" s="1003">
        <v>1.7000000000000001E-2</v>
      </c>
      <c r="F28" s="1271">
        <f t="shared" si="7"/>
        <v>3.4000000000000002E-2</v>
      </c>
      <c r="G28" s="297">
        <f t="shared" si="5"/>
        <v>18</v>
      </c>
      <c r="H28" s="4"/>
    </row>
    <row r="29" spans="1:8" x14ac:dyDescent="0.25">
      <c r="A29" s="432">
        <f t="shared" si="0"/>
        <v>19</v>
      </c>
      <c r="B29" s="302" t="s">
        <v>706</v>
      </c>
      <c r="C29" s="955" t="s">
        <v>689</v>
      </c>
      <c r="D29" s="1003">
        <v>2.2599999999999999E-2</v>
      </c>
      <c r="E29" s="1003">
        <v>2.2499999999999999E-2</v>
      </c>
      <c r="F29" s="1271">
        <f t="shared" si="7"/>
        <v>4.5100000000000001E-2</v>
      </c>
      <c r="G29" s="297">
        <f t="shared" si="5"/>
        <v>19</v>
      </c>
      <c r="H29" s="4"/>
    </row>
    <row r="30" spans="1:8" x14ac:dyDescent="0.25">
      <c r="A30" s="432">
        <f t="shared" si="0"/>
        <v>20</v>
      </c>
      <c r="B30" s="434" t="s">
        <v>707</v>
      </c>
      <c r="C30" s="1004" t="s">
        <v>708</v>
      </c>
      <c r="D30" s="1272">
        <v>2.2846812773545631E-2</v>
      </c>
      <c r="E30" s="1272">
        <v>2.2747699553363938E-2</v>
      </c>
      <c r="F30" s="1273">
        <f>D30+E30</f>
        <v>4.5594512326909573E-2</v>
      </c>
      <c r="G30" s="297">
        <f t="shared" si="5"/>
        <v>20</v>
      </c>
      <c r="H30" s="4"/>
    </row>
    <row r="31" spans="1:8" x14ac:dyDescent="0.25">
      <c r="A31" s="432">
        <f t="shared" si="0"/>
        <v>21</v>
      </c>
      <c r="B31" s="302" t="s">
        <v>709</v>
      </c>
      <c r="C31" s="955" t="s">
        <v>283</v>
      </c>
      <c r="D31" s="1003">
        <v>1.52E-2</v>
      </c>
      <c r="E31" s="1003">
        <v>1.5100000000000001E-2</v>
      </c>
      <c r="F31" s="1271">
        <f t="shared" ref="F31:F33" si="8">D31+E31</f>
        <v>3.0300000000000001E-2</v>
      </c>
      <c r="G31" s="297">
        <f t="shared" si="5"/>
        <v>21</v>
      </c>
      <c r="H31" s="4"/>
    </row>
    <row r="32" spans="1:8" x14ac:dyDescent="0.25">
      <c r="A32" s="432">
        <f t="shared" si="0"/>
        <v>22</v>
      </c>
      <c r="B32" s="302" t="s">
        <v>710</v>
      </c>
      <c r="C32" s="955" t="s">
        <v>658</v>
      </c>
      <c r="D32" s="1003">
        <v>7.1000000000000004E-3</v>
      </c>
      <c r="E32" s="1003">
        <v>7.1000000000000004E-3</v>
      </c>
      <c r="F32" s="1271">
        <f t="shared" si="8"/>
        <v>1.4200000000000001E-2</v>
      </c>
      <c r="G32" s="297">
        <f t="shared" si="5"/>
        <v>22</v>
      </c>
      <c r="H32" s="4"/>
    </row>
    <row r="33" spans="1:9" x14ac:dyDescent="0.25">
      <c r="A33" s="432">
        <f t="shared" si="0"/>
        <v>23</v>
      </c>
      <c r="B33" s="302" t="s">
        <v>711</v>
      </c>
      <c r="C33" s="955" t="s">
        <v>689</v>
      </c>
      <c r="D33" s="1003">
        <v>1.61E-2</v>
      </c>
      <c r="E33" s="1003">
        <v>1.61E-2</v>
      </c>
      <c r="F33" s="1271">
        <f t="shared" si="8"/>
        <v>3.2199999999999999E-2</v>
      </c>
      <c r="G33" s="297">
        <f t="shared" si="5"/>
        <v>23</v>
      </c>
      <c r="H33" s="4"/>
    </row>
    <row r="34" spans="1:9" x14ac:dyDescent="0.25">
      <c r="A34" s="432">
        <f t="shared" si="0"/>
        <v>24</v>
      </c>
      <c r="B34" s="434" t="s">
        <v>712</v>
      </c>
      <c r="C34" s="1004" t="s">
        <v>713</v>
      </c>
      <c r="D34" s="1272">
        <v>1.4971440251162434E-2</v>
      </c>
      <c r="E34" s="1272">
        <v>1.4894099271865517E-2</v>
      </c>
      <c r="F34" s="1273">
        <f>D34+E34</f>
        <v>2.9865539523027951E-2</v>
      </c>
      <c r="G34" s="297">
        <f t="shared" si="5"/>
        <v>24</v>
      </c>
      <c r="H34" s="4"/>
    </row>
    <row r="35" spans="1:9" x14ac:dyDescent="0.25">
      <c r="A35" s="432">
        <f t="shared" si="0"/>
        <v>25</v>
      </c>
      <c r="B35" s="302" t="s">
        <v>714</v>
      </c>
      <c r="C35" s="955" t="s">
        <v>715</v>
      </c>
      <c r="D35" s="1003">
        <v>1.6500000000000001E-2</v>
      </c>
      <c r="E35" s="1003">
        <v>4.8999999999999998E-3</v>
      </c>
      <c r="F35" s="1271">
        <f t="shared" ref="F35:F36" si="9">D35+E35</f>
        <v>2.1400000000000002E-2</v>
      </c>
      <c r="G35" s="297">
        <f t="shared" si="5"/>
        <v>25</v>
      </c>
      <c r="H35" s="4"/>
    </row>
    <row r="36" spans="1:9" x14ac:dyDescent="0.25">
      <c r="A36" s="432">
        <f t="shared" si="0"/>
        <v>26</v>
      </c>
      <c r="B36" s="302" t="s">
        <v>716</v>
      </c>
      <c r="C36" s="955" t="s">
        <v>717</v>
      </c>
      <c r="D36" s="1003">
        <v>1.6899999999999998E-2</v>
      </c>
      <c r="E36" s="1003">
        <v>5.1000000000000004E-3</v>
      </c>
      <c r="F36" s="1271">
        <f t="shared" si="9"/>
        <v>2.1999999999999999E-2</v>
      </c>
      <c r="G36" s="297">
        <f t="shared" si="5"/>
        <v>26</v>
      </c>
      <c r="H36" s="4"/>
    </row>
    <row r="37" spans="1:9" x14ac:dyDescent="0.25">
      <c r="A37" s="432">
        <f t="shared" si="0"/>
        <v>27</v>
      </c>
      <c r="B37" s="434" t="s">
        <v>718</v>
      </c>
      <c r="C37" s="1004" t="s">
        <v>719</v>
      </c>
      <c r="D37" s="1272">
        <v>1.6549713819957807E-2</v>
      </c>
      <c r="E37" s="1272">
        <v>4.9248569885933903E-3</v>
      </c>
      <c r="F37" s="1273">
        <f>D37+E37</f>
        <v>2.1474570808551197E-2</v>
      </c>
      <c r="G37" s="297">
        <f t="shared" si="5"/>
        <v>27</v>
      </c>
      <c r="H37" s="4"/>
    </row>
    <row r="38" spans="1:9" x14ac:dyDescent="0.25">
      <c r="A38" s="432">
        <f t="shared" si="0"/>
        <v>28</v>
      </c>
      <c r="B38" s="302" t="s">
        <v>720</v>
      </c>
      <c r="C38" s="955" t="s">
        <v>715</v>
      </c>
      <c r="D38" s="1003">
        <v>1.9400000000000001E-2</v>
      </c>
      <c r="E38" s="1003">
        <v>1.9E-3</v>
      </c>
      <c r="F38" s="1271">
        <f t="shared" ref="F38:F39" si="10">D38+E38</f>
        <v>2.1299999999999999E-2</v>
      </c>
      <c r="G38" s="297">
        <f t="shared" si="5"/>
        <v>28</v>
      </c>
      <c r="H38" s="4"/>
    </row>
    <row r="39" spans="1:9" x14ac:dyDescent="0.25">
      <c r="A39" s="432">
        <f t="shared" si="0"/>
        <v>29</v>
      </c>
      <c r="B39" s="302" t="s">
        <v>721</v>
      </c>
      <c r="C39" s="955" t="s">
        <v>717</v>
      </c>
      <c r="D39" s="1003">
        <v>1.9900000000000001E-2</v>
      </c>
      <c r="E39" s="1003">
        <v>2E-3</v>
      </c>
      <c r="F39" s="1271">
        <f t="shared" si="10"/>
        <v>2.1900000000000003E-2</v>
      </c>
      <c r="G39" s="297">
        <f t="shared" si="5"/>
        <v>29</v>
      </c>
      <c r="H39" s="4"/>
    </row>
    <row r="40" spans="1:9" x14ac:dyDescent="0.25">
      <c r="A40" s="432">
        <f t="shared" si="0"/>
        <v>30</v>
      </c>
      <c r="B40" s="434" t="s">
        <v>722</v>
      </c>
      <c r="C40" s="1004" t="s">
        <v>723</v>
      </c>
      <c r="D40" s="1272">
        <v>1.9501876820255094E-2</v>
      </c>
      <c r="E40" s="1272">
        <v>1.9203753250095056E-3</v>
      </c>
      <c r="F40" s="1273">
        <f>D40+E40</f>
        <v>2.1422252145264602E-2</v>
      </c>
      <c r="G40" s="297">
        <f t="shared" si="5"/>
        <v>30</v>
      </c>
      <c r="H40" s="4"/>
    </row>
    <row r="41" spans="1:9" x14ac:dyDescent="0.25">
      <c r="A41" s="432">
        <f t="shared" si="0"/>
        <v>31</v>
      </c>
      <c r="B41" s="302" t="s">
        <v>724</v>
      </c>
      <c r="C41" s="955" t="s">
        <v>283</v>
      </c>
      <c r="D41" s="1003">
        <v>1.6899999999999998E-2</v>
      </c>
      <c r="E41" s="1003">
        <v>0</v>
      </c>
      <c r="F41" s="1271">
        <f t="shared" ref="F41:F43" si="11">D41+E41</f>
        <v>1.6899999999999998E-2</v>
      </c>
      <c r="G41" s="297">
        <f t="shared" si="5"/>
        <v>31</v>
      </c>
      <c r="H41" s="4"/>
    </row>
    <row r="42" spans="1:9" x14ac:dyDescent="0.25">
      <c r="A42" s="432">
        <f t="shared" si="0"/>
        <v>32</v>
      </c>
      <c r="B42" s="302" t="s">
        <v>725</v>
      </c>
      <c r="C42" s="955" t="s">
        <v>658</v>
      </c>
      <c r="D42" s="1003">
        <v>1.5100000000000001E-2</v>
      </c>
      <c r="E42" s="1003">
        <v>0</v>
      </c>
      <c r="F42" s="1271">
        <f t="shared" si="11"/>
        <v>1.5100000000000001E-2</v>
      </c>
      <c r="G42" s="297">
        <f t="shared" si="5"/>
        <v>32</v>
      </c>
      <c r="H42" s="4"/>
    </row>
    <row r="43" spans="1:9" x14ac:dyDescent="0.25">
      <c r="A43" s="432">
        <f t="shared" si="0"/>
        <v>33</v>
      </c>
      <c r="B43" s="302" t="s">
        <v>726</v>
      </c>
      <c r="C43" s="955" t="s">
        <v>689</v>
      </c>
      <c r="D43" s="1003">
        <v>1.66E-2</v>
      </c>
      <c r="E43" s="1003">
        <v>0</v>
      </c>
      <c r="F43" s="1271">
        <f t="shared" si="11"/>
        <v>1.66E-2</v>
      </c>
      <c r="G43" s="297">
        <f t="shared" si="5"/>
        <v>33</v>
      </c>
      <c r="H43" s="4"/>
    </row>
    <row r="44" spans="1:9" x14ac:dyDescent="0.25">
      <c r="A44" s="432">
        <f t="shared" si="0"/>
        <v>34</v>
      </c>
      <c r="B44" s="434" t="s">
        <v>727</v>
      </c>
      <c r="C44" s="1004" t="s">
        <v>326</v>
      </c>
      <c r="D44" s="1272">
        <v>1.6684740774423272E-2</v>
      </c>
      <c r="E44" s="1272">
        <v>0</v>
      </c>
      <c r="F44" s="1273">
        <f>D44+E44</f>
        <v>1.6684740774423272E-2</v>
      </c>
      <c r="G44" s="297">
        <f t="shared" si="5"/>
        <v>34</v>
      </c>
      <c r="H44" s="4"/>
    </row>
    <row r="45" spans="1:9" x14ac:dyDescent="0.25">
      <c r="A45" s="432">
        <f t="shared" si="0"/>
        <v>35</v>
      </c>
      <c r="B45" s="1005"/>
      <c r="C45" s="435"/>
      <c r="D45" s="1003"/>
      <c r="E45" s="1003"/>
      <c r="F45" s="1006"/>
      <c r="G45" s="297">
        <f t="shared" si="5"/>
        <v>35</v>
      </c>
      <c r="H45" s="4"/>
    </row>
    <row r="46" spans="1:9" x14ac:dyDescent="0.25">
      <c r="A46" s="432">
        <f t="shared" si="0"/>
        <v>36</v>
      </c>
      <c r="B46" s="1312" t="s">
        <v>148</v>
      </c>
      <c r="C46" s="1313"/>
      <c r="D46" s="1272">
        <v>1.8127791052453542E-2</v>
      </c>
      <c r="E46" s="1272">
        <v>1.2308637420735864E-2</v>
      </c>
      <c r="F46" s="1273">
        <f>D46+E46</f>
        <v>3.0436428473189406E-2</v>
      </c>
      <c r="G46" s="297">
        <f t="shared" si="5"/>
        <v>36</v>
      </c>
      <c r="H46" s="4"/>
      <c r="I46" s="277"/>
    </row>
    <row r="47" spans="1:9" x14ac:dyDescent="0.25">
      <c r="A47" s="432">
        <f t="shared" si="0"/>
        <v>37</v>
      </c>
      <c r="B47" s="1005"/>
      <c r="C47" s="435"/>
      <c r="D47" s="1003"/>
      <c r="E47" s="1003"/>
      <c r="F47" s="1006"/>
      <c r="G47" s="297">
        <f t="shared" si="5"/>
        <v>37</v>
      </c>
    </row>
    <row r="48" spans="1:9" x14ac:dyDescent="0.25">
      <c r="A48" s="432">
        <f t="shared" si="0"/>
        <v>38</v>
      </c>
      <c r="B48" s="1312" t="s">
        <v>2007</v>
      </c>
      <c r="C48" s="1313"/>
      <c r="D48" s="1003"/>
      <c r="E48" s="1003"/>
      <c r="F48" s="1274">
        <v>2.877E-2</v>
      </c>
      <c r="G48" s="297">
        <f t="shared" si="5"/>
        <v>38</v>
      </c>
    </row>
    <row r="49" spans="1:10" x14ac:dyDescent="0.25">
      <c r="A49" s="432">
        <f t="shared" si="0"/>
        <v>39</v>
      </c>
      <c r="B49" s="1005"/>
      <c r="C49" s="435"/>
      <c r="D49" s="1003"/>
      <c r="E49" s="1003"/>
      <c r="F49" s="1006"/>
      <c r="G49" s="297">
        <f t="shared" si="5"/>
        <v>39</v>
      </c>
    </row>
    <row r="53" spans="1:10" ht="18.75" x14ac:dyDescent="0.25">
      <c r="A53" s="266"/>
      <c r="B53" s="31" t="s">
        <v>1565</v>
      </c>
      <c r="J53" s="255"/>
    </row>
    <row r="54" spans="1:10" x14ac:dyDescent="0.25">
      <c r="B54" s="31" t="s">
        <v>728</v>
      </c>
      <c r="D54" s="50"/>
      <c r="E54" s="50"/>
      <c r="J54" s="255"/>
    </row>
    <row r="55" spans="1:10" x14ac:dyDescent="0.25">
      <c r="B55" s="31" t="s">
        <v>2058</v>
      </c>
      <c r="D55" s="50"/>
      <c r="E55" s="436"/>
    </row>
    <row r="57" spans="1:10" x14ac:dyDescent="0.25">
      <c r="B57" s="1281" t="s">
        <v>2008</v>
      </c>
    </row>
    <row r="58" spans="1:10" x14ac:dyDescent="0.25">
      <c r="B58" s="31" t="s">
        <v>2009</v>
      </c>
    </row>
    <row r="59" spans="1:10" x14ac:dyDescent="0.25">
      <c r="B59" s="31" t="s">
        <v>2010</v>
      </c>
    </row>
  </sheetData>
  <mergeCells count="7">
    <mergeCell ref="B48:C48"/>
    <mergeCell ref="B46:C46"/>
    <mergeCell ref="B2:F2"/>
    <mergeCell ref="B3:F3"/>
    <mergeCell ref="B4:F4"/>
    <mergeCell ref="B5:F5"/>
    <mergeCell ref="B6:F6"/>
  </mergeCells>
  <printOptions horizontalCentered="1"/>
  <pageMargins left="0.5" right="0.5" top="0.5" bottom="0.5" header="0.25" footer="0.25"/>
  <pageSetup scale="79"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94" t="s">
        <v>0</v>
      </c>
      <c r="C2" s="1294"/>
      <c r="D2" s="1294"/>
      <c r="E2" s="1294"/>
      <c r="F2" s="1294"/>
    </row>
    <row r="3" spans="1:9" x14ac:dyDescent="0.25">
      <c r="B3" s="1294" t="s">
        <v>250</v>
      </c>
      <c r="C3" s="1294"/>
      <c r="D3" s="1294"/>
      <c r="E3" s="1294"/>
      <c r="F3" s="1294"/>
    </row>
    <row r="4" spans="1:9" x14ac:dyDescent="0.25">
      <c r="B4" s="1294" t="s">
        <v>251</v>
      </c>
      <c r="C4" s="1294"/>
      <c r="D4" s="1294"/>
      <c r="E4" s="1294"/>
      <c r="F4" s="1294"/>
    </row>
    <row r="5" spans="1:9" x14ac:dyDescent="0.25">
      <c r="B5" s="1294" t="s">
        <v>1465</v>
      </c>
      <c r="C5" s="1294"/>
      <c r="D5" s="1294"/>
      <c r="E5" s="1294"/>
      <c r="F5" s="1294"/>
    </row>
    <row r="6" spans="1:9" x14ac:dyDescent="0.25">
      <c r="B6" s="1299" t="s">
        <v>4</v>
      </c>
      <c r="C6" s="1299"/>
      <c r="D6" s="1299"/>
      <c r="E6" s="1299"/>
      <c r="F6" s="1299"/>
    </row>
    <row r="7" spans="1:9" x14ac:dyDescent="0.25">
      <c r="B7" s="267"/>
      <c r="C7" s="268"/>
      <c r="D7" s="267"/>
      <c r="E7" s="267"/>
      <c r="F7" s="267"/>
    </row>
    <row r="8" spans="1:9" x14ac:dyDescent="0.25">
      <c r="B8" s="1294" t="s">
        <v>252</v>
      </c>
      <c r="C8" s="1294"/>
      <c r="D8" s="1294"/>
      <c r="E8" s="1294"/>
      <c r="F8" s="1294"/>
    </row>
    <row r="10" spans="1:9" x14ac:dyDescent="0.25">
      <c r="B10" s="927"/>
      <c r="C10" s="269" t="s">
        <v>177</v>
      </c>
      <c r="D10" s="928"/>
      <c r="E10" s="269"/>
      <c r="F10" s="928"/>
    </row>
    <row r="11" spans="1:9" x14ac:dyDescent="0.25">
      <c r="B11" s="270"/>
      <c r="C11" s="218" t="s">
        <v>253</v>
      </c>
      <c r="D11" s="270"/>
      <c r="E11" s="271" t="s">
        <v>253</v>
      </c>
      <c r="F11" s="929"/>
    </row>
    <row r="12" spans="1:9" x14ac:dyDescent="0.25">
      <c r="A12" s="4" t="s">
        <v>5</v>
      </c>
      <c r="B12" s="273"/>
      <c r="C12" s="218" t="s">
        <v>254</v>
      </c>
      <c r="D12" s="270"/>
      <c r="E12" s="274" t="s">
        <v>254</v>
      </c>
      <c r="F12" s="929"/>
      <c r="G12" s="4" t="s">
        <v>5</v>
      </c>
    </row>
    <row r="13" spans="1:9" ht="18.75" x14ac:dyDescent="0.25">
      <c r="A13" s="4" t="s">
        <v>6</v>
      </c>
      <c r="B13" s="275" t="s">
        <v>255</v>
      </c>
      <c r="C13" s="930" t="s">
        <v>256</v>
      </c>
      <c r="D13" s="275" t="s">
        <v>8</v>
      </c>
      <c r="E13" s="276" t="s">
        <v>257</v>
      </c>
      <c r="F13" s="275" t="s">
        <v>8</v>
      </c>
      <c r="G13" s="4" t="s">
        <v>6</v>
      </c>
    </row>
    <row r="14" spans="1:9" x14ac:dyDescent="0.25">
      <c r="A14" s="4">
        <v>1</v>
      </c>
      <c r="B14" s="931" t="s">
        <v>1561</v>
      </c>
      <c r="C14" s="58">
        <v>562408.9543199999</v>
      </c>
      <c r="D14" s="932" t="s">
        <v>258</v>
      </c>
      <c r="E14" s="64">
        <v>578073.48988999985</v>
      </c>
      <c r="F14" s="932" t="s">
        <v>259</v>
      </c>
      <c r="G14" s="4">
        <f>A14</f>
        <v>1</v>
      </c>
      <c r="H14" s="277"/>
      <c r="I14" s="277"/>
    </row>
    <row r="15" spans="1:9" x14ac:dyDescent="0.25">
      <c r="A15" s="4">
        <f>A14+1</f>
        <v>2</v>
      </c>
      <c r="B15" s="931" t="s">
        <v>1466</v>
      </c>
      <c r="C15" s="52">
        <v>563623.27221999993</v>
      </c>
      <c r="D15" s="933"/>
      <c r="E15" s="65">
        <v>579287.80778999988</v>
      </c>
      <c r="F15" s="933"/>
      <c r="G15" s="4">
        <f>G14+1</f>
        <v>2</v>
      </c>
    </row>
    <row r="16" spans="1:9" x14ac:dyDescent="0.25">
      <c r="A16" s="4">
        <f t="shared" ref="A16:A32" si="0">A15+1</f>
        <v>3</v>
      </c>
      <c r="B16" s="934" t="s">
        <v>260</v>
      </c>
      <c r="C16" s="52">
        <v>563661.93705999991</v>
      </c>
      <c r="D16" s="933"/>
      <c r="E16" s="65">
        <v>579326.47262999986</v>
      </c>
      <c r="F16" s="933"/>
      <c r="G16" s="4">
        <f t="shared" ref="G16:G32" si="1">G15+1</f>
        <v>3</v>
      </c>
    </row>
    <row r="17" spans="1:9" x14ac:dyDescent="0.25">
      <c r="A17" s="4">
        <f t="shared" si="0"/>
        <v>4</v>
      </c>
      <c r="B17" s="934" t="s">
        <v>261</v>
      </c>
      <c r="C17" s="52">
        <v>563869.55168999999</v>
      </c>
      <c r="D17" s="933"/>
      <c r="E17" s="65">
        <v>579534.08725999994</v>
      </c>
      <c r="F17" s="933"/>
      <c r="G17" s="4">
        <f t="shared" si="1"/>
        <v>4</v>
      </c>
    </row>
    <row r="18" spans="1:9" x14ac:dyDescent="0.25">
      <c r="A18" s="4">
        <f t="shared" si="0"/>
        <v>5</v>
      </c>
      <c r="B18" s="934" t="s">
        <v>262</v>
      </c>
      <c r="C18" s="52">
        <v>564037.79978000012</v>
      </c>
      <c r="D18" s="933"/>
      <c r="E18" s="65">
        <v>579702.33535000007</v>
      </c>
      <c r="F18" s="933"/>
      <c r="G18" s="4">
        <f t="shared" si="1"/>
        <v>5</v>
      </c>
    </row>
    <row r="19" spans="1:9" x14ac:dyDescent="0.25">
      <c r="A19" s="4">
        <f t="shared" si="0"/>
        <v>6</v>
      </c>
      <c r="B19" s="934" t="s">
        <v>263</v>
      </c>
      <c r="C19" s="52">
        <v>564812.14225999976</v>
      </c>
      <c r="D19" s="933"/>
      <c r="E19" s="65">
        <v>580476.67782999971</v>
      </c>
      <c r="F19" s="933"/>
      <c r="G19" s="4">
        <f t="shared" si="1"/>
        <v>6</v>
      </c>
    </row>
    <row r="20" spans="1:9" x14ac:dyDescent="0.25">
      <c r="A20" s="4">
        <f>A19+1</f>
        <v>7</v>
      </c>
      <c r="B20" s="934" t="s">
        <v>264</v>
      </c>
      <c r="C20" s="52">
        <v>565723.80906</v>
      </c>
      <c r="D20" s="933"/>
      <c r="E20" s="65">
        <v>581388.34462999995</v>
      </c>
      <c r="F20" s="933"/>
      <c r="G20" s="4">
        <f>G19+1</f>
        <v>7</v>
      </c>
    </row>
    <row r="21" spans="1:9" x14ac:dyDescent="0.25">
      <c r="A21" s="4">
        <f t="shared" si="0"/>
        <v>8</v>
      </c>
      <c r="B21" s="934" t="s">
        <v>265</v>
      </c>
      <c r="C21" s="52">
        <v>567537.37085999991</v>
      </c>
      <c r="D21" s="933"/>
      <c r="E21" s="65">
        <v>583201.90642999986</v>
      </c>
      <c r="F21" s="933"/>
      <c r="G21" s="4">
        <f t="shared" si="1"/>
        <v>8</v>
      </c>
    </row>
    <row r="22" spans="1:9" x14ac:dyDescent="0.25">
      <c r="A22" s="4">
        <f t="shared" si="0"/>
        <v>9</v>
      </c>
      <c r="B22" s="934" t="s">
        <v>266</v>
      </c>
      <c r="C22" s="52">
        <v>574330.00165999983</v>
      </c>
      <c r="D22" s="933"/>
      <c r="E22" s="65">
        <v>589994.53722999978</v>
      </c>
      <c r="F22" s="933"/>
      <c r="G22" s="4">
        <f t="shared" si="1"/>
        <v>9</v>
      </c>
    </row>
    <row r="23" spans="1:9" x14ac:dyDescent="0.25">
      <c r="A23" s="4">
        <f t="shared" si="0"/>
        <v>10</v>
      </c>
      <c r="B23" s="934" t="s">
        <v>267</v>
      </c>
      <c r="C23" s="52">
        <v>574116.31579000014</v>
      </c>
      <c r="D23" s="933"/>
      <c r="E23" s="65">
        <v>589780.85136000009</v>
      </c>
      <c r="F23" s="933"/>
      <c r="G23" s="4">
        <f t="shared" si="1"/>
        <v>10</v>
      </c>
    </row>
    <row r="24" spans="1:9" x14ac:dyDescent="0.25">
      <c r="A24" s="4">
        <f t="shared" si="0"/>
        <v>11</v>
      </c>
      <c r="B24" s="934" t="s">
        <v>268</v>
      </c>
      <c r="C24" s="52">
        <v>574610.30617999984</v>
      </c>
      <c r="D24" s="933"/>
      <c r="E24" s="65">
        <v>590274.84174999979</v>
      </c>
      <c r="F24" s="933"/>
      <c r="G24" s="4">
        <f t="shared" si="1"/>
        <v>11</v>
      </c>
    </row>
    <row r="25" spans="1:9" x14ac:dyDescent="0.25">
      <c r="A25" s="4">
        <f t="shared" si="0"/>
        <v>12</v>
      </c>
      <c r="B25" s="934" t="s">
        <v>269</v>
      </c>
      <c r="C25" s="52">
        <v>574750.67025999993</v>
      </c>
      <c r="D25" s="933"/>
      <c r="E25" s="65">
        <v>590415.20582999988</v>
      </c>
      <c r="F25" s="933"/>
      <c r="G25" s="4">
        <f t="shared" si="1"/>
        <v>12</v>
      </c>
    </row>
    <row r="26" spans="1:9" x14ac:dyDescent="0.25">
      <c r="A26" s="4">
        <f t="shared" si="0"/>
        <v>13</v>
      </c>
      <c r="B26" s="630" t="s">
        <v>1467</v>
      </c>
      <c r="C26" s="53">
        <v>575385.30310999975</v>
      </c>
      <c r="D26" s="932" t="s">
        <v>258</v>
      </c>
      <c r="E26" s="53">
        <v>591049.8386799997</v>
      </c>
      <c r="F26" s="932" t="s">
        <v>270</v>
      </c>
      <c r="G26" s="4">
        <f t="shared" si="1"/>
        <v>13</v>
      </c>
      <c r="I26" s="277"/>
    </row>
    <row r="27" spans="1:9" x14ac:dyDescent="0.25">
      <c r="A27" s="4">
        <f t="shared" si="0"/>
        <v>14</v>
      </c>
      <c r="B27" s="278"/>
      <c r="C27" s="54"/>
      <c r="D27" s="927"/>
      <c r="E27" s="57"/>
      <c r="F27" s="927"/>
      <c r="G27" s="4">
        <f t="shared" si="1"/>
        <v>14</v>
      </c>
    </row>
    <row r="28" spans="1:9" x14ac:dyDescent="0.25">
      <c r="A28" s="4">
        <f t="shared" si="0"/>
        <v>15</v>
      </c>
      <c r="B28" s="278" t="s">
        <v>271</v>
      </c>
      <c r="C28" s="55">
        <f>SUM(C14:C26)</f>
        <v>7388867.4342499981</v>
      </c>
      <c r="D28" s="935" t="s">
        <v>272</v>
      </c>
      <c r="E28" s="55">
        <f>SUM(E14:E26)</f>
        <v>7592506.3966599973</v>
      </c>
      <c r="F28" s="935" t="s">
        <v>272</v>
      </c>
      <c r="G28" s="4">
        <f t="shared" si="1"/>
        <v>15</v>
      </c>
    </row>
    <row r="29" spans="1:9" x14ac:dyDescent="0.25">
      <c r="A29" s="4">
        <f t="shared" si="0"/>
        <v>16</v>
      </c>
      <c r="B29" s="117"/>
      <c r="C29" s="56"/>
      <c r="D29" s="117"/>
      <c r="E29" s="56"/>
      <c r="F29" s="117"/>
      <c r="G29" s="4">
        <f t="shared" si="1"/>
        <v>16</v>
      </c>
    </row>
    <row r="30" spans="1:9" x14ac:dyDescent="0.25">
      <c r="A30" s="4">
        <f t="shared" si="0"/>
        <v>17</v>
      </c>
      <c r="B30" s="278"/>
      <c r="C30" s="55"/>
      <c r="D30" s="278"/>
      <c r="E30" s="55"/>
      <c r="F30" s="278"/>
      <c r="G30" s="4">
        <f t="shared" si="1"/>
        <v>17</v>
      </c>
    </row>
    <row r="31" spans="1:9" x14ac:dyDescent="0.25">
      <c r="A31" s="4">
        <f t="shared" si="0"/>
        <v>18</v>
      </c>
      <c r="B31" s="278" t="s">
        <v>273</v>
      </c>
      <c r="C31" s="55">
        <f>C28/13</f>
        <v>568374.41801923059</v>
      </c>
      <c r="D31" s="932" t="s">
        <v>274</v>
      </c>
      <c r="E31" s="55">
        <f>E28/13</f>
        <v>584038.95358923054</v>
      </c>
      <c r="F31" s="932" t="s">
        <v>275</v>
      </c>
      <c r="G31" s="4">
        <f t="shared" si="1"/>
        <v>18</v>
      </c>
      <c r="H31" s="277"/>
      <c r="I31" s="277"/>
    </row>
    <row r="32" spans="1:9" x14ac:dyDescent="0.25">
      <c r="A32" s="4">
        <f t="shared" si="0"/>
        <v>19</v>
      </c>
      <c r="B32" s="117"/>
      <c r="C32" s="279"/>
      <c r="D32" s="117"/>
      <c r="E32" s="279"/>
      <c r="F32" s="117"/>
      <c r="G32" s="4">
        <f t="shared" si="1"/>
        <v>19</v>
      </c>
    </row>
    <row r="33" spans="1:5" x14ac:dyDescent="0.25">
      <c r="A33" s="4"/>
      <c r="C33" s="280"/>
      <c r="E33" s="280"/>
    </row>
    <row r="34" spans="1:5" x14ac:dyDescent="0.25">
      <c r="C34" s="280"/>
      <c r="E34" s="280"/>
    </row>
    <row r="35" spans="1:5" ht="18.75" x14ac:dyDescent="0.25">
      <c r="A35" s="266">
        <v>1</v>
      </c>
      <c r="B35" s="31" t="s">
        <v>276</v>
      </c>
      <c r="C35" s="280"/>
      <c r="E35" s="280"/>
    </row>
    <row r="36" spans="1:5" x14ac:dyDescent="0.25">
      <c r="B36" s="31" t="s">
        <v>277</v>
      </c>
      <c r="C36" s="280"/>
      <c r="E36" s="280"/>
    </row>
    <row r="37" spans="1:5" x14ac:dyDescent="0.25">
      <c r="C37" s="280"/>
      <c r="E37" s="280"/>
    </row>
    <row r="38" spans="1:5" x14ac:dyDescent="0.25">
      <c r="C38" s="280"/>
      <c r="E38" s="280"/>
    </row>
    <row r="39" spans="1:5" x14ac:dyDescent="0.25">
      <c r="C39" s="280"/>
      <c r="E39" s="280"/>
    </row>
    <row r="40" spans="1:5" x14ac:dyDescent="0.25">
      <c r="C40" s="280"/>
      <c r="E40" s="280"/>
    </row>
    <row r="41" spans="1:5" x14ac:dyDescent="0.25">
      <c r="C41" s="280"/>
      <c r="E41" s="280"/>
    </row>
    <row r="42" spans="1:5" x14ac:dyDescent="0.25">
      <c r="C42" s="280"/>
      <c r="E42" s="280"/>
    </row>
    <row r="43" spans="1:5" x14ac:dyDescent="0.25">
      <c r="C43" s="280"/>
      <c r="E43" s="280"/>
    </row>
    <row r="44" spans="1:5" x14ac:dyDescent="0.25">
      <c r="C44" s="280"/>
      <c r="E44" s="280"/>
    </row>
    <row r="45" spans="1:5" x14ac:dyDescent="0.25">
      <c r="C45" s="280"/>
      <c r="E45" s="280"/>
    </row>
    <row r="46" spans="1:5" x14ac:dyDescent="0.25">
      <c r="C46" s="280"/>
      <c r="E46" s="280"/>
    </row>
    <row r="47" spans="1:5" x14ac:dyDescent="0.25">
      <c r="C47" s="280"/>
      <c r="E47" s="280"/>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94" t="s">
        <v>0</v>
      </c>
      <c r="C2" s="1294"/>
      <c r="D2" s="1294"/>
    </row>
    <row r="3" spans="1:5" x14ac:dyDescent="0.25">
      <c r="B3" s="1294" t="s">
        <v>642</v>
      </c>
      <c r="C3" s="1294"/>
      <c r="D3" s="1294"/>
    </row>
    <row r="4" spans="1:5" x14ac:dyDescent="0.25">
      <c r="B4" s="1294" t="s">
        <v>729</v>
      </c>
      <c r="C4" s="1294"/>
      <c r="D4" s="1294"/>
    </row>
    <row r="5" spans="1:5" x14ac:dyDescent="0.25">
      <c r="B5" s="1294" t="str">
        <f>'AD-1'!B5</f>
        <v>BASE PERIOD / TRUE UP PERIOD - 12/31/2023 PER BOOK</v>
      </c>
      <c r="C5" s="1294"/>
      <c r="D5" s="1294"/>
    </row>
    <row r="6" spans="1:5" x14ac:dyDescent="0.25">
      <c r="B6" s="1299" t="s">
        <v>4</v>
      </c>
      <c r="C6" s="1299"/>
      <c r="D6" s="1299"/>
    </row>
    <row r="7" spans="1:5" x14ac:dyDescent="0.25">
      <c r="B7" s="267"/>
      <c r="C7" s="267"/>
      <c r="D7" s="267"/>
    </row>
    <row r="8" spans="1:5" x14ac:dyDescent="0.25">
      <c r="B8" s="1294" t="s">
        <v>333</v>
      </c>
      <c r="C8" s="1294"/>
      <c r="D8" s="1294"/>
    </row>
    <row r="10" spans="1:5" x14ac:dyDescent="0.25">
      <c r="B10" s="927"/>
      <c r="C10" s="975" t="s">
        <v>449</v>
      </c>
      <c r="D10" s="965"/>
    </row>
    <row r="11" spans="1:5" x14ac:dyDescent="0.25">
      <c r="A11" s="4"/>
      <c r="B11" s="270"/>
      <c r="C11" s="270" t="s">
        <v>730</v>
      </c>
      <c r="D11" s="929"/>
      <c r="E11" s="4"/>
    </row>
    <row r="12" spans="1:5" x14ac:dyDescent="0.25">
      <c r="A12" s="4" t="s">
        <v>5</v>
      </c>
      <c r="B12" s="270"/>
      <c r="C12" s="270" t="s">
        <v>286</v>
      </c>
      <c r="D12" s="929"/>
      <c r="E12" s="4" t="s">
        <v>5</v>
      </c>
    </row>
    <row r="13" spans="1:5" x14ac:dyDescent="0.25">
      <c r="A13" s="4" t="s">
        <v>6</v>
      </c>
      <c r="B13" s="275" t="s">
        <v>255</v>
      </c>
      <c r="C13" s="275" t="s">
        <v>644</v>
      </c>
      <c r="D13" s="275" t="s">
        <v>8</v>
      </c>
      <c r="E13" s="4" t="s">
        <v>6</v>
      </c>
    </row>
    <row r="14" spans="1:5" x14ac:dyDescent="0.25">
      <c r="A14" s="4"/>
      <c r="B14" s="273"/>
      <c r="C14" s="963"/>
      <c r="D14" s="966"/>
      <c r="E14" s="4"/>
    </row>
    <row r="15" spans="1:5" x14ac:dyDescent="0.25">
      <c r="A15" s="4">
        <v>1</v>
      </c>
      <c r="B15" s="1007" t="str">
        <f>'AG-1'!B26</f>
        <v>Dec-23</v>
      </c>
      <c r="C15" s="232">
        <v>13510.349459999998</v>
      </c>
      <c r="D15" s="932" t="s">
        <v>731</v>
      </c>
      <c r="E15" s="4">
        <f>A15</f>
        <v>1</v>
      </c>
    </row>
    <row r="16" spans="1:5" x14ac:dyDescent="0.25">
      <c r="A16" s="4">
        <f>A15+1</f>
        <v>2</v>
      </c>
      <c r="B16" s="117"/>
      <c r="C16" s="93"/>
      <c r="D16" s="93"/>
      <c r="E16" s="4">
        <f>E15+1</f>
        <v>2</v>
      </c>
    </row>
    <row r="17" spans="1:5" x14ac:dyDescent="0.25">
      <c r="A17" s="4"/>
      <c r="B17" s="31"/>
      <c r="C17" s="29"/>
      <c r="D17" s="31"/>
    </row>
    <row r="18" spans="1:5" x14ac:dyDescent="0.25">
      <c r="B18" s="31"/>
      <c r="C18" s="31"/>
      <c r="D18" s="31"/>
    </row>
    <row r="19" spans="1:5" x14ac:dyDescent="0.25">
      <c r="B19" s="31"/>
      <c r="C19" s="31"/>
      <c r="D19" s="31"/>
    </row>
    <row r="20" spans="1:5" x14ac:dyDescent="0.25">
      <c r="B20" s="31"/>
      <c r="C20" s="31"/>
      <c r="D20" s="31"/>
    </row>
    <row r="21" spans="1:5" x14ac:dyDescent="0.25">
      <c r="B21" s="31"/>
      <c r="C21" s="31"/>
      <c r="D21" s="31"/>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s="31" customFormat="1" x14ac:dyDescent="0.25">
      <c r="A31" s="4"/>
      <c r="E31" s="4"/>
    </row>
    <row r="32" spans="1:5" s="31" customFormat="1" x14ac:dyDescent="0.25">
      <c r="A32" s="4"/>
      <c r="E32" s="4"/>
    </row>
    <row r="33" spans="1:5" s="31" customFormat="1" x14ac:dyDescent="0.25">
      <c r="A33" s="4"/>
      <c r="E33" s="4"/>
    </row>
    <row r="34" spans="1:5" s="31" customFormat="1" x14ac:dyDescent="0.25">
      <c r="A34" s="4"/>
      <c r="E34" s="4"/>
    </row>
    <row r="35" spans="1:5" s="31" customFormat="1" x14ac:dyDescent="0.25">
      <c r="A35" s="4"/>
      <c r="E35" s="4"/>
    </row>
    <row r="36" spans="1:5" s="31" customFormat="1" x14ac:dyDescent="0.25">
      <c r="A36" s="4"/>
      <c r="E36" s="4"/>
    </row>
    <row r="37" spans="1:5" s="31"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workbookViewId="0"/>
  </sheetViews>
  <sheetFormatPr defaultColWidth="8.7109375" defaultRowHeight="15.75" x14ac:dyDescent="0.25"/>
  <cols>
    <col min="1" max="1" width="5.28515625" style="4" customWidth="1"/>
    <col min="2" max="2" width="15.28515625" style="4" customWidth="1"/>
    <col min="3" max="3" width="50.7109375" style="31" customWidth="1"/>
    <col min="4" max="4" width="16.7109375" style="4" customWidth="1"/>
    <col min="5" max="5" width="5.28515625" style="31" customWidth="1"/>
    <col min="6" max="16384" width="8.7109375" style="31"/>
  </cols>
  <sheetData>
    <row r="1" spans="1:8" x14ac:dyDescent="0.25">
      <c r="B1" s="218"/>
      <c r="C1" s="218"/>
      <c r="D1" s="218"/>
      <c r="E1" s="218"/>
      <c r="F1" s="218"/>
    </row>
    <row r="2" spans="1:8" x14ac:dyDescent="0.25">
      <c r="B2" s="1294" t="s">
        <v>0</v>
      </c>
      <c r="C2" s="1308"/>
      <c r="D2" s="1308"/>
      <c r="E2" s="218"/>
      <c r="F2" s="218"/>
      <c r="G2" s="218"/>
      <c r="H2" s="218"/>
    </row>
    <row r="3" spans="1:8" x14ac:dyDescent="0.25">
      <c r="B3" s="1294" t="s">
        <v>681</v>
      </c>
      <c r="C3" s="1308"/>
      <c r="D3" s="1308"/>
      <c r="E3" s="218"/>
      <c r="F3" s="218"/>
      <c r="G3" s="218"/>
      <c r="H3" s="218"/>
    </row>
    <row r="4" spans="1:8" x14ac:dyDescent="0.25">
      <c r="B4" s="1294" t="s">
        <v>1568</v>
      </c>
      <c r="C4" s="1308"/>
      <c r="D4" s="1308"/>
      <c r="E4" s="218"/>
      <c r="F4" s="218"/>
      <c r="G4" s="218"/>
      <c r="H4" s="218"/>
    </row>
    <row r="5" spans="1:8" x14ac:dyDescent="0.25">
      <c r="B5" s="1298" t="s">
        <v>1567</v>
      </c>
      <c r="C5" s="1314"/>
      <c r="D5" s="1314"/>
      <c r="E5" s="218"/>
      <c r="F5" s="218"/>
      <c r="G5" s="218"/>
      <c r="H5" s="218"/>
    </row>
    <row r="7" spans="1:8" x14ac:dyDescent="0.25">
      <c r="A7" s="4" t="s">
        <v>5</v>
      </c>
      <c r="B7" s="946" t="s">
        <v>449</v>
      </c>
      <c r="C7" s="1008"/>
      <c r="D7" s="1009" t="s">
        <v>732</v>
      </c>
      <c r="E7" s="4" t="s">
        <v>5</v>
      </c>
    </row>
    <row r="8" spans="1:8" s="1" customFormat="1" x14ac:dyDescent="0.25">
      <c r="A8" s="4" t="s">
        <v>6</v>
      </c>
      <c r="B8" s="275" t="s">
        <v>733</v>
      </c>
      <c r="C8" s="1010" t="s">
        <v>734</v>
      </c>
      <c r="D8" s="437" t="s">
        <v>735</v>
      </c>
      <c r="E8" s="4" t="s">
        <v>6</v>
      </c>
    </row>
    <row r="9" spans="1:8" x14ac:dyDescent="0.25">
      <c r="B9" s="935"/>
      <c r="D9" s="935"/>
      <c r="E9" s="4"/>
    </row>
    <row r="10" spans="1:8" x14ac:dyDescent="0.25">
      <c r="A10" s="4">
        <v>1</v>
      </c>
      <c r="B10" s="1011"/>
      <c r="C10" s="1012" t="s">
        <v>736</v>
      </c>
      <c r="D10" s="1011"/>
      <c r="E10" s="4">
        <f>A10</f>
        <v>1</v>
      </c>
    </row>
    <row r="11" spans="1:8" x14ac:dyDescent="0.25">
      <c r="A11" s="4">
        <f>A10+1</f>
        <v>2</v>
      </c>
      <c r="B11" s="935" t="s">
        <v>737</v>
      </c>
      <c r="C11" s="32" t="s">
        <v>738</v>
      </c>
      <c r="D11" s="1013" t="s">
        <v>739</v>
      </c>
      <c r="E11" s="4">
        <f>E10+1</f>
        <v>2</v>
      </c>
    </row>
    <row r="12" spans="1:8" x14ac:dyDescent="0.25">
      <c r="A12" s="4">
        <f t="shared" ref="A12:A15" si="0">A11+1</f>
        <v>3</v>
      </c>
      <c r="B12" s="955" t="s">
        <v>740</v>
      </c>
      <c r="C12" s="1014" t="s">
        <v>741</v>
      </c>
      <c r="D12" s="1015" t="s">
        <v>742</v>
      </c>
      <c r="E12" s="4">
        <f t="shared" ref="E12:E16" si="1">E11+1</f>
        <v>3</v>
      </c>
    </row>
    <row r="13" spans="1:8" x14ac:dyDescent="0.25">
      <c r="A13" s="4">
        <f t="shared" si="0"/>
        <v>4</v>
      </c>
      <c r="B13" s="935"/>
      <c r="D13" s="935"/>
      <c r="E13" s="4">
        <f t="shared" si="1"/>
        <v>4</v>
      </c>
    </row>
    <row r="14" spans="1:8" x14ac:dyDescent="0.25">
      <c r="A14" s="4">
        <f t="shared" si="0"/>
        <v>5</v>
      </c>
      <c r="B14" s="955"/>
      <c r="C14" s="1016" t="s">
        <v>743</v>
      </c>
      <c r="D14" s="955"/>
      <c r="E14" s="4">
        <f t="shared" si="1"/>
        <v>5</v>
      </c>
    </row>
    <row r="15" spans="1:8" x14ac:dyDescent="0.25">
      <c r="A15" s="4">
        <f t="shared" si="0"/>
        <v>6</v>
      </c>
      <c r="B15" s="955" t="s">
        <v>744</v>
      </c>
      <c r="C15" s="1014" t="s">
        <v>745</v>
      </c>
      <c r="D15" s="1015" t="s">
        <v>746</v>
      </c>
      <c r="E15" s="4">
        <f t="shared" si="1"/>
        <v>6</v>
      </c>
    </row>
    <row r="16" spans="1:8" x14ac:dyDescent="0.25">
      <c r="A16" s="4">
        <f>A15+1</f>
        <v>7</v>
      </c>
      <c r="B16" s="419"/>
      <c r="C16" s="920"/>
      <c r="D16" s="438"/>
      <c r="E16" s="4">
        <f t="shared" si="1"/>
        <v>7</v>
      </c>
    </row>
    <row r="17" spans="1:4" x14ac:dyDescent="0.25">
      <c r="D17" s="260"/>
    </row>
    <row r="18" spans="1:4" ht="18.75" x14ac:dyDescent="0.25">
      <c r="A18" s="266"/>
      <c r="B18" s="31" t="s">
        <v>747</v>
      </c>
    </row>
    <row r="19" spans="1:4" x14ac:dyDescent="0.25">
      <c r="B19" s="31" t="s">
        <v>748</v>
      </c>
    </row>
    <row r="20" spans="1:4" x14ac:dyDescent="0.25">
      <c r="B20" s="32" t="s">
        <v>749</v>
      </c>
    </row>
    <row r="21" spans="1:4" x14ac:dyDescent="0.25">
      <c r="B21" s="31" t="s">
        <v>750</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workbookViewId="0"/>
  </sheetViews>
  <sheetFormatPr defaultColWidth="9.28515625" defaultRowHeight="15.75" x14ac:dyDescent="0.25"/>
  <cols>
    <col min="1" max="1" width="5.28515625" style="218" customWidth="1"/>
    <col min="2" max="2" width="35.28515625" style="1" customWidth="1"/>
    <col min="3" max="3" width="18.5703125" style="1" customWidth="1"/>
    <col min="4" max="4" width="62.5703125" style="1" customWidth="1"/>
    <col min="5" max="5" width="5.28515625" style="218" customWidth="1"/>
    <col min="6" max="6" width="11" style="1" customWidth="1"/>
    <col min="7" max="7" width="7.28515625" style="1" customWidth="1"/>
    <col min="8" max="8" width="9.28515625" style="1" customWidth="1"/>
    <col min="9" max="9" width="14" style="1" customWidth="1"/>
    <col min="10" max="10" width="13.42578125" style="1" customWidth="1"/>
    <col min="11" max="16384" width="9.28515625" style="1"/>
  </cols>
  <sheetData>
    <row r="2" spans="1:5" x14ac:dyDescent="0.25">
      <c r="B2" s="1294" t="s">
        <v>0</v>
      </c>
      <c r="C2" s="1294"/>
      <c r="D2" s="1294"/>
    </row>
    <row r="3" spans="1:5" x14ac:dyDescent="0.25">
      <c r="B3" s="1294" t="s">
        <v>642</v>
      </c>
      <c r="C3" s="1294"/>
      <c r="D3" s="1294"/>
    </row>
    <row r="4" spans="1:5" x14ac:dyDescent="0.25">
      <c r="B4" s="1294" t="s">
        <v>729</v>
      </c>
      <c r="C4" s="1294"/>
      <c r="D4" s="1294"/>
    </row>
    <row r="5" spans="1:5" x14ac:dyDescent="0.25">
      <c r="B5" s="1294" t="str">
        <f>'AD-1'!B5</f>
        <v>BASE PERIOD / TRUE UP PERIOD - 12/31/2023 PER BOOK</v>
      </c>
      <c r="C5" s="1294"/>
      <c r="D5" s="1294"/>
    </row>
    <row r="6" spans="1:5" x14ac:dyDescent="0.25">
      <c r="B6" s="1299" t="s">
        <v>4</v>
      </c>
      <c r="C6" s="1299"/>
      <c r="D6" s="1299"/>
    </row>
    <row r="7" spans="1:5" x14ac:dyDescent="0.25">
      <c r="B7" s="267"/>
      <c r="C7" s="267"/>
      <c r="D7" s="267"/>
    </row>
    <row r="8" spans="1:5" x14ac:dyDescent="0.25">
      <c r="B8" s="1294" t="s">
        <v>337</v>
      </c>
      <c r="C8" s="1294"/>
      <c r="D8" s="1294"/>
    </row>
    <row r="10" spans="1:5" x14ac:dyDescent="0.25">
      <c r="B10" s="927"/>
      <c r="C10" s="975" t="s">
        <v>449</v>
      </c>
      <c r="D10" s="965"/>
      <c r="E10" s="4"/>
    </row>
    <row r="11" spans="1:5" x14ac:dyDescent="0.25">
      <c r="A11" s="4"/>
      <c r="B11" s="270"/>
      <c r="C11" s="270" t="s">
        <v>751</v>
      </c>
      <c r="D11" s="929"/>
      <c r="E11" s="4"/>
    </row>
    <row r="12" spans="1:5" x14ac:dyDescent="0.25">
      <c r="A12" s="4" t="s">
        <v>5</v>
      </c>
      <c r="B12" s="270"/>
      <c r="C12" s="270" t="s">
        <v>286</v>
      </c>
      <c r="D12" s="929"/>
      <c r="E12" s="4" t="s">
        <v>5</v>
      </c>
    </row>
    <row r="13" spans="1:5" x14ac:dyDescent="0.25">
      <c r="A13" s="4" t="s">
        <v>6</v>
      </c>
      <c r="B13" s="275" t="s">
        <v>255</v>
      </c>
      <c r="C13" s="275" t="s">
        <v>644</v>
      </c>
      <c r="D13" s="275" t="s">
        <v>8</v>
      </c>
      <c r="E13" s="4" t="s">
        <v>6</v>
      </c>
    </row>
    <row r="14" spans="1:5" x14ac:dyDescent="0.25">
      <c r="A14" s="4"/>
      <c r="B14" s="273"/>
      <c r="C14" s="963"/>
      <c r="D14" s="966"/>
      <c r="E14" s="4"/>
    </row>
    <row r="15" spans="1:5" x14ac:dyDescent="0.25">
      <c r="A15" s="4">
        <v>1</v>
      </c>
      <c r="B15" s="1007" t="str">
        <f>'AJ-2'!B15</f>
        <v>Dec-23</v>
      </c>
      <c r="C15" s="232">
        <v>26427.473339999971</v>
      </c>
      <c r="D15" s="941" t="s">
        <v>752</v>
      </c>
      <c r="E15" s="4">
        <f>A15</f>
        <v>1</v>
      </c>
    </row>
    <row r="16" spans="1:5" x14ac:dyDescent="0.25">
      <c r="A16" s="4">
        <f>A15+1</f>
        <v>2</v>
      </c>
      <c r="B16" s="117"/>
      <c r="C16" s="93"/>
      <c r="D16" s="93"/>
      <c r="E16" s="4">
        <f>E15+1</f>
        <v>2</v>
      </c>
    </row>
    <row r="17" spans="1:5" x14ac:dyDescent="0.25">
      <c r="A17" s="4"/>
      <c r="B17" s="31"/>
      <c r="C17" s="29"/>
      <c r="D17" s="31"/>
      <c r="E17" s="4"/>
    </row>
    <row r="18" spans="1:5" x14ac:dyDescent="0.25">
      <c r="B18" s="31"/>
      <c r="C18" s="31"/>
      <c r="D18" s="31"/>
    </row>
    <row r="19" spans="1:5" x14ac:dyDescent="0.25">
      <c r="B19" s="31"/>
      <c r="C19" s="31"/>
      <c r="D19" s="31"/>
    </row>
    <row r="20" spans="1:5" x14ac:dyDescent="0.25">
      <c r="B20" s="31"/>
      <c r="C20" s="31"/>
      <c r="D20" s="31"/>
    </row>
    <row r="21" spans="1:5" x14ac:dyDescent="0.25">
      <c r="B21" s="31"/>
      <c r="C21" s="31"/>
      <c r="D21" s="31"/>
    </row>
    <row r="22" spans="1:5" x14ac:dyDescent="0.25">
      <c r="B22" s="31"/>
      <c r="C22" s="31"/>
      <c r="D22" s="31"/>
    </row>
    <row r="23" spans="1:5" x14ac:dyDescent="0.25">
      <c r="B23" s="31"/>
      <c r="C23" s="31"/>
      <c r="D23" s="31"/>
    </row>
    <row r="24" spans="1:5" x14ac:dyDescent="0.25">
      <c r="B24" s="31"/>
      <c r="C24" s="31"/>
      <c r="D24" s="31"/>
    </row>
    <row r="25" spans="1:5" x14ac:dyDescent="0.25">
      <c r="B25" s="31"/>
      <c r="C25" s="31"/>
      <c r="D25" s="31"/>
    </row>
    <row r="26" spans="1:5" x14ac:dyDescent="0.25">
      <c r="B26" s="31"/>
      <c r="C26" s="31"/>
      <c r="D26" s="31"/>
    </row>
    <row r="27" spans="1:5" x14ac:dyDescent="0.25">
      <c r="B27" s="31"/>
      <c r="C27" s="31"/>
      <c r="D27" s="31"/>
    </row>
    <row r="28" spans="1:5" x14ac:dyDescent="0.25">
      <c r="B28" s="31"/>
      <c r="C28" s="31"/>
      <c r="D28" s="31"/>
    </row>
    <row r="29" spans="1:5" x14ac:dyDescent="0.25">
      <c r="B29" s="31"/>
      <c r="C29" s="31"/>
      <c r="D29" s="31"/>
    </row>
    <row r="30" spans="1:5" x14ac:dyDescent="0.25">
      <c r="B30" s="31"/>
      <c r="C30" s="31"/>
      <c r="D30" s="31"/>
    </row>
    <row r="31" spans="1:5" s="31" customFormat="1" x14ac:dyDescent="0.25">
      <c r="A31" s="4"/>
      <c r="E31" s="4"/>
    </row>
    <row r="32" spans="1:5" s="31" customFormat="1" x14ac:dyDescent="0.25">
      <c r="A32" s="4"/>
      <c r="E32" s="4"/>
    </row>
    <row r="33" spans="1:5" s="31" customFormat="1" x14ac:dyDescent="0.25">
      <c r="A33" s="4"/>
      <c r="E33" s="4"/>
    </row>
    <row r="34" spans="1:5" s="31" customFormat="1" x14ac:dyDescent="0.25">
      <c r="A34" s="4"/>
      <c r="E34" s="4"/>
    </row>
    <row r="35" spans="1:5" s="31" customFormat="1" x14ac:dyDescent="0.25">
      <c r="A35" s="4"/>
      <c r="E35" s="4"/>
    </row>
    <row r="36" spans="1:5" s="31" customFormat="1" x14ac:dyDescent="0.25">
      <c r="A36" s="4"/>
      <c r="E36" s="4"/>
    </row>
    <row r="37" spans="1:5" s="31" customFormat="1" x14ac:dyDescent="0.2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workbookViewId="0"/>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294" t="s">
        <v>0</v>
      </c>
      <c r="C2" s="1294"/>
      <c r="D2" s="1294"/>
      <c r="E2" s="1294"/>
      <c r="F2" s="1294"/>
    </row>
    <row r="3" spans="1:9" x14ac:dyDescent="0.25">
      <c r="B3" s="1294" t="s">
        <v>681</v>
      </c>
      <c r="C3" s="1294"/>
      <c r="D3" s="1294"/>
      <c r="E3" s="1294"/>
      <c r="F3" s="1294"/>
    </row>
    <row r="4" spans="1:9" x14ac:dyDescent="0.25">
      <c r="B4" s="1294" t="s">
        <v>1569</v>
      </c>
      <c r="C4" s="1294"/>
      <c r="D4" s="1294"/>
      <c r="E4" s="1294"/>
      <c r="F4" s="1294"/>
    </row>
    <row r="5" spans="1:9" x14ac:dyDescent="0.25">
      <c r="B5" s="1298" t="s">
        <v>1567</v>
      </c>
      <c r="C5" s="1298"/>
      <c r="D5" s="1298"/>
      <c r="E5" s="1298"/>
      <c r="F5" s="1298"/>
    </row>
    <row r="6" spans="1:9" x14ac:dyDescent="0.25">
      <c r="B6" s="1298" t="s">
        <v>1468</v>
      </c>
      <c r="C6" s="1298"/>
      <c r="D6" s="1298"/>
      <c r="E6" s="1298"/>
      <c r="F6" s="1298"/>
    </row>
    <row r="7" spans="1:9" x14ac:dyDescent="0.25">
      <c r="B7" s="4"/>
    </row>
    <row r="8" spans="1:9" x14ac:dyDescent="0.25">
      <c r="B8" s="1294" t="s">
        <v>1503</v>
      </c>
      <c r="C8" s="1294"/>
      <c r="D8" s="1294"/>
      <c r="E8" s="1294"/>
      <c r="F8" s="1294"/>
    </row>
    <row r="9" spans="1:9" x14ac:dyDescent="0.25">
      <c r="A9" s="218"/>
      <c r="B9" s="1315" t="s">
        <v>1502</v>
      </c>
      <c r="C9" s="1316"/>
      <c r="D9" s="1316"/>
      <c r="E9" s="1316"/>
      <c r="F9" s="1317"/>
    </row>
    <row r="10" spans="1:9" x14ac:dyDescent="0.25">
      <c r="A10" s="218"/>
      <c r="B10" s="946"/>
      <c r="C10" s="946"/>
      <c r="D10" s="981" t="s">
        <v>184</v>
      </c>
      <c r="E10" s="946" t="s">
        <v>185</v>
      </c>
      <c r="F10" s="928" t="s">
        <v>682</v>
      </c>
    </row>
    <row r="11" spans="1:9" x14ac:dyDescent="0.25">
      <c r="A11" s="4" t="s">
        <v>5</v>
      </c>
      <c r="B11" s="270" t="s">
        <v>449</v>
      </c>
      <c r="C11" s="218"/>
      <c r="D11" s="270" t="s">
        <v>683</v>
      </c>
      <c r="E11" s="270" t="s">
        <v>684</v>
      </c>
      <c r="F11" s="270" t="s">
        <v>177</v>
      </c>
      <c r="G11" s="4" t="s">
        <v>5</v>
      </c>
    </row>
    <row r="12" spans="1:9" x14ac:dyDescent="0.25">
      <c r="A12" s="4" t="s">
        <v>6</v>
      </c>
      <c r="B12" s="275" t="s">
        <v>305</v>
      </c>
      <c r="C12" s="275" t="s">
        <v>306</v>
      </c>
      <c r="D12" s="930" t="s">
        <v>685</v>
      </c>
      <c r="E12" s="437" t="s">
        <v>685</v>
      </c>
      <c r="F12" s="275" t="s">
        <v>685</v>
      </c>
      <c r="G12" s="4" t="s">
        <v>6</v>
      </c>
      <c r="I12" s="218"/>
    </row>
    <row r="13" spans="1:9" x14ac:dyDescent="0.25">
      <c r="B13" s="278"/>
      <c r="C13" s="278"/>
      <c r="D13" s="218"/>
      <c r="E13" s="270"/>
      <c r="F13" s="270"/>
    </row>
    <row r="14" spans="1:9" x14ac:dyDescent="0.25">
      <c r="A14" s="4">
        <v>1</v>
      </c>
      <c r="B14" s="955" t="s">
        <v>753</v>
      </c>
      <c r="C14" s="1017" t="s">
        <v>754</v>
      </c>
      <c r="D14" s="1018">
        <v>2.53E-2</v>
      </c>
      <c r="E14" s="1019">
        <v>0</v>
      </c>
      <c r="F14" s="1003">
        <f>D14+E14</f>
        <v>2.53E-2</v>
      </c>
      <c r="G14" s="4">
        <f>A14</f>
        <v>1</v>
      </c>
      <c r="I14" s="47"/>
    </row>
    <row r="15" spans="1:9" x14ac:dyDescent="0.25">
      <c r="A15" s="4">
        <f t="shared" ref="A15:A27" si="0">A14+1</f>
        <v>2</v>
      </c>
      <c r="B15" s="955" t="s">
        <v>755</v>
      </c>
      <c r="C15" s="1017" t="s">
        <v>756</v>
      </c>
      <c r="D15" s="1018">
        <v>0</v>
      </c>
      <c r="E15" s="1019">
        <v>0</v>
      </c>
      <c r="F15" s="1003">
        <f>D15+E15</f>
        <v>0</v>
      </c>
      <c r="G15" s="4">
        <f t="shared" ref="G15:G27" si="1">G14+1</f>
        <v>2</v>
      </c>
      <c r="I15" s="47"/>
    </row>
    <row r="16" spans="1:9" x14ac:dyDescent="0.25">
      <c r="A16" s="4">
        <f t="shared" si="0"/>
        <v>3</v>
      </c>
      <c r="B16" s="955" t="s">
        <v>757</v>
      </c>
      <c r="C16" s="1017" t="s">
        <v>758</v>
      </c>
      <c r="D16" s="1018">
        <v>4.3200000000000002E-2</v>
      </c>
      <c r="E16" s="1019">
        <v>0</v>
      </c>
      <c r="F16" s="1003">
        <f t="shared" ref="F16:F26" si="2">D16+E16</f>
        <v>4.3200000000000002E-2</v>
      </c>
      <c r="G16" s="4">
        <f t="shared" si="1"/>
        <v>3</v>
      </c>
      <c r="I16" s="47"/>
    </row>
    <row r="17" spans="1:9" x14ac:dyDescent="0.25">
      <c r="A17" s="4">
        <f t="shared" si="0"/>
        <v>4</v>
      </c>
      <c r="B17" s="955" t="s">
        <v>759</v>
      </c>
      <c r="C17" s="1017" t="s">
        <v>760</v>
      </c>
      <c r="D17" s="1018">
        <v>4.0099999999999997E-2</v>
      </c>
      <c r="E17" s="1019">
        <v>0</v>
      </c>
      <c r="F17" s="1003">
        <f t="shared" si="2"/>
        <v>4.0099999999999997E-2</v>
      </c>
      <c r="G17" s="4">
        <f t="shared" si="1"/>
        <v>4</v>
      </c>
      <c r="I17" s="47"/>
    </row>
    <row r="18" spans="1:9" x14ac:dyDescent="0.25">
      <c r="A18" s="4">
        <f t="shared" si="0"/>
        <v>5</v>
      </c>
      <c r="B18" s="935" t="s">
        <v>761</v>
      </c>
      <c r="C18" s="234" t="s">
        <v>762</v>
      </c>
      <c r="D18" s="1018">
        <v>3.73E-2</v>
      </c>
      <c r="E18" s="1019">
        <v>0</v>
      </c>
      <c r="F18" s="1003">
        <f t="shared" si="2"/>
        <v>3.73E-2</v>
      </c>
      <c r="G18" s="4">
        <f t="shared" si="1"/>
        <v>5</v>
      </c>
      <c r="I18" s="47"/>
    </row>
    <row r="19" spans="1:9" x14ac:dyDescent="0.25">
      <c r="A19" s="4">
        <f t="shared" si="0"/>
        <v>6</v>
      </c>
      <c r="B19" s="955" t="s">
        <v>763</v>
      </c>
      <c r="C19" s="1017" t="s">
        <v>764</v>
      </c>
      <c r="D19" s="1018">
        <v>2.23E-2</v>
      </c>
      <c r="E19" s="1019">
        <v>0</v>
      </c>
      <c r="F19" s="1003">
        <f t="shared" si="2"/>
        <v>2.23E-2</v>
      </c>
      <c r="G19" s="4">
        <f t="shared" si="1"/>
        <v>6</v>
      </c>
      <c r="I19" s="47"/>
    </row>
    <row r="20" spans="1:9" x14ac:dyDescent="0.25">
      <c r="A20" s="4">
        <f t="shared" si="0"/>
        <v>7</v>
      </c>
      <c r="B20" s="935" t="s">
        <v>765</v>
      </c>
      <c r="C20" s="234" t="s">
        <v>766</v>
      </c>
      <c r="D20" s="1018">
        <v>4.5400000000000003E-2</v>
      </c>
      <c r="E20" s="1019">
        <v>0</v>
      </c>
      <c r="F20" s="1003">
        <f t="shared" si="2"/>
        <v>4.5400000000000003E-2</v>
      </c>
      <c r="G20" s="4">
        <f t="shared" si="1"/>
        <v>7</v>
      </c>
      <c r="I20" s="47"/>
    </row>
    <row r="21" spans="1:9" x14ac:dyDescent="0.25">
      <c r="A21" s="4">
        <f t="shared" si="0"/>
        <v>8</v>
      </c>
      <c r="B21" s="955" t="s">
        <v>767</v>
      </c>
      <c r="C21" s="1017" t="s">
        <v>768</v>
      </c>
      <c r="D21" s="1018">
        <v>3.1E-2</v>
      </c>
      <c r="E21" s="1019">
        <v>1.7399999999999999E-2</v>
      </c>
      <c r="F21" s="1003">
        <f t="shared" si="2"/>
        <v>4.8399999999999999E-2</v>
      </c>
      <c r="G21" s="4">
        <f t="shared" si="1"/>
        <v>8</v>
      </c>
      <c r="I21" s="47"/>
    </row>
    <row r="22" spans="1:9" x14ac:dyDescent="0.25">
      <c r="A22" s="4">
        <f t="shared" si="0"/>
        <v>9</v>
      </c>
      <c r="B22" s="935" t="s">
        <v>769</v>
      </c>
      <c r="C22" s="234" t="s">
        <v>770</v>
      </c>
      <c r="D22" s="1018">
        <v>2.7300000000000001E-2</v>
      </c>
      <c r="E22" s="1019">
        <v>1.61E-2</v>
      </c>
      <c r="F22" s="1003">
        <f t="shared" si="2"/>
        <v>4.3400000000000001E-2</v>
      </c>
      <c r="G22" s="4">
        <f t="shared" si="1"/>
        <v>9</v>
      </c>
      <c r="I22" s="47"/>
    </row>
    <row r="23" spans="1:9" x14ac:dyDescent="0.25">
      <c r="A23" s="4">
        <f t="shared" si="0"/>
        <v>10</v>
      </c>
      <c r="B23" s="955" t="s">
        <v>771</v>
      </c>
      <c r="C23" s="1017" t="s">
        <v>772</v>
      </c>
      <c r="D23" s="1018">
        <v>3.1E-2</v>
      </c>
      <c r="E23" s="1019">
        <v>0</v>
      </c>
      <c r="F23" s="1003">
        <f t="shared" si="2"/>
        <v>3.1E-2</v>
      </c>
      <c r="G23" s="4">
        <f t="shared" si="1"/>
        <v>10</v>
      </c>
      <c r="I23" s="47"/>
    </row>
    <row r="24" spans="1:9" x14ac:dyDescent="0.25">
      <c r="A24" s="4">
        <f t="shared" si="0"/>
        <v>11</v>
      </c>
      <c r="B24" s="955" t="s">
        <v>773</v>
      </c>
      <c r="C24" s="1017" t="s">
        <v>774</v>
      </c>
      <c r="D24" s="1018">
        <v>3.3399999999999999E-2</v>
      </c>
      <c r="E24" s="1019">
        <v>1.7299999999999999E-2</v>
      </c>
      <c r="F24" s="1003">
        <f t="shared" si="2"/>
        <v>5.0699999999999995E-2</v>
      </c>
      <c r="G24" s="4">
        <f t="shared" si="1"/>
        <v>11</v>
      </c>
      <c r="I24" s="47"/>
    </row>
    <row r="25" spans="1:9" x14ac:dyDescent="0.25">
      <c r="A25" s="4">
        <f t="shared" si="0"/>
        <v>12</v>
      </c>
      <c r="B25" s="955" t="s">
        <v>775</v>
      </c>
      <c r="C25" s="1017" t="s">
        <v>776</v>
      </c>
      <c r="D25" s="1018">
        <v>6.25E-2</v>
      </c>
      <c r="E25" s="1019">
        <v>0</v>
      </c>
      <c r="F25" s="1003">
        <f t="shared" si="2"/>
        <v>6.25E-2</v>
      </c>
      <c r="G25" s="4">
        <f t="shared" si="1"/>
        <v>12</v>
      </c>
      <c r="I25" s="47"/>
    </row>
    <row r="26" spans="1:9" x14ac:dyDescent="0.25">
      <c r="A26" s="4">
        <f t="shared" si="0"/>
        <v>13</v>
      </c>
      <c r="B26" s="955" t="s">
        <v>777</v>
      </c>
      <c r="C26" s="1017" t="s">
        <v>778</v>
      </c>
      <c r="D26" s="1018">
        <v>0</v>
      </c>
      <c r="E26" s="1019">
        <v>0</v>
      </c>
      <c r="F26" s="1003">
        <f t="shared" si="2"/>
        <v>0</v>
      </c>
      <c r="G26" s="4">
        <f t="shared" si="1"/>
        <v>13</v>
      </c>
    </row>
    <row r="27" spans="1:9" x14ac:dyDescent="0.25">
      <c r="A27" s="4">
        <f t="shared" si="0"/>
        <v>14</v>
      </c>
      <c r="B27" s="1020"/>
      <c r="C27" s="1017"/>
      <c r="D27" s="1006"/>
      <c r="E27" s="1003"/>
      <c r="F27" s="955" t="s">
        <v>1</v>
      </c>
      <c r="G27" s="4">
        <f t="shared" si="1"/>
        <v>14</v>
      </c>
    </row>
    <row r="29" spans="1:9" ht="18.75" x14ac:dyDescent="0.25">
      <c r="A29" s="266"/>
      <c r="B29" s="32" t="s">
        <v>779</v>
      </c>
    </row>
    <row r="30" spans="1:9" x14ac:dyDescent="0.25">
      <c r="B30" s="32" t="s">
        <v>780</v>
      </c>
    </row>
    <row r="31" spans="1:9" ht="18.75" x14ac:dyDescent="0.25">
      <c r="A31" s="266"/>
      <c r="B31" s="31" t="s">
        <v>781</v>
      </c>
    </row>
    <row r="32" spans="1:9" x14ac:dyDescent="0.25">
      <c r="B32" s="31" t="s">
        <v>782</v>
      </c>
    </row>
    <row r="33" spans="2:2" x14ac:dyDescent="0.25">
      <c r="B33" s="31" t="s">
        <v>783</v>
      </c>
    </row>
    <row r="34" spans="2:2" x14ac:dyDescent="0.25">
      <c r="B34" s="31" t="s">
        <v>784</v>
      </c>
    </row>
    <row r="36" spans="2:2" x14ac:dyDescent="0.25">
      <c r="B36"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workbookViewId="0"/>
  </sheetViews>
  <sheetFormatPr defaultColWidth="9.28515625" defaultRowHeight="15.75" x14ac:dyDescent="0.25"/>
  <cols>
    <col min="1" max="1" width="5.28515625" style="218" customWidth="1"/>
    <col min="2" max="2" width="8.5703125" style="1" customWidth="1"/>
    <col min="3" max="3" width="41.28515625" style="1" customWidth="1"/>
    <col min="4" max="4" width="18.5703125" style="1" customWidth="1"/>
    <col min="5" max="5" width="62.5703125" style="1" customWidth="1"/>
    <col min="6" max="6" width="5.28515625" style="218" customWidth="1"/>
    <col min="7" max="7" width="24" style="1" customWidth="1"/>
    <col min="8" max="8" width="11" style="1" customWidth="1"/>
    <col min="9" max="9" width="7.28515625" style="1" customWidth="1"/>
    <col min="10" max="10" width="9.28515625" style="1" customWidth="1"/>
    <col min="11" max="11" width="14" style="1" customWidth="1"/>
    <col min="12" max="12" width="13.42578125" style="1" customWidth="1"/>
    <col min="13" max="16384" width="9.28515625" style="1"/>
  </cols>
  <sheetData>
    <row r="2" spans="1:7" x14ac:dyDescent="0.25">
      <c r="B2" s="1294" t="s">
        <v>0</v>
      </c>
      <c r="C2" s="1294"/>
      <c r="D2" s="1294"/>
      <c r="E2" s="1294"/>
    </row>
    <row r="3" spans="1:7" x14ac:dyDescent="0.25">
      <c r="B3" s="1294" t="s">
        <v>642</v>
      </c>
      <c r="C3" s="1294"/>
      <c r="D3" s="1294"/>
      <c r="E3" s="1294"/>
      <c r="G3"/>
    </row>
    <row r="4" spans="1:7" x14ac:dyDescent="0.25">
      <c r="B4" s="1294" t="s">
        <v>729</v>
      </c>
      <c r="C4" s="1294"/>
      <c r="D4" s="1294"/>
      <c r="E4" s="1294"/>
    </row>
    <row r="5" spans="1:7" x14ac:dyDescent="0.25">
      <c r="B5" s="1296" t="str">
        <f>'AD-1'!B5</f>
        <v>BASE PERIOD / TRUE UP PERIOD - 12/31/2023 PER BOOK</v>
      </c>
      <c r="C5" s="1296"/>
      <c r="D5" s="1296"/>
      <c r="E5" s="1296"/>
      <c r="F5" s="483"/>
    </row>
    <row r="6" spans="1:7" x14ac:dyDescent="0.25">
      <c r="B6" s="1318" t="s">
        <v>4</v>
      </c>
      <c r="C6" s="1318"/>
      <c r="D6" s="1318"/>
      <c r="E6" s="1318"/>
      <c r="F6" s="483"/>
    </row>
    <row r="7" spans="1:7" x14ac:dyDescent="0.25">
      <c r="B7" s="440"/>
      <c r="C7" s="440"/>
      <c r="D7" s="440"/>
      <c r="E7" s="440"/>
      <c r="F7" s="483"/>
    </row>
    <row r="8" spans="1:7" x14ac:dyDescent="0.25">
      <c r="B8" s="1296" t="s">
        <v>339</v>
      </c>
      <c r="C8" s="1296"/>
      <c r="D8" s="1296"/>
      <c r="E8" s="1296"/>
      <c r="F8" s="483"/>
    </row>
    <row r="9" spans="1:7" x14ac:dyDescent="0.25">
      <c r="B9" s="439"/>
      <c r="C9" s="439"/>
      <c r="D9" s="439"/>
      <c r="E9" s="439"/>
      <c r="F9" s="483"/>
    </row>
    <row r="10" spans="1:7" x14ac:dyDescent="0.25">
      <c r="A10" s="4" t="s">
        <v>5</v>
      </c>
      <c r="B10" s="321"/>
      <c r="C10" s="321"/>
      <c r="D10" s="322"/>
      <c r="E10" s="323"/>
      <c r="F10" s="4" t="s">
        <v>5</v>
      </c>
    </row>
    <row r="11" spans="1:7" x14ac:dyDescent="0.25">
      <c r="A11" s="4" t="s">
        <v>6</v>
      </c>
      <c r="B11" s="306" t="s">
        <v>255</v>
      </c>
      <c r="C11" s="306" t="s">
        <v>306</v>
      </c>
      <c r="D11" s="306" t="s">
        <v>7</v>
      </c>
      <c r="E11" s="275" t="s">
        <v>8</v>
      </c>
      <c r="F11" s="4" t="s">
        <v>6</v>
      </c>
    </row>
    <row r="12" spans="1:7" x14ac:dyDescent="0.25">
      <c r="A12" s="4"/>
      <c r="B12" s="324"/>
      <c r="C12" s="324"/>
      <c r="D12" s="324"/>
      <c r="E12" s="570"/>
      <c r="F12" s="341"/>
    </row>
    <row r="13" spans="1:7" x14ac:dyDescent="0.25">
      <c r="A13" s="4">
        <v>1</v>
      </c>
      <c r="B13" s="629" t="str">
        <f>'AJ-3'!B15</f>
        <v>Dec-23</v>
      </c>
      <c r="C13" s="326" t="s">
        <v>340</v>
      </c>
      <c r="D13" s="1021">
        <v>222557.44399999999</v>
      </c>
      <c r="E13" s="570" t="s">
        <v>1469</v>
      </c>
      <c r="F13" s="4">
        <f>A13</f>
        <v>1</v>
      </c>
    </row>
    <row r="14" spans="1:7" x14ac:dyDescent="0.25">
      <c r="A14" s="4">
        <f>A13+1</f>
        <v>2</v>
      </c>
      <c r="B14" s="326"/>
      <c r="C14" s="326" t="s">
        <v>342</v>
      </c>
      <c r="D14" s="247">
        <v>0.73899999999999999</v>
      </c>
      <c r="E14" s="967" t="s">
        <v>1470</v>
      </c>
      <c r="F14" s="4">
        <f>F13+1</f>
        <v>2</v>
      </c>
    </row>
    <row r="15" spans="1:7" x14ac:dyDescent="0.25">
      <c r="A15" s="4">
        <f t="shared" ref="A15:A16" si="0">A14+1</f>
        <v>3</v>
      </c>
      <c r="B15" s="326"/>
      <c r="C15" s="326" t="s">
        <v>785</v>
      </c>
      <c r="D15" s="1022">
        <f>D13*D14</f>
        <v>164469.95111599998</v>
      </c>
      <c r="E15" s="941" t="s">
        <v>786</v>
      </c>
      <c r="F15" s="4">
        <f t="shared" ref="F15:F16" si="1">F14+1</f>
        <v>3</v>
      </c>
    </row>
    <row r="16" spans="1:7" x14ac:dyDescent="0.25">
      <c r="A16" s="4">
        <f t="shared" si="0"/>
        <v>4</v>
      </c>
      <c r="B16" s="327"/>
      <c r="C16" s="306"/>
      <c r="D16" s="327"/>
      <c r="E16" s="291"/>
      <c r="F16" s="4">
        <f t="shared" si="1"/>
        <v>4</v>
      </c>
    </row>
    <row r="17" spans="1:6" x14ac:dyDescent="0.25">
      <c r="A17" s="4"/>
      <c r="B17" s="31"/>
      <c r="C17" s="31"/>
      <c r="D17" s="106"/>
      <c r="E17" s="31"/>
      <c r="F17" s="4"/>
    </row>
    <row r="18" spans="1:6" x14ac:dyDescent="0.25">
      <c r="B18" s="31"/>
      <c r="C18" s="31"/>
      <c r="D18" s="31"/>
      <c r="E18" s="31"/>
      <c r="F18" s="4"/>
    </row>
    <row r="19" spans="1:6" x14ac:dyDescent="0.25">
      <c r="B19" s="31"/>
      <c r="C19" s="31"/>
      <c r="D19" s="31"/>
      <c r="E19" s="31"/>
    </row>
    <row r="20" spans="1:6" x14ac:dyDescent="0.25">
      <c r="B20" s="31"/>
      <c r="C20" s="31"/>
      <c r="D20" s="31"/>
      <c r="E20" s="3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workbookViewId="0"/>
  </sheetViews>
  <sheetFormatPr defaultColWidth="8.7109375" defaultRowHeight="15.75" x14ac:dyDescent="0.25"/>
  <cols>
    <col min="1" max="1" width="5.28515625" style="4" customWidth="1"/>
    <col min="2" max="2" width="15.28515625" style="31" customWidth="1"/>
    <col min="3" max="3" width="25.7109375" style="31" customWidth="1"/>
    <col min="4" max="6" width="16.7109375" style="4" customWidth="1"/>
    <col min="7" max="7" width="5.28515625" style="4" customWidth="1"/>
    <col min="8" max="8" width="10.7109375" style="31" customWidth="1"/>
    <col min="9" max="9" width="8.28515625" style="31" bestFit="1" customWidth="1"/>
    <col min="10" max="16384" width="8.7109375" style="31"/>
  </cols>
  <sheetData>
    <row r="2" spans="1:9" x14ac:dyDescent="0.25">
      <c r="B2" s="1294" t="s">
        <v>0</v>
      </c>
      <c r="C2" s="1294"/>
      <c r="D2" s="1294"/>
      <c r="E2" s="1294"/>
      <c r="F2" s="1294"/>
    </row>
    <row r="3" spans="1:9" x14ac:dyDescent="0.25">
      <c r="B3" s="1296" t="s">
        <v>681</v>
      </c>
      <c r="C3" s="1296"/>
      <c r="D3" s="1296"/>
      <c r="E3" s="1296"/>
      <c r="F3" s="1296"/>
      <c r="G3" s="341"/>
    </row>
    <row r="4" spans="1:9" x14ac:dyDescent="0.25">
      <c r="B4" s="1296" t="s">
        <v>1570</v>
      </c>
      <c r="C4" s="1296"/>
      <c r="D4" s="1296"/>
      <c r="E4" s="1296"/>
      <c r="F4" s="1296"/>
      <c r="G4" s="341"/>
    </row>
    <row r="5" spans="1:9" x14ac:dyDescent="0.25">
      <c r="B5" s="1322" t="s">
        <v>1567</v>
      </c>
      <c r="C5" s="1322"/>
      <c r="D5" s="1322"/>
      <c r="E5" s="1322"/>
      <c r="F5" s="1322"/>
      <c r="G5" s="341"/>
    </row>
    <row r="6" spans="1:9" x14ac:dyDescent="0.25">
      <c r="B6" s="1322" t="s">
        <v>1468</v>
      </c>
      <c r="C6" s="1322"/>
      <c r="D6" s="1322"/>
      <c r="E6" s="1322"/>
      <c r="F6" s="1322"/>
      <c r="G6" s="341"/>
    </row>
    <row r="7" spans="1:9" x14ac:dyDescent="0.25">
      <c r="A7" s="341"/>
      <c r="B7" s="341"/>
      <c r="C7" s="5"/>
      <c r="D7" s="341"/>
      <c r="E7" s="341"/>
      <c r="F7" s="341"/>
      <c r="G7" s="341"/>
    </row>
    <row r="8" spans="1:9" x14ac:dyDescent="0.25">
      <c r="A8" s="341"/>
      <c r="B8" s="1296" t="s">
        <v>1501</v>
      </c>
      <c r="C8" s="1296"/>
      <c r="D8" s="1296"/>
      <c r="E8" s="1296"/>
      <c r="F8" s="1296"/>
      <c r="G8" s="341"/>
    </row>
    <row r="9" spans="1:9" x14ac:dyDescent="0.25">
      <c r="A9" s="483"/>
      <c r="B9" s="1319" t="s">
        <v>1502</v>
      </c>
      <c r="C9" s="1320"/>
      <c r="D9" s="1320"/>
      <c r="E9" s="1320"/>
      <c r="F9" s="1321"/>
      <c r="G9" s="341"/>
    </row>
    <row r="10" spans="1:9" x14ac:dyDescent="0.25">
      <c r="A10" s="483"/>
      <c r="B10" s="1023"/>
      <c r="C10" s="1023"/>
      <c r="D10" s="1024" t="s">
        <v>184</v>
      </c>
      <c r="E10" s="1023" t="s">
        <v>185</v>
      </c>
      <c r="F10" s="1025" t="s">
        <v>682</v>
      </c>
      <c r="G10" s="341"/>
    </row>
    <row r="11" spans="1:9" x14ac:dyDescent="0.25">
      <c r="A11" s="341" t="s">
        <v>5</v>
      </c>
      <c r="B11" s="830" t="s">
        <v>449</v>
      </c>
      <c r="C11" s="483"/>
      <c r="D11" s="830" t="s">
        <v>683</v>
      </c>
      <c r="E11" s="830" t="s">
        <v>684</v>
      </c>
      <c r="F11" s="830" t="s">
        <v>177</v>
      </c>
      <c r="G11" s="341" t="s">
        <v>5</v>
      </c>
    </row>
    <row r="12" spans="1:9" x14ac:dyDescent="0.25">
      <c r="A12" s="341" t="s">
        <v>6</v>
      </c>
      <c r="B12" s="441" t="s">
        <v>305</v>
      </c>
      <c r="C12" s="441" t="s">
        <v>306</v>
      </c>
      <c r="D12" s="1026" t="s">
        <v>685</v>
      </c>
      <c r="E12" s="635" t="s">
        <v>685</v>
      </c>
      <c r="F12" s="441" t="s">
        <v>685</v>
      </c>
      <c r="G12" s="341" t="s">
        <v>6</v>
      </c>
      <c r="I12" s="218"/>
    </row>
    <row r="13" spans="1:9" x14ac:dyDescent="0.25">
      <c r="A13" s="341"/>
      <c r="B13" s="1027"/>
      <c r="C13" s="1027"/>
      <c r="D13" s="483"/>
      <c r="E13" s="830"/>
      <c r="F13" s="830"/>
      <c r="G13" s="341"/>
    </row>
    <row r="14" spans="1:9" x14ac:dyDescent="0.25">
      <c r="A14" s="341">
        <v>1</v>
      </c>
      <c r="B14" s="1028" t="s">
        <v>787</v>
      </c>
      <c r="C14" s="1029" t="s">
        <v>788</v>
      </c>
      <c r="D14" s="1030">
        <v>3.0700000000000002E-2</v>
      </c>
      <c r="E14" s="1031">
        <v>4.8999999999999998E-3</v>
      </c>
      <c r="F14" s="1032">
        <f>D14+E14</f>
        <v>3.56E-2</v>
      </c>
      <c r="G14" s="341">
        <f>A14</f>
        <v>1</v>
      </c>
      <c r="I14" s="47"/>
    </row>
    <row r="15" spans="1:9" x14ac:dyDescent="0.25">
      <c r="A15" s="341">
        <f t="shared" ref="A15:A27" si="0">A14+1</f>
        <v>2</v>
      </c>
      <c r="B15" s="1033" t="s">
        <v>789</v>
      </c>
      <c r="C15" s="1001" t="s">
        <v>790</v>
      </c>
      <c r="D15" s="1030">
        <v>5.67E-2</v>
      </c>
      <c r="E15" s="1031">
        <v>0</v>
      </c>
      <c r="F15" s="1032">
        <f t="shared" ref="F15:F26" si="1">D15+E15</f>
        <v>5.67E-2</v>
      </c>
      <c r="G15" s="341">
        <f t="shared" ref="G15:G27" si="2">G14+1</f>
        <v>2</v>
      </c>
      <c r="I15" s="47"/>
    </row>
    <row r="16" spans="1:9" x14ac:dyDescent="0.25">
      <c r="A16" s="341">
        <f t="shared" si="0"/>
        <v>3</v>
      </c>
      <c r="B16" s="1028" t="s">
        <v>791</v>
      </c>
      <c r="C16" s="1029" t="s">
        <v>792</v>
      </c>
      <c r="D16" s="1030">
        <v>0.20630000000000001</v>
      </c>
      <c r="E16" s="1031">
        <v>0</v>
      </c>
      <c r="F16" s="1032">
        <f t="shared" si="1"/>
        <v>0.20630000000000001</v>
      </c>
      <c r="G16" s="341">
        <f t="shared" si="2"/>
        <v>3</v>
      </c>
      <c r="I16" s="47"/>
    </row>
    <row r="17" spans="1:9" x14ac:dyDescent="0.25">
      <c r="A17" s="341">
        <f t="shared" si="0"/>
        <v>4</v>
      </c>
      <c r="B17" s="1028" t="s">
        <v>793</v>
      </c>
      <c r="C17" s="1029" t="s">
        <v>756</v>
      </c>
      <c r="D17" s="1030">
        <v>7.0000000000000007E-2</v>
      </c>
      <c r="E17" s="1031">
        <v>0</v>
      </c>
      <c r="F17" s="1032">
        <f t="shared" si="1"/>
        <v>7.0000000000000007E-2</v>
      </c>
      <c r="G17" s="341">
        <f t="shared" si="2"/>
        <v>4</v>
      </c>
      <c r="I17" s="47"/>
    </row>
    <row r="18" spans="1:9" x14ac:dyDescent="0.25">
      <c r="A18" s="341">
        <f t="shared" si="0"/>
        <v>5</v>
      </c>
      <c r="B18" s="1028" t="s">
        <v>794</v>
      </c>
      <c r="C18" s="1029" t="s">
        <v>758</v>
      </c>
      <c r="D18" s="1030">
        <v>4.7600000000000003E-2</v>
      </c>
      <c r="E18" s="1031">
        <v>0</v>
      </c>
      <c r="F18" s="1032">
        <f t="shared" si="1"/>
        <v>4.7600000000000003E-2</v>
      </c>
      <c r="G18" s="341">
        <f t="shared" si="2"/>
        <v>5</v>
      </c>
      <c r="I18" s="47"/>
    </row>
    <row r="19" spans="1:9" x14ac:dyDescent="0.25">
      <c r="A19" s="341">
        <f t="shared" si="0"/>
        <v>6</v>
      </c>
      <c r="B19" s="1033" t="s">
        <v>795</v>
      </c>
      <c r="C19" s="1001" t="s">
        <v>796</v>
      </c>
      <c r="D19" s="1034">
        <v>9.4899999999999998E-2</v>
      </c>
      <c r="E19" s="636">
        <v>0</v>
      </c>
      <c r="F19" s="1032">
        <f t="shared" si="1"/>
        <v>9.4899999999999998E-2</v>
      </c>
      <c r="G19" s="341">
        <f t="shared" si="2"/>
        <v>6</v>
      </c>
      <c r="I19" s="47"/>
    </row>
    <row r="20" spans="1:9" x14ac:dyDescent="0.25">
      <c r="A20" s="341">
        <f t="shared" si="0"/>
        <v>7</v>
      </c>
      <c r="B20" s="1028" t="s">
        <v>797</v>
      </c>
      <c r="C20" s="1029" t="s">
        <v>760</v>
      </c>
      <c r="D20" s="1030">
        <v>4.6800000000000001E-2</v>
      </c>
      <c r="E20" s="1031">
        <v>0</v>
      </c>
      <c r="F20" s="1032">
        <f t="shared" si="1"/>
        <v>4.6800000000000001E-2</v>
      </c>
      <c r="G20" s="341">
        <f t="shared" si="2"/>
        <v>7</v>
      </c>
      <c r="I20" s="47"/>
    </row>
    <row r="21" spans="1:9" x14ac:dyDescent="0.25">
      <c r="A21" s="341">
        <f t="shared" si="0"/>
        <v>8</v>
      </c>
      <c r="B21" s="1033" t="s">
        <v>798</v>
      </c>
      <c r="C21" s="1001" t="s">
        <v>762</v>
      </c>
      <c r="D21" s="1030">
        <v>4.02E-2</v>
      </c>
      <c r="E21" s="1031">
        <v>0</v>
      </c>
      <c r="F21" s="1032">
        <f t="shared" si="1"/>
        <v>4.02E-2</v>
      </c>
      <c r="G21" s="341">
        <f t="shared" si="2"/>
        <v>8</v>
      </c>
      <c r="I21" s="47"/>
    </row>
    <row r="22" spans="1:9" x14ac:dyDescent="0.25">
      <c r="A22" s="341">
        <f t="shared" si="0"/>
        <v>9</v>
      </c>
      <c r="B22" s="1028" t="s">
        <v>799</v>
      </c>
      <c r="C22" s="1029" t="s">
        <v>800</v>
      </c>
      <c r="D22" s="1030">
        <v>1.6299999999999999E-2</v>
      </c>
      <c r="E22" s="1031">
        <v>0</v>
      </c>
      <c r="F22" s="1032">
        <f t="shared" si="1"/>
        <v>1.6299999999999999E-2</v>
      </c>
      <c r="G22" s="341">
        <f t="shared" si="2"/>
        <v>9</v>
      </c>
      <c r="I22" s="47"/>
    </row>
    <row r="23" spans="1:9" x14ac:dyDescent="0.25">
      <c r="A23" s="341">
        <f t="shared" si="0"/>
        <v>10</v>
      </c>
      <c r="B23" s="1033" t="s">
        <v>801</v>
      </c>
      <c r="C23" s="1001" t="s">
        <v>802</v>
      </c>
      <c r="D23" s="1030">
        <v>6.0900000000000003E-2</v>
      </c>
      <c r="E23" s="1031">
        <v>0</v>
      </c>
      <c r="F23" s="1032">
        <f t="shared" si="1"/>
        <v>6.0900000000000003E-2</v>
      </c>
      <c r="G23" s="341">
        <f t="shared" si="2"/>
        <v>10</v>
      </c>
      <c r="I23" s="47"/>
    </row>
    <row r="24" spans="1:9" x14ac:dyDescent="0.25">
      <c r="A24" s="341">
        <f t="shared" si="0"/>
        <v>11</v>
      </c>
      <c r="B24" s="1028" t="s">
        <v>803</v>
      </c>
      <c r="C24" s="1029" t="s">
        <v>766</v>
      </c>
      <c r="D24" s="1030">
        <v>4.2999999999999997E-2</v>
      </c>
      <c r="E24" s="1031">
        <v>0</v>
      </c>
      <c r="F24" s="1032">
        <f t="shared" si="1"/>
        <v>4.2999999999999997E-2</v>
      </c>
      <c r="G24" s="341">
        <f t="shared" si="2"/>
        <v>11</v>
      </c>
      <c r="I24" s="47"/>
    </row>
    <row r="25" spans="1:9" x14ac:dyDescent="0.25">
      <c r="A25" s="341">
        <f t="shared" si="0"/>
        <v>12</v>
      </c>
      <c r="B25" s="1028" t="s">
        <v>804</v>
      </c>
      <c r="C25" s="1029" t="s">
        <v>768</v>
      </c>
      <c r="D25" s="1030">
        <v>7.7600000000000002E-2</v>
      </c>
      <c r="E25" s="1031">
        <v>0</v>
      </c>
      <c r="F25" s="1032">
        <f t="shared" si="1"/>
        <v>7.7600000000000002E-2</v>
      </c>
      <c r="G25" s="341">
        <f t="shared" si="2"/>
        <v>12</v>
      </c>
      <c r="I25" s="47"/>
    </row>
    <row r="26" spans="1:9" x14ac:dyDescent="0.25">
      <c r="A26" s="341">
        <f t="shared" si="0"/>
        <v>13</v>
      </c>
      <c r="B26" s="1033" t="s">
        <v>805</v>
      </c>
      <c r="C26" s="1001" t="s">
        <v>776</v>
      </c>
      <c r="D26" s="1030">
        <v>6.5199999999999994E-2</v>
      </c>
      <c r="E26" s="1031">
        <v>0</v>
      </c>
      <c r="F26" s="1032">
        <f t="shared" si="1"/>
        <v>6.5199999999999994E-2</v>
      </c>
      <c r="G26" s="341">
        <f t="shared" si="2"/>
        <v>13</v>
      </c>
    </row>
    <row r="27" spans="1:9" x14ac:dyDescent="0.25">
      <c r="A27" s="341">
        <f t="shared" si="0"/>
        <v>14</v>
      </c>
      <c r="B27" s="1035"/>
      <c r="C27" s="1029"/>
      <c r="D27" s="1036" t="s">
        <v>1</v>
      </c>
      <c r="E27" s="1028" t="s">
        <v>1</v>
      </c>
      <c r="F27" s="1028" t="s">
        <v>1</v>
      </c>
      <c r="G27" s="341">
        <f t="shared" si="2"/>
        <v>14</v>
      </c>
    </row>
    <row r="28" spans="1:9" x14ac:dyDescent="0.25">
      <c r="A28" s="341"/>
      <c r="B28" s="5"/>
      <c r="C28" s="5"/>
      <c r="D28" s="341"/>
      <c r="E28" s="341"/>
      <c r="F28" s="341"/>
      <c r="G28" s="341"/>
    </row>
    <row r="29" spans="1:9" ht="18.75" x14ac:dyDescent="0.25">
      <c r="A29" s="266"/>
      <c r="B29" s="32" t="s">
        <v>806</v>
      </c>
    </row>
    <row r="30" spans="1:9" x14ac:dyDescent="0.25">
      <c r="B30" s="32" t="s">
        <v>780</v>
      </c>
    </row>
    <row r="31" spans="1:9" ht="18.75" x14ac:dyDescent="0.25">
      <c r="A31" s="266"/>
      <c r="B31" s="31" t="s">
        <v>781</v>
      </c>
    </row>
    <row r="32" spans="1:9" x14ac:dyDescent="0.25">
      <c r="B32" s="31" t="s">
        <v>782</v>
      </c>
    </row>
    <row r="33" spans="2:6" x14ac:dyDescent="0.25">
      <c r="B33" s="31" t="s">
        <v>783</v>
      </c>
      <c r="D33" s="31"/>
      <c r="E33" s="31"/>
      <c r="F33" s="31"/>
    </row>
    <row r="34" spans="2:6" x14ac:dyDescent="0.25">
      <c r="B34" s="31" t="s">
        <v>784</v>
      </c>
      <c r="D34" s="31"/>
      <c r="E34" s="31"/>
      <c r="F34" s="31"/>
    </row>
    <row r="35" spans="2:6" x14ac:dyDescent="0.25">
      <c r="B35" s="32"/>
    </row>
    <row r="36" spans="2:6" x14ac:dyDescent="0.25">
      <c r="B36" s="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workbookViewId="0"/>
  </sheetViews>
  <sheetFormatPr defaultColWidth="9.28515625" defaultRowHeight="15.75" x14ac:dyDescent="0.25"/>
  <cols>
    <col min="1" max="1" width="5.28515625" style="218" customWidth="1"/>
    <col min="2" max="2" width="8.5703125" style="1" customWidth="1"/>
    <col min="3" max="3" width="53.28515625" style="1" customWidth="1"/>
    <col min="4" max="4" width="18.5703125" style="1" customWidth="1"/>
    <col min="5" max="5" width="27.7109375" style="1" customWidth="1"/>
    <col min="6" max="6" width="18.5703125" style="1" customWidth="1"/>
    <col min="7" max="7" width="27.7109375" style="1" customWidth="1"/>
    <col min="8" max="9" width="5.28515625" style="218" customWidth="1"/>
    <col min="10" max="10" width="9.42578125" style="1" bestFit="1" customWidth="1"/>
    <col min="11" max="16384" width="9.28515625" style="1"/>
  </cols>
  <sheetData>
    <row r="2" spans="1:12" x14ac:dyDescent="0.25">
      <c r="B2" s="1294" t="s">
        <v>0</v>
      </c>
      <c r="C2" s="1294"/>
      <c r="D2" s="1294"/>
      <c r="E2" s="1294"/>
      <c r="F2" s="1294"/>
      <c r="G2" s="1294"/>
    </row>
    <row r="3" spans="1:12" x14ac:dyDescent="0.25">
      <c r="B3" s="1294" t="s">
        <v>642</v>
      </c>
      <c r="C3" s="1294"/>
      <c r="D3" s="1294"/>
      <c r="E3" s="1294"/>
      <c r="F3" s="1294"/>
      <c r="G3" s="1294"/>
    </row>
    <row r="4" spans="1:12" x14ac:dyDescent="0.25">
      <c r="B4" s="1294" t="s">
        <v>807</v>
      </c>
      <c r="C4" s="1294"/>
      <c r="D4" s="1294"/>
      <c r="E4" s="1294"/>
      <c r="F4" s="1294"/>
      <c r="G4" s="1294"/>
    </row>
    <row r="5" spans="1:12" x14ac:dyDescent="0.25">
      <c r="B5" s="1294" t="str">
        <f>'AD-1'!B5</f>
        <v>BASE PERIOD / TRUE UP PERIOD - 12/31/2023 PER BOOK</v>
      </c>
      <c r="C5" s="1294"/>
      <c r="D5" s="1294"/>
      <c r="E5" s="1294"/>
      <c r="F5" s="1294"/>
      <c r="G5" s="1294"/>
    </row>
    <row r="6" spans="1:12" x14ac:dyDescent="0.25">
      <c r="B6" s="1294" t="s">
        <v>4</v>
      </c>
      <c r="C6" s="1294"/>
      <c r="D6" s="1294"/>
      <c r="E6" s="1294"/>
      <c r="F6" s="1294"/>
      <c r="G6" s="1294"/>
    </row>
    <row r="7" spans="1:12" x14ac:dyDescent="0.25">
      <c r="B7" s="218"/>
      <c r="C7" s="218"/>
      <c r="D7" s="218"/>
      <c r="E7" s="218"/>
      <c r="F7" s="218"/>
      <c r="G7" s="218"/>
    </row>
    <row r="8" spans="1:12" x14ac:dyDescent="0.25">
      <c r="B8" s="1294" t="s">
        <v>329</v>
      </c>
      <c r="C8" s="1294"/>
      <c r="D8" s="1294"/>
      <c r="E8" s="1294"/>
      <c r="F8" s="1294"/>
      <c r="G8" s="1294"/>
    </row>
    <row r="9" spans="1:12" x14ac:dyDescent="0.25">
      <c r="B9" s="992"/>
      <c r="C9" s="969"/>
      <c r="D9" s="969"/>
      <c r="E9" s="969"/>
      <c r="F9" s="969"/>
    </row>
    <row r="10" spans="1:12" x14ac:dyDescent="0.25">
      <c r="B10" s="993"/>
      <c r="C10" s="927"/>
      <c r="D10" s="928" t="s">
        <v>330</v>
      </c>
      <c r="E10" s="928"/>
      <c r="F10" s="928" t="s">
        <v>330</v>
      </c>
      <c r="G10" s="928"/>
      <c r="H10" s="4"/>
      <c r="I10" s="4"/>
    </row>
    <row r="11" spans="1:12" s="218" customFormat="1" x14ac:dyDescent="0.25">
      <c r="A11" s="4"/>
      <c r="B11" s="270"/>
      <c r="C11" s="270"/>
      <c r="D11" s="270" t="s">
        <v>290</v>
      </c>
      <c r="E11" s="270"/>
      <c r="F11" s="270" t="s">
        <v>290</v>
      </c>
      <c r="G11" s="270"/>
      <c r="H11" s="4"/>
      <c r="I11" s="4"/>
      <c r="K11" s="1"/>
      <c r="L11" s="1"/>
    </row>
    <row r="12" spans="1:12" x14ac:dyDescent="0.25">
      <c r="A12" s="4" t="s">
        <v>5</v>
      </c>
      <c r="B12" s="270" t="s">
        <v>305</v>
      </c>
      <c r="C12" s="270"/>
      <c r="D12" s="270" t="s">
        <v>644</v>
      </c>
      <c r="E12" s="270"/>
      <c r="F12" s="270" t="s">
        <v>644</v>
      </c>
      <c r="G12" s="270"/>
      <c r="H12" s="4" t="s">
        <v>5</v>
      </c>
      <c r="I12" s="4"/>
    </row>
    <row r="13" spans="1:12" x14ac:dyDescent="0.25">
      <c r="A13" s="4" t="s">
        <v>6</v>
      </c>
      <c r="B13" s="275" t="s">
        <v>6</v>
      </c>
      <c r="C13" s="275" t="s">
        <v>306</v>
      </c>
      <c r="D13" s="275" t="s">
        <v>256</v>
      </c>
      <c r="E13" s="275" t="s">
        <v>8</v>
      </c>
      <c r="F13" s="275" t="s">
        <v>808</v>
      </c>
      <c r="G13" s="275" t="s">
        <v>8</v>
      </c>
      <c r="H13" s="4" t="s">
        <v>6</v>
      </c>
      <c r="I13" s="4"/>
    </row>
    <row r="14" spans="1:12" x14ac:dyDescent="0.25">
      <c r="A14" s="4">
        <v>1</v>
      </c>
      <c r="B14" s="935">
        <v>303</v>
      </c>
      <c r="C14" s="995" t="s">
        <v>314</v>
      </c>
      <c r="D14" s="232">
        <v>0</v>
      </c>
      <c r="E14" s="935" t="s">
        <v>258</v>
      </c>
      <c r="F14" s="232">
        <v>0</v>
      </c>
      <c r="G14" s="570" t="s">
        <v>258</v>
      </c>
      <c r="H14" s="4">
        <f>A14</f>
        <v>1</v>
      </c>
      <c r="I14" s="4"/>
    </row>
    <row r="15" spans="1:12" x14ac:dyDescent="0.25">
      <c r="A15" s="4">
        <f>A14+1</f>
        <v>2</v>
      </c>
      <c r="B15" s="935">
        <v>350</v>
      </c>
      <c r="C15" s="995" t="s">
        <v>645</v>
      </c>
      <c r="D15" s="233">
        <v>0</v>
      </c>
      <c r="E15" s="1001"/>
      <c r="F15" s="233">
        <v>0</v>
      </c>
      <c r="G15" s="892"/>
      <c r="H15" s="4">
        <f>H14+1</f>
        <v>2</v>
      </c>
      <c r="I15" s="4"/>
    </row>
    <row r="16" spans="1:12" x14ac:dyDescent="0.25">
      <c r="A16" s="4">
        <f t="shared" ref="A16:A29" si="0">A15+1</f>
        <v>3</v>
      </c>
      <c r="B16" s="950">
        <v>351.1</v>
      </c>
      <c r="C16" s="234" t="s">
        <v>1544</v>
      </c>
      <c r="D16" s="233">
        <v>0</v>
      </c>
      <c r="E16" s="1101"/>
      <c r="F16" s="233">
        <v>0</v>
      </c>
      <c r="G16" s="1102"/>
      <c r="H16" s="4">
        <f t="shared" ref="H16:H29" si="1">H15+1</f>
        <v>3</v>
      </c>
      <c r="I16" s="358"/>
    </row>
    <row r="17" spans="1:10" x14ac:dyDescent="0.25">
      <c r="A17" s="4">
        <f t="shared" si="0"/>
        <v>4</v>
      </c>
      <c r="B17" s="950">
        <v>351.2</v>
      </c>
      <c r="C17" s="234" t="s">
        <v>1545</v>
      </c>
      <c r="D17" s="233">
        <v>0</v>
      </c>
      <c r="E17" s="1101"/>
      <c r="F17" s="233">
        <v>0</v>
      </c>
      <c r="G17" s="1102"/>
      <c r="H17" s="4">
        <f t="shared" si="1"/>
        <v>4</v>
      </c>
      <c r="I17" s="358"/>
    </row>
    <row r="18" spans="1:10" x14ac:dyDescent="0.25">
      <c r="A18" s="4">
        <f t="shared" si="0"/>
        <v>5</v>
      </c>
      <c r="B18" s="950">
        <v>351.3</v>
      </c>
      <c r="C18" s="234" t="s">
        <v>1546</v>
      </c>
      <c r="D18" s="233">
        <v>0</v>
      </c>
      <c r="E18" s="1101"/>
      <c r="F18" s="233">
        <v>0</v>
      </c>
      <c r="G18" s="1102"/>
      <c r="H18" s="4">
        <f t="shared" si="1"/>
        <v>5</v>
      </c>
      <c r="I18" s="358"/>
    </row>
    <row r="19" spans="1:10" x14ac:dyDescent="0.25">
      <c r="A19" s="4">
        <f t="shared" si="0"/>
        <v>6</v>
      </c>
      <c r="B19" s="935">
        <v>352</v>
      </c>
      <c r="C19" s="234" t="s">
        <v>646</v>
      </c>
      <c r="D19" s="233">
        <v>0</v>
      </c>
      <c r="E19" s="1001"/>
      <c r="F19" s="233">
        <v>0</v>
      </c>
      <c r="G19" s="892"/>
      <c r="H19" s="4">
        <f t="shared" si="1"/>
        <v>6</v>
      </c>
      <c r="I19" s="358"/>
    </row>
    <row r="20" spans="1:10" x14ac:dyDescent="0.25">
      <c r="A20" s="4">
        <f t="shared" si="0"/>
        <v>7</v>
      </c>
      <c r="B20" s="935">
        <v>353</v>
      </c>
      <c r="C20" s="234" t="s">
        <v>320</v>
      </c>
      <c r="D20" s="233">
        <v>0</v>
      </c>
      <c r="E20" s="1001"/>
      <c r="F20" s="233">
        <v>0</v>
      </c>
      <c r="G20" s="892"/>
      <c r="H20" s="4">
        <f t="shared" si="1"/>
        <v>7</v>
      </c>
      <c r="I20" s="358"/>
    </row>
    <row r="21" spans="1:10" x14ac:dyDescent="0.25">
      <c r="A21" s="4">
        <f t="shared" si="0"/>
        <v>8</v>
      </c>
      <c r="B21" s="935">
        <v>354</v>
      </c>
      <c r="C21" s="234" t="s">
        <v>321</v>
      </c>
      <c r="D21" s="233">
        <v>0</v>
      </c>
      <c r="E21" s="1001"/>
      <c r="F21" s="233">
        <v>0</v>
      </c>
      <c r="G21" s="892"/>
      <c r="H21" s="4">
        <f t="shared" si="1"/>
        <v>8</v>
      </c>
      <c r="I21" s="358"/>
    </row>
    <row r="22" spans="1:10" x14ac:dyDescent="0.25">
      <c r="A22" s="4">
        <f t="shared" si="0"/>
        <v>9</v>
      </c>
      <c r="B22" s="935">
        <v>355</v>
      </c>
      <c r="C22" s="234" t="s">
        <v>322</v>
      </c>
      <c r="D22" s="233">
        <v>0</v>
      </c>
      <c r="E22" s="1001"/>
      <c r="F22" s="233">
        <v>0</v>
      </c>
      <c r="G22" s="892"/>
      <c r="H22" s="4">
        <f t="shared" si="1"/>
        <v>9</v>
      </c>
      <c r="I22" s="358"/>
    </row>
    <row r="23" spans="1:10" x14ac:dyDescent="0.25">
      <c r="A23" s="4">
        <f t="shared" si="0"/>
        <v>10</v>
      </c>
      <c r="B23" s="935">
        <v>356</v>
      </c>
      <c r="C23" s="234" t="s">
        <v>647</v>
      </c>
      <c r="D23" s="233">
        <v>0</v>
      </c>
      <c r="E23" s="1001"/>
      <c r="F23" s="233">
        <v>0</v>
      </c>
      <c r="G23" s="892"/>
      <c r="H23" s="4">
        <f t="shared" si="1"/>
        <v>10</v>
      </c>
      <c r="I23" s="358"/>
    </row>
    <row r="24" spans="1:10" x14ac:dyDescent="0.25">
      <c r="A24" s="4">
        <f t="shared" si="0"/>
        <v>11</v>
      </c>
      <c r="B24" s="935">
        <v>357</v>
      </c>
      <c r="C24" s="234" t="s">
        <v>324</v>
      </c>
      <c r="D24" s="233">
        <v>0</v>
      </c>
      <c r="E24" s="1001"/>
      <c r="F24" s="233">
        <v>0</v>
      </c>
      <c r="G24" s="892"/>
      <c r="H24" s="4">
        <f t="shared" si="1"/>
        <v>11</v>
      </c>
      <c r="I24" s="358"/>
    </row>
    <row r="25" spans="1:10" x14ac:dyDescent="0.25">
      <c r="A25" s="4">
        <f t="shared" si="0"/>
        <v>12</v>
      </c>
      <c r="B25" s="935">
        <v>358</v>
      </c>
      <c r="C25" s="234" t="s">
        <v>648</v>
      </c>
      <c r="D25" s="233">
        <v>0</v>
      </c>
      <c r="E25" s="1001"/>
      <c r="F25" s="233">
        <v>0</v>
      </c>
      <c r="G25" s="892"/>
      <c r="H25" s="4">
        <f t="shared" si="1"/>
        <v>12</v>
      </c>
      <c r="I25" s="358"/>
    </row>
    <row r="26" spans="1:10" x14ac:dyDescent="0.25">
      <c r="A26" s="4">
        <f t="shared" si="0"/>
        <v>13</v>
      </c>
      <c r="B26" s="419">
        <v>359</v>
      </c>
      <c r="C26" s="285" t="s">
        <v>649</v>
      </c>
      <c r="D26" s="94">
        <v>0</v>
      </c>
      <c r="E26" s="592" t="s">
        <v>258</v>
      </c>
      <c r="F26" s="94">
        <v>0</v>
      </c>
      <c r="G26" s="592" t="s">
        <v>258</v>
      </c>
      <c r="H26" s="4">
        <f t="shared" si="1"/>
        <v>13</v>
      </c>
      <c r="I26" s="358"/>
    </row>
    <row r="27" spans="1:10" x14ac:dyDescent="0.25">
      <c r="A27" s="4">
        <f t="shared" si="0"/>
        <v>14</v>
      </c>
      <c r="B27" s="278"/>
      <c r="C27" s="278"/>
      <c r="D27" s="1037"/>
      <c r="E27" s="1037"/>
      <c r="F27" s="278"/>
      <c r="G27" s="1037"/>
      <c r="H27" s="4">
        <f t="shared" si="1"/>
        <v>14</v>
      </c>
      <c r="I27" s="358"/>
    </row>
    <row r="28" spans="1:10" x14ac:dyDescent="0.25">
      <c r="A28" s="4">
        <f t="shared" si="0"/>
        <v>15</v>
      </c>
      <c r="B28" s="278"/>
      <c r="C28" s="278" t="s">
        <v>809</v>
      </c>
      <c r="D28" s="1087">
        <f>SUM(D14:D26)</f>
        <v>0</v>
      </c>
      <c r="E28" s="935" t="s">
        <v>272</v>
      </c>
      <c r="F28" s="43">
        <f>SUM(F14:F26)</f>
        <v>0</v>
      </c>
      <c r="G28" s="935" t="s">
        <v>272</v>
      </c>
      <c r="H28" s="4">
        <f t="shared" si="1"/>
        <v>15</v>
      </c>
      <c r="I28" s="358"/>
      <c r="J28" s="442"/>
    </row>
    <row r="29" spans="1:10" x14ac:dyDescent="0.25">
      <c r="A29" s="4">
        <f t="shared" si="0"/>
        <v>16</v>
      </c>
      <c r="B29" s="117"/>
      <c r="C29" s="117"/>
      <c r="D29" s="443"/>
      <c r="E29" s="443"/>
      <c r="F29" s="117"/>
      <c r="G29" s="443"/>
      <c r="H29" s="4">
        <f t="shared" si="1"/>
        <v>16</v>
      </c>
      <c r="I29" s="358"/>
    </row>
    <row r="30" spans="1:10" x14ac:dyDescent="0.25">
      <c r="A30" s="4"/>
    </row>
    <row r="31" spans="1:10" x14ac:dyDescent="0.25">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workbookViewId="0"/>
  </sheetViews>
  <sheetFormatPr defaultColWidth="9.28515625" defaultRowHeight="15.75" x14ac:dyDescent="0.25"/>
  <cols>
    <col min="1" max="1" width="5.28515625" style="218" customWidth="1"/>
    <col min="2" max="2" width="35.28515625" style="1" customWidth="1"/>
    <col min="3" max="3" width="19.28515625" style="1" customWidth="1"/>
    <col min="4" max="4" width="62.5703125" style="1" customWidth="1"/>
    <col min="5" max="5" width="5.28515625" style="218"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94" t="s">
        <v>0</v>
      </c>
      <c r="C2" s="1294"/>
      <c r="D2" s="1294"/>
    </row>
    <row r="3" spans="1:5" x14ac:dyDescent="0.25">
      <c r="B3" s="1294" t="s">
        <v>642</v>
      </c>
      <c r="C3" s="1294"/>
      <c r="D3" s="1294"/>
    </row>
    <row r="4" spans="1:5" x14ac:dyDescent="0.25">
      <c r="B4" s="1294" t="s">
        <v>729</v>
      </c>
      <c r="C4" s="1294"/>
      <c r="D4" s="1294"/>
    </row>
    <row r="5" spans="1:5" x14ac:dyDescent="0.25">
      <c r="B5" s="1294" t="str">
        <f>'AD-1'!B5</f>
        <v>BASE PERIOD / TRUE UP PERIOD - 12/31/2023 PER BOOK</v>
      </c>
      <c r="C5" s="1294"/>
      <c r="D5" s="1294"/>
    </row>
    <row r="6" spans="1:5" x14ac:dyDescent="0.25">
      <c r="B6" s="1299" t="s">
        <v>4</v>
      </c>
      <c r="C6" s="1299"/>
      <c r="D6" s="1299"/>
    </row>
    <row r="7" spans="1:5" x14ac:dyDescent="0.25">
      <c r="B7" s="267"/>
      <c r="C7" s="267"/>
      <c r="D7" s="267"/>
    </row>
    <row r="8" spans="1:5" x14ac:dyDescent="0.25">
      <c r="B8" s="1294" t="s">
        <v>810</v>
      </c>
      <c r="C8" s="1294"/>
      <c r="D8" s="1294"/>
    </row>
    <row r="10" spans="1:5" x14ac:dyDescent="0.25">
      <c r="B10" s="927"/>
      <c r="C10" s="928" t="s">
        <v>388</v>
      </c>
      <c r="D10" s="928"/>
    </row>
    <row r="11" spans="1:5" x14ac:dyDescent="0.25">
      <c r="B11" s="278"/>
      <c r="C11" s="270" t="s">
        <v>56</v>
      </c>
      <c r="D11" s="270"/>
    </row>
    <row r="12" spans="1:5" x14ac:dyDescent="0.25">
      <c r="B12" s="270"/>
      <c r="C12" s="270" t="s">
        <v>811</v>
      </c>
      <c r="D12" s="270"/>
    </row>
    <row r="13" spans="1:5" x14ac:dyDescent="0.25">
      <c r="A13" s="4"/>
      <c r="B13" s="270"/>
      <c r="C13" s="270" t="s">
        <v>812</v>
      </c>
      <c r="D13" s="270"/>
      <c r="E13" s="4"/>
    </row>
    <row r="14" spans="1:5" x14ac:dyDescent="0.25">
      <c r="A14" s="4" t="s">
        <v>5</v>
      </c>
      <c r="B14" s="273"/>
      <c r="C14" s="270" t="s">
        <v>813</v>
      </c>
      <c r="D14" s="270"/>
      <c r="E14" s="4" t="s">
        <v>5</v>
      </c>
    </row>
    <row r="15" spans="1:5" x14ac:dyDescent="0.25">
      <c r="A15" s="4" t="s">
        <v>6</v>
      </c>
      <c r="B15" s="275" t="s">
        <v>255</v>
      </c>
      <c r="C15" s="275" t="s">
        <v>256</v>
      </c>
      <c r="D15" s="275" t="s">
        <v>8</v>
      </c>
      <c r="E15" s="4" t="s">
        <v>6</v>
      </c>
    </row>
    <row r="16" spans="1:5" x14ac:dyDescent="0.25">
      <c r="A16" s="4"/>
      <c r="B16" s="454"/>
      <c r="C16" s="295"/>
      <c r="D16" s="1038"/>
      <c r="E16" s="4"/>
    </row>
    <row r="17" spans="1:5" x14ac:dyDescent="0.25">
      <c r="A17" s="4">
        <v>1</v>
      </c>
      <c r="B17" s="1007" t="str">
        <f>'AJ-4'!B13</f>
        <v>Dec-23</v>
      </c>
      <c r="C17" s="570">
        <v>0</v>
      </c>
      <c r="D17" s="942" t="s">
        <v>258</v>
      </c>
      <c r="E17" s="4">
        <f>A17</f>
        <v>1</v>
      </c>
    </row>
    <row r="18" spans="1:5" x14ac:dyDescent="0.25">
      <c r="A18" s="4">
        <f>A17+1</f>
        <v>2</v>
      </c>
      <c r="B18" s="117"/>
      <c r="C18" s="93"/>
      <c r="D18" s="117"/>
      <c r="E18" s="4">
        <f>E17+1</f>
        <v>2</v>
      </c>
    </row>
    <row r="19" spans="1:5" x14ac:dyDescent="0.25">
      <c r="A19" s="4"/>
      <c r="B19" s="31"/>
      <c r="C19" s="106"/>
      <c r="D19" s="31"/>
      <c r="E19" s="4"/>
    </row>
    <row r="20" spans="1:5" x14ac:dyDescent="0.25">
      <c r="A20" s="4"/>
      <c r="B20" s="31"/>
      <c r="C20" s="31"/>
      <c r="D20" s="31"/>
      <c r="E20" s="4"/>
    </row>
    <row r="21" spans="1:5" x14ac:dyDescent="0.25">
      <c r="B21" s="31"/>
      <c r="C21" s="31"/>
      <c r="D21" s="31"/>
    </row>
    <row r="22" spans="1:5" x14ac:dyDescent="0.25">
      <c r="B22" s="31"/>
      <c r="C22" s="31"/>
      <c r="D22"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workbookViewId="0"/>
  </sheetViews>
  <sheetFormatPr defaultColWidth="9.28515625" defaultRowHeight="15.75" x14ac:dyDescent="0.25"/>
  <cols>
    <col min="1" max="1" width="5.28515625" style="218" customWidth="1"/>
    <col min="2" max="2" width="35.28515625" style="1" customWidth="1"/>
    <col min="3" max="3" width="19.28515625" style="1" bestFit="1" customWidth="1"/>
    <col min="4" max="4" width="62.5703125" style="1" customWidth="1"/>
    <col min="5" max="5" width="5.28515625" style="218" customWidth="1"/>
    <col min="6" max="6" width="24" style="1" customWidth="1"/>
    <col min="7" max="7" width="11" style="1" customWidth="1"/>
    <col min="8" max="8" width="7.28515625" style="1" customWidth="1"/>
    <col min="9" max="9" width="9.28515625" style="1" customWidth="1"/>
    <col min="10" max="10" width="14" style="1" customWidth="1"/>
    <col min="11" max="11" width="13.42578125" style="1" customWidth="1"/>
    <col min="12" max="16384" width="9.28515625" style="1"/>
  </cols>
  <sheetData>
    <row r="2" spans="1:5" x14ac:dyDescent="0.25">
      <c r="B2" s="1294" t="s">
        <v>0</v>
      </c>
      <c r="C2" s="1294"/>
      <c r="D2" s="1294"/>
    </row>
    <row r="3" spans="1:5" x14ac:dyDescent="0.25">
      <c r="B3" s="1294" t="s">
        <v>642</v>
      </c>
      <c r="C3" s="1294"/>
      <c r="D3" s="1294"/>
    </row>
    <row r="4" spans="1:5" x14ac:dyDescent="0.25">
      <c r="B4" s="1294" t="s">
        <v>729</v>
      </c>
      <c r="C4" s="1294"/>
      <c r="D4" s="1294"/>
    </row>
    <row r="5" spans="1:5" x14ac:dyDescent="0.25">
      <c r="B5" s="1294" t="str">
        <f>'AD-1'!B5</f>
        <v>BASE PERIOD / TRUE UP PERIOD - 12/31/2023 PER BOOK</v>
      </c>
      <c r="C5" s="1294"/>
      <c r="D5" s="1294"/>
    </row>
    <row r="6" spans="1:5" x14ac:dyDescent="0.25">
      <c r="B6" s="1299" t="s">
        <v>4</v>
      </c>
      <c r="C6" s="1299"/>
      <c r="D6" s="1299"/>
    </row>
    <row r="7" spans="1:5" x14ac:dyDescent="0.25">
      <c r="B7" s="267"/>
      <c r="C7" s="267"/>
      <c r="D7" s="267"/>
    </row>
    <row r="8" spans="1:5" x14ac:dyDescent="0.25">
      <c r="B8" s="1294" t="s">
        <v>814</v>
      </c>
      <c r="C8" s="1294"/>
      <c r="D8" s="1294"/>
    </row>
    <row r="10" spans="1:5" x14ac:dyDescent="0.25">
      <c r="B10" s="927"/>
      <c r="C10" s="928" t="s">
        <v>177</v>
      </c>
      <c r="D10" s="928"/>
      <c r="E10" s="4"/>
    </row>
    <row r="11" spans="1:5" x14ac:dyDescent="0.25">
      <c r="B11" s="278"/>
      <c r="C11" s="270" t="s">
        <v>56</v>
      </c>
      <c r="D11" s="270"/>
      <c r="E11" s="4"/>
    </row>
    <row r="12" spans="1:5" x14ac:dyDescent="0.25">
      <c r="B12" s="270"/>
      <c r="C12" s="270" t="s">
        <v>811</v>
      </c>
      <c r="D12" s="270"/>
      <c r="E12" s="4"/>
    </row>
    <row r="13" spans="1:5" x14ac:dyDescent="0.25">
      <c r="A13" s="4"/>
      <c r="B13" s="270"/>
      <c r="C13" s="270" t="s">
        <v>812</v>
      </c>
      <c r="D13" s="270"/>
      <c r="E13" s="4"/>
    </row>
    <row r="14" spans="1:5" x14ac:dyDescent="0.25">
      <c r="A14" s="4" t="s">
        <v>5</v>
      </c>
      <c r="B14" s="273"/>
      <c r="C14" s="270" t="s">
        <v>813</v>
      </c>
      <c r="D14" s="270"/>
      <c r="E14" s="4" t="s">
        <v>5</v>
      </c>
    </row>
    <row r="15" spans="1:5" x14ac:dyDescent="0.25">
      <c r="A15" s="4" t="s">
        <v>6</v>
      </c>
      <c r="B15" s="275" t="s">
        <v>255</v>
      </c>
      <c r="C15" s="275" t="s">
        <v>256</v>
      </c>
      <c r="D15" s="275" t="s">
        <v>8</v>
      </c>
      <c r="E15" s="4" t="s">
        <v>6</v>
      </c>
    </row>
    <row r="16" spans="1:5" x14ac:dyDescent="0.25">
      <c r="A16" s="4"/>
      <c r="B16" s="454"/>
      <c r="C16" s="295"/>
      <c r="D16" s="1038"/>
      <c r="E16" s="4"/>
    </row>
    <row r="17" spans="1:5" x14ac:dyDescent="0.25">
      <c r="A17" s="4">
        <v>1</v>
      </c>
      <c r="B17" s="1007" t="str">
        <f>'AJ-6'!B17</f>
        <v>Dec-23</v>
      </c>
      <c r="C17" s="570">
        <v>0</v>
      </c>
      <c r="D17" s="1039" t="s">
        <v>258</v>
      </c>
      <c r="E17" s="4">
        <f>A17</f>
        <v>1</v>
      </c>
    </row>
    <row r="18" spans="1:5" x14ac:dyDescent="0.25">
      <c r="A18" s="4">
        <f>A17+1</f>
        <v>2</v>
      </c>
      <c r="B18" s="117"/>
      <c r="C18" s="93"/>
      <c r="D18" s="117"/>
      <c r="E18" s="4">
        <f>E17+1</f>
        <v>2</v>
      </c>
    </row>
    <row r="19" spans="1:5" x14ac:dyDescent="0.25">
      <c r="A19" s="4"/>
      <c r="B19" s="31"/>
      <c r="C19" s="106"/>
      <c r="D19" s="31"/>
      <c r="E19" s="4"/>
    </row>
    <row r="20" spans="1:5" x14ac:dyDescent="0.25">
      <c r="B20" s="31"/>
      <c r="C20" s="31"/>
      <c r="D20" s="31"/>
      <c r="E20" s="4"/>
    </row>
    <row r="21" spans="1:5" x14ac:dyDescent="0.25">
      <c r="A21" s="262"/>
      <c r="B21" s="31"/>
      <c r="C21" s="31"/>
      <c r="D21" s="31"/>
      <c r="E21" s="4"/>
    </row>
    <row r="22" spans="1:5" x14ac:dyDescent="0.25">
      <c r="B22" s="31"/>
      <c r="C22" s="31"/>
      <c r="D22" s="31"/>
    </row>
    <row r="23" spans="1:5" x14ac:dyDescent="0.25">
      <c r="B23" s="31"/>
    </row>
  </sheetData>
  <mergeCells count="6">
    <mergeCell ref="B8:D8"/>
    <mergeCell ref="B2:D2"/>
    <mergeCell ref="B3:D3"/>
    <mergeCell ref="B4:D4"/>
    <mergeCell ref="B5:D5"/>
    <mergeCell ref="B6:D6"/>
  </mergeCells>
  <printOptions horizontalCentered="1"/>
  <pageMargins left="0.5" right="0.5" top="0.5" bottom="0.5" header="0.25" footer="0.25"/>
  <pageSetup scale="99"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workbookViewId="0"/>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294" t="s">
        <v>0</v>
      </c>
      <c r="C2" s="1294"/>
      <c r="D2" s="1294"/>
      <c r="E2" s="1294"/>
      <c r="F2" s="1294"/>
      <c r="G2" s="1294"/>
      <c r="H2" s="4"/>
    </row>
    <row r="3" spans="1:11" x14ac:dyDescent="0.25">
      <c r="B3" s="1294" t="s">
        <v>815</v>
      </c>
      <c r="C3" s="1294"/>
      <c r="D3" s="1294"/>
      <c r="E3" s="1294"/>
      <c r="F3" s="1294"/>
      <c r="G3" s="1294"/>
      <c r="H3" s="4"/>
    </row>
    <row r="4" spans="1:11" x14ac:dyDescent="0.25">
      <c r="B4" s="1294" t="s">
        <v>816</v>
      </c>
      <c r="C4" s="1294"/>
      <c r="D4" s="1294"/>
      <c r="E4" s="1294"/>
      <c r="F4" s="1294"/>
      <c r="G4" s="1294"/>
      <c r="H4" s="4"/>
    </row>
    <row r="5" spans="1:11" x14ac:dyDescent="0.25">
      <c r="B5" s="1300" t="str">
        <f>'Stmt AD'!B5</f>
        <v>Base Period &amp; True-Up Period 12 - Months Ending December 31, 2023</v>
      </c>
      <c r="C5" s="1300"/>
      <c r="D5" s="1300"/>
      <c r="E5" s="1300"/>
      <c r="F5" s="1300"/>
      <c r="G5" s="1300"/>
      <c r="H5" s="4"/>
    </row>
    <row r="6" spans="1:11" x14ac:dyDescent="0.25">
      <c r="B6" s="1299" t="s">
        <v>4</v>
      </c>
      <c r="C6" s="1295"/>
      <c r="D6" s="1295"/>
      <c r="E6" s="1295"/>
      <c r="F6" s="1295"/>
      <c r="G6" s="1295"/>
      <c r="H6" s="4"/>
    </row>
    <row r="7" spans="1:11" x14ac:dyDescent="0.25">
      <c r="B7" s="4"/>
      <c r="C7" s="4"/>
      <c r="D7" s="4"/>
      <c r="E7" s="4"/>
      <c r="F7" s="4"/>
      <c r="G7" s="4"/>
      <c r="H7" s="4"/>
    </row>
    <row r="8" spans="1:11" x14ac:dyDescent="0.25">
      <c r="A8" s="4" t="s">
        <v>5</v>
      </c>
      <c r="B8" s="218"/>
      <c r="C8" s="4" t="s">
        <v>205</v>
      </c>
      <c r="D8" s="218"/>
      <c r="E8" s="218"/>
      <c r="F8" s="218"/>
      <c r="G8" s="4"/>
      <c r="H8" s="4" t="s">
        <v>5</v>
      </c>
    </row>
    <row r="9" spans="1:11" x14ac:dyDescent="0.25">
      <c r="A9" s="4" t="s">
        <v>6</v>
      </c>
      <c r="B9" s="218"/>
      <c r="C9" s="849" t="s">
        <v>207</v>
      </c>
      <c r="D9" s="218"/>
      <c r="E9" s="850" t="s">
        <v>7</v>
      </c>
      <c r="F9" s="218"/>
      <c r="G9" s="849" t="s">
        <v>8</v>
      </c>
      <c r="H9" s="4" t="s">
        <v>6</v>
      </c>
    </row>
    <row r="10" spans="1:11" x14ac:dyDescent="0.25">
      <c r="B10" s="4"/>
      <c r="C10" s="4"/>
      <c r="D10" s="4"/>
      <c r="E10" s="4"/>
      <c r="F10" s="218"/>
      <c r="G10" s="4"/>
      <c r="H10" s="4"/>
    </row>
    <row r="11" spans="1:11" ht="18.75" x14ac:dyDescent="0.25">
      <c r="A11" s="4">
        <v>1</v>
      </c>
      <c r="B11" s="31" t="s">
        <v>1686</v>
      </c>
      <c r="C11" s="4" t="s">
        <v>817</v>
      </c>
      <c r="E11" s="40">
        <v>184142.45431999999</v>
      </c>
      <c r="F11" s="218"/>
      <c r="G11" s="46"/>
      <c r="H11" s="4">
        <f>A11</f>
        <v>1</v>
      </c>
      <c r="K11" s="35"/>
    </row>
    <row r="12" spans="1:11" ht="16.149999999999999" customHeight="1" x14ac:dyDescent="0.25">
      <c r="A12" s="4">
        <f>+A11+1</f>
        <v>2</v>
      </c>
      <c r="E12" s="48"/>
      <c r="F12" s="218"/>
      <c r="G12" s="444"/>
      <c r="H12" s="4">
        <f>+H11+1</f>
        <v>2</v>
      </c>
    </row>
    <row r="13" spans="1:11" x14ac:dyDescent="0.25">
      <c r="A13" s="4">
        <f>+A12+1</f>
        <v>3</v>
      </c>
      <c r="B13" s="31" t="s">
        <v>489</v>
      </c>
      <c r="C13" s="29"/>
      <c r="D13" s="29"/>
      <c r="E13" s="926">
        <f>'Stmt AH'!E49</f>
        <v>0.38709727233051416</v>
      </c>
      <c r="F13" s="415"/>
      <c r="G13" s="4" t="s">
        <v>1777</v>
      </c>
      <c r="H13" s="4">
        <f>+H12+1</f>
        <v>3</v>
      </c>
      <c r="I13" s="359"/>
    </row>
    <row r="14" spans="1:11" x14ac:dyDescent="0.25">
      <c r="A14" s="4">
        <f t="shared" ref="A14:A22" si="0">+A13+1</f>
        <v>4</v>
      </c>
      <c r="C14" s="29"/>
      <c r="D14" s="29"/>
      <c r="F14" s="218"/>
      <c r="G14" s="4"/>
      <c r="H14" s="4">
        <f t="shared" ref="H14:H22" si="1">+H13+1</f>
        <v>4</v>
      </c>
      <c r="I14" s="255"/>
    </row>
    <row r="15" spans="1:11" ht="16.5" thickBot="1" x14ac:dyDescent="0.3">
      <c r="A15" s="4">
        <f t="shared" si="0"/>
        <v>5</v>
      </c>
      <c r="B15" s="31" t="s">
        <v>819</v>
      </c>
      <c r="C15" s="29"/>
      <c r="D15" s="29"/>
      <c r="E15" s="24">
        <f>E11*E13</f>
        <v>71281.041787518305</v>
      </c>
      <c r="F15" s="218"/>
      <c r="G15" s="4" t="s">
        <v>833</v>
      </c>
      <c r="H15" s="4">
        <f t="shared" si="1"/>
        <v>5</v>
      </c>
    </row>
    <row r="16" spans="1:11" ht="17.25" thickTop="1" thickBot="1" x14ac:dyDescent="0.3">
      <c r="A16" s="4">
        <f t="shared" si="0"/>
        <v>6</v>
      </c>
      <c r="B16" s="863"/>
      <c r="C16" s="1040"/>
      <c r="D16" s="1040"/>
      <c r="E16" s="863"/>
      <c r="F16" s="863"/>
      <c r="G16" s="863"/>
      <c r="H16" s="4">
        <f t="shared" si="1"/>
        <v>6</v>
      </c>
    </row>
    <row r="17" spans="1:13" x14ac:dyDescent="0.25">
      <c r="A17" s="4">
        <f>+A16+1</f>
        <v>7</v>
      </c>
      <c r="C17" s="29"/>
      <c r="D17" s="29"/>
      <c r="H17" s="4">
        <f>+H16+1</f>
        <v>7</v>
      </c>
    </row>
    <row r="18" spans="1:13" ht="18.75" x14ac:dyDescent="0.25">
      <c r="A18" s="4">
        <f t="shared" ref="A18:A19" si="2">+A17+1</f>
        <v>8</v>
      </c>
      <c r="B18" s="31" t="s">
        <v>1688</v>
      </c>
      <c r="C18" s="4" t="s">
        <v>820</v>
      </c>
      <c r="E18" s="40">
        <v>19228.440409999999</v>
      </c>
      <c r="F18" s="218"/>
      <c r="G18" s="91"/>
      <c r="H18" s="4">
        <f t="shared" si="1"/>
        <v>8</v>
      </c>
      <c r="J18"/>
      <c r="K18"/>
      <c r="L18"/>
      <c r="M18"/>
    </row>
    <row r="19" spans="1:13" x14ac:dyDescent="0.25">
      <c r="A19" s="4">
        <f t="shared" si="2"/>
        <v>9</v>
      </c>
      <c r="E19" s="70"/>
      <c r="F19" s="218"/>
      <c r="G19" s="46"/>
      <c r="H19" s="4">
        <f t="shared" si="1"/>
        <v>9</v>
      </c>
    </row>
    <row r="20" spans="1:13" x14ac:dyDescent="0.25">
      <c r="A20" s="4">
        <f t="shared" ref="A20" si="3">+A19+1</f>
        <v>10</v>
      </c>
      <c r="B20" s="31" t="s">
        <v>233</v>
      </c>
      <c r="E20" s="926">
        <f>'Stmt AI'!E25</f>
        <v>0.19653045567590263</v>
      </c>
      <c r="F20" s="218"/>
      <c r="G20" s="4" t="s">
        <v>234</v>
      </c>
      <c r="H20" s="4">
        <f t="shared" si="1"/>
        <v>10</v>
      </c>
      <c r="J20"/>
      <c r="K20"/>
    </row>
    <row r="21" spans="1:13" x14ac:dyDescent="0.25">
      <c r="A21" s="4">
        <f t="shared" ref="A21" si="4">+A20+1</f>
        <v>11</v>
      </c>
      <c r="E21" s="74"/>
      <c r="F21" s="218"/>
      <c r="G21" s="4"/>
      <c r="H21" s="4">
        <f t="shared" si="1"/>
        <v>11</v>
      </c>
    </row>
    <row r="22" spans="1:13" ht="16.5" thickBot="1" x14ac:dyDescent="0.3">
      <c r="A22" s="4">
        <f t="shared" si="0"/>
        <v>12</v>
      </c>
      <c r="B22" s="31" t="s">
        <v>821</v>
      </c>
      <c r="E22" s="24">
        <f>E18*E20</f>
        <v>3778.9741557142397</v>
      </c>
      <c r="F22" s="218"/>
      <c r="G22" s="91" t="s">
        <v>1687</v>
      </c>
      <c r="H22" s="4">
        <f t="shared" si="1"/>
        <v>12</v>
      </c>
    </row>
    <row r="23" spans="1:13" ht="16.5" thickTop="1" x14ac:dyDescent="0.25">
      <c r="E23" s="10"/>
      <c r="F23" s="218"/>
      <c r="G23" s="445"/>
      <c r="H23" s="4"/>
      <c r="J23" s="358"/>
    </row>
    <row r="24" spans="1:13" x14ac:dyDescent="0.25">
      <c r="B24" s="31" t="s">
        <v>1</v>
      </c>
      <c r="E24" s="70"/>
      <c r="F24" s="70"/>
      <c r="J24" s="446"/>
    </row>
    <row r="25" spans="1:13" ht="18.75" x14ac:dyDescent="0.25">
      <c r="A25" s="253">
        <v>1</v>
      </c>
      <c r="B25" s="31" t="s">
        <v>1512</v>
      </c>
      <c r="J25" s="358"/>
    </row>
    <row r="26" spans="1:13" ht="18.75" x14ac:dyDescent="0.25">
      <c r="A26" s="824">
        <v>2</v>
      </c>
      <c r="B26" s="31" t="s">
        <v>1513</v>
      </c>
    </row>
    <row r="27" spans="1:13" x14ac:dyDescent="0.25">
      <c r="J27" s="447"/>
    </row>
    <row r="28" spans="1:13" x14ac:dyDescent="0.25">
      <c r="J28" s="44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94" t="s">
        <v>0</v>
      </c>
      <c r="C2" s="1294"/>
      <c r="D2" s="1294"/>
      <c r="E2" s="1294"/>
      <c r="F2" s="1294"/>
    </row>
    <row r="3" spans="1:8" x14ac:dyDescent="0.25">
      <c r="B3" s="1294" t="s">
        <v>250</v>
      </c>
      <c r="C3" s="1294"/>
      <c r="D3" s="1294"/>
      <c r="E3" s="1294"/>
      <c r="F3" s="1294"/>
    </row>
    <row r="4" spans="1:8" x14ac:dyDescent="0.25">
      <c r="B4" s="1294" t="s">
        <v>251</v>
      </c>
      <c r="C4" s="1294"/>
      <c r="D4" s="1294"/>
      <c r="E4" s="1294"/>
      <c r="F4" s="1294"/>
    </row>
    <row r="5" spans="1:8" x14ac:dyDescent="0.25">
      <c r="B5" s="1294" t="str">
        <f>'AD-1'!B5</f>
        <v>BASE PERIOD / TRUE UP PERIOD - 12/31/2023 PER BOOK</v>
      </c>
      <c r="C5" s="1294"/>
      <c r="D5" s="1294"/>
      <c r="E5" s="1294"/>
      <c r="F5" s="1294"/>
    </row>
    <row r="6" spans="1:8" x14ac:dyDescent="0.25">
      <c r="B6" s="1299" t="s">
        <v>4</v>
      </c>
      <c r="C6" s="1299"/>
      <c r="D6" s="1299"/>
      <c r="E6" s="1299"/>
      <c r="F6" s="1299"/>
    </row>
    <row r="7" spans="1:8" x14ac:dyDescent="0.25">
      <c r="B7" s="267"/>
      <c r="C7" s="268"/>
      <c r="D7" s="267"/>
      <c r="E7" s="267"/>
      <c r="F7" s="267"/>
    </row>
    <row r="8" spans="1:8" x14ac:dyDescent="0.25">
      <c r="B8" s="1294" t="s">
        <v>278</v>
      </c>
      <c r="C8" s="1294"/>
      <c r="D8" s="1294"/>
      <c r="E8" s="1294"/>
      <c r="F8" s="1294"/>
    </row>
    <row r="10" spans="1:8" x14ac:dyDescent="0.25">
      <c r="B10" s="927"/>
      <c r="C10" s="269" t="s">
        <v>177</v>
      </c>
      <c r="D10" s="928"/>
      <c r="E10" s="269"/>
      <c r="F10" s="928"/>
    </row>
    <row r="11" spans="1:8" x14ac:dyDescent="0.25">
      <c r="B11" s="270"/>
      <c r="C11" s="274" t="s">
        <v>279</v>
      </c>
      <c r="D11" s="270"/>
      <c r="E11" s="274" t="s">
        <v>279</v>
      </c>
      <c r="F11" s="270"/>
      <c r="H11" s="281"/>
    </row>
    <row r="12" spans="1:8" x14ac:dyDescent="0.25">
      <c r="A12" s="4" t="s">
        <v>5</v>
      </c>
      <c r="B12" s="273"/>
      <c r="C12" s="218" t="s">
        <v>254</v>
      </c>
      <c r="D12" s="270"/>
      <c r="E12" s="274" t="s">
        <v>254</v>
      </c>
      <c r="F12" s="270"/>
      <c r="G12" s="4" t="s">
        <v>5</v>
      </c>
      <c r="H12" s="281"/>
    </row>
    <row r="13" spans="1:8" ht="18.75" x14ac:dyDescent="0.25">
      <c r="A13" s="4" t="s">
        <v>6</v>
      </c>
      <c r="B13" s="275" t="s">
        <v>255</v>
      </c>
      <c r="C13" s="930" t="s">
        <v>256</v>
      </c>
      <c r="D13" s="275" t="s">
        <v>8</v>
      </c>
      <c r="E13" s="276" t="s">
        <v>257</v>
      </c>
      <c r="F13" s="275" t="s">
        <v>8</v>
      </c>
      <c r="G13" s="4" t="s">
        <v>6</v>
      </c>
      <c r="H13" s="281"/>
    </row>
    <row r="14" spans="1:8" x14ac:dyDescent="0.25">
      <c r="A14" s="4">
        <v>1</v>
      </c>
      <c r="B14" s="931" t="str">
        <f>'AD-1'!B14</f>
        <v>Dec-22</v>
      </c>
      <c r="C14" s="58">
        <v>0</v>
      </c>
      <c r="D14" s="932" t="s">
        <v>258</v>
      </c>
      <c r="E14" s="58">
        <v>0</v>
      </c>
      <c r="F14" s="932" t="s">
        <v>259</v>
      </c>
      <c r="G14" s="4">
        <f>A14</f>
        <v>1</v>
      </c>
      <c r="H14" s="277"/>
    </row>
    <row r="15" spans="1:8" x14ac:dyDescent="0.25">
      <c r="A15" s="4">
        <f>A14+1</f>
        <v>2</v>
      </c>
      <c r="B15" s="931" t="str">
        <f>'AD-1'!B15</f>
        <v>Jan-23</v>
      </c>
      <c r="C15" s="52">
        <v>0</v>
      </c>
      <c r="D15" s="933"/>
      <c r="E15" s="52">
        <v>0</v>
      </c>
      <c r="F15" s="933"/>
      <c r="G15" s="4">
        <f>G14+1</f>
        <v>2</v>
      </c>
    </row>
    <row r="16" spans="1:8" x14ac:dyDescent="0.25">
      <c r="A16" s="4">
        <f t="shared" ref="A16:A32" si="0">A15+1</f>
        <v>3</v>
      </c>
      <c r="B16" s="934" t="s">
        <v>260</v>
      </c>
      <c r="C16" s="52">
        <v>0</v>
      </c>
      <c r="D16" s="933"/>
      <c r="E16" s="52">
        <v>0</v>
      </c>
      <c r="F16" s="933"/>
      <c r="G16" s="4">
        <f t="shared" ref="G16:G32" si="1">G15+1</f>
        <v>3</v>
      </c>
    </row>
    <row r="17" spans="1:8" x14ac:dyDescent="0.25">
      <c r="A17" s="4">
        <f t="shared" si="0"/>
        <v>4</v>
      </c>
      <c r="B17" s="934" t="s">
        <v>261</v>
      </c>
      <c r="C17" s="52">
        <v>0</v>
      </c>
      <c r="D17" s="933"/>
      <c r="E17" s="52">
        <v>0</v>
      </c>
      <c r="F17" s="933"/>
      <c r="G17" s="4">
        <f t="shared" si="1"/>
        <v>4</v>
      </c>
    </row>
    <row r="18" spans="1:8" x14ac:dyDescent="0.25">
      <c r="A18" s="4">
        <f t="shared" si="0"/>
        <v>5</v>
      </c>
      <c r="B18" s="934" t="s">
        <v>262</v>
      </c>
      <c r="C18" s="52">
        <v>0</v>
      </c>
      <c r="D18" s="933"/>
      <c r="E18" s="52">
        <v>0</v>
      </c>
      <c r="F18" s="933"/>
      <c r="G18" s="4">
        <f t="shared" si="1"/>
        <v>5</v>
      </c>
    </row>
    <row r="19" spans="1:8" x14ac:dyDescent="0.25">
      <c r="A19" s="4">
        <f t="shared" si="0"/>
        <v>6</v>
      </c>
      <c r="B19" s="934" t="s">
        <v>263</v>
      </c>
      <c r="C19" s="52">
        <v>0</v>
      </c>
      <c r="D19" s="933"/>
      <c r="E19" s="52">
        <v>0</v>
      </c>
      <c r="F19" s="933"/>
      <c r="G19" s="4">
        <f t="shared" si="1"/>
        <v>6</v>
      </c>
    </row>
    <row r="20" spans="1:8" x14ac:dyDescent="0.25">
      <c r="A20" s="4">
        <f>A19+1</f>
        <v>7</v>
      </c>
      <c r="B20" s="934" t="s">
        <v>264</v>
      </c>
      <c r="C20" s="52">
        <v>0</v>
      </c>
      <c r="D20" s="933"/>
      <c r="E20" s="52">
        <v>0</v>
      </c>
      <c r="F20" s="933"/>
      <c r="G20" s="4">
        <f>G19+1</f>
        <v>7</v>
      </c>
    </row>
    <row r="21" spans="1:8" x14ac:dyDescent="0.25">
      <c r="A21" s="4">
        <f t="shared" si="0"/>
        <v>8</v>
      </c>
      <c r="B21" s="934" t="s">
        <v>265</v>
      </c>
      <c r="C21" s="52">
        <v>0</v>
      </c>
      <c r="D21" s="933"/>
      <c r="E21" s="52">
        <v>0</v>
      </c>
      <c r="F21" s="933"/>
      <c r="G21" s="4">
        <f t="shared" si="1"/>
        <v>8</v>
      </c>
    </row>
    <row r="22" spans="1:8" x14ac:dyDescent="0.25">
      <c r="A22" s="4">
        <f t="shared" si="0"/>
        <v>9</v>
      </c>
      <c r="B22" s="934" t="s">
        <v>266</v>
      </c>
      <c r="C22" s="52">
        <v>0</v>
      </c>
      <c r="D22" s="933"/>
      <c r="E22" s="52">
        <v>0</v>
      </c>
      <c r="F22" s="933"/>
      <c r="G22" s="4">
        <f t="shared" si="1"/>
        <v>9</v>
      </c>
    </row>
    <row r="23" spans="1:8" x14ac:dyDescent="0.25">
      <c r="A23" s="4">
        <f t="shared" si="0"/>
        <v>10</v>
      </c>
      <c r="B23" s="934" t="s">
        <v>267</v>
      </c>
      <c r="C23" s="52">
        <v>0</v>
      </c>
      <c r="D23" s="933"/>
      <c r="E23" s="52">
        <v>0</v>
      </c>
      <c r="F23" s="933"/>
      <c r="G23" s="4">
        <f t="shared" si="1"/>
        <v>10</v>
      </c>
    </row>
    <row r="24" spans="1:8" x14ac:dyDescent="0.25">
      <c r="A24" s="4">
        <f t="shared" si="0"/>
        <v>11</v>
      </c>
      <c r="B24" s="934" t="s">
        <v>268</v>
      </c>
      <c r="C24" s="52">
        <v>0</v>
      </c>
      <c r="D24" s="933"/>
      <c r="E24" s="52">
        <v>0</v>
      </c>
      <c r="F24" s="933"/>
      <c r="G24" s="4">
        <f t="shared" si="1"/>
        <v>11</v>
      </c>
    </row>
    <row r="25" spans="1:8" x14ac:dyDescent="0.25">
      <c r="A25" s="4">
        <f t="shared" si="0"/>
        <v>12</v>
      </c>
      <c r="B25" s="934" t="s">
        <v>269</v>
      </c>
      <c r="C25" s="52">
        <v>0</v>
      </c>
      <c r="D25" s="933"/>
      <c r="E25" s="52">
        <v>0</v>
      </c>
      <c r="F25" s="933"/>
      <c r="G25" s="4">
        <f t="shared" si="1"/>
        <v>12</v>
      </c>
    </row>
    <row r="26" spans="1:8" x14ac:dyDescent="0.25">
      <c r="A26" s="4">
        <f t="shared" si="0"/>
        <v>13</v>
      </c>
      <c r="B26" s="630" t="str">
        <f>'AD-1'!B26</f>
        <v>Dec-23</v>
      </c>
      <c r="C26" s="53">
        <v>0</v>
      </c>
      <c r="D26" s="284" t="s">
        <v>258</v>
      </c>
      <c r="E26" s="53">
        <v>0</v>
      </c>
      <c r="F26" s="932" t="s">
        <v>270</v>
      </c>
      <c r="G26" s="4">
        <f t="shared" si="1"/>
        <v>13</v>
      </c>
      <c r="H26" s="277"/>
    </row>
    <row r="27" spans="1:8" x14ac:dyDescent="0.25">
      <c r="A27" s="4">
        <f t="shared" si="0"/>
        <v>14</v>
      </c>
      <c r="B27" s="278"/>
      <c r="C27" s="59"/>
      <c r="D27" s="278"/>
      <c r="E27" s="60"/>
      <c r="F27" s="927"/>
      <c r="G27" s="4">
        <f t="shared" si="1"/>
        <v>14</v>
      </c>
    </row>
    <row r="28" spans="1:8" x14ac:dyDescent="0.25">
      <c r="A28" s="4">
        <f t="shared" si="0"/>
        <v>15</v>
      </c>
      <c r="B28" s="278" t="s">
        <v>271</v>
      </c>
      <c r="C28" s="55">
        <f>SUM(C14:C26)</f>
        <v>0</v>
      </c>
      <c r="D28" s="935" t="s">
        <v>272</v>
      </c>
      <c r="E28" s="55">
        <f>SUM(E14:E26)</f>
        <v>0</v>
      </c>
      <c r="F28" s="935" t="s">
        <v>272</v>
      </c>
      <c r="G28" s="4">
        <f t="shared" si="1"/>
        <v>15</v>
      </c>
    </row>
    <row r="29" spans="1:8" x14ac:dyDescent="0.25">
      <c r="A29" s="4">
        <f t="shared" si="0"/>
        <v>16</v>
      </c>
      <c r="B29" s="117"/>
      <c r="C29" s="56"/>
      <c r="D29" s="117"/>
      <c r="E29" s="56"/>
      <c r="F29" s="117"/>
      <c r="G29" s="4">
        <f t="shared" si="1"/>
        <v>16</v>
      </c>
    </row>
    <row r="30" spans="1:8" x14ac:dyDescent="0.25">
      <c r="A30" s="4">
        <f t="shared" si="0"/>
        <v>17</v>
      </c>
      <c r="B30" s="278"/>
      <c r="C30" s="60"/>
      <c r="D30" s="278"/>
      <c r="E30" s="60"/>
      <c r="F30" s="278"/>
      <c r="G30" s="4">
        <f t="shared" si="1"/>
        <v>17</v>
      </c>
    </row>
    <row r="31" spans="1:8" x14ac:dyDescent="0.25">
      <c r="A31" s="4">
        <f t="shared" si="0"/>
        <v>18</v>
      </c>
      <c r="B31" s="278" t="s">
        <v>273</v>
      </c>
      <c r="C31" s="55">
        <f>C28/13</f>
        <v>0</v>
      </c>
      <c r="D31" s="935" t="s">
        <v>274</v>
      </c>
      <c r="E31" s="55">
        <f>E28/13</f>
        <v>0</v>
      </c>
      <c r="F31" s="932" t="s">
        <v>275</v>
      </c>
      <c r="G31" s="4">
        <f t="shared" si="1"/>
        <v>18</v>
      </c>
      <c r="H31" s="277"/>
    </row>
    <row r="32" spans="1:8" x14ac:dyDescent="0.25">
      <c r="A32" s="4">
        <f t="shared" si="0"/>
        <v>19</v>
      </c>
      <c r="B32" s="117"/>
      <c r="C32" s="61"/>
      <c r="D32" s="117"/>
      <c r="E32" s="61"/>
      <c r="F32" s="117"/>
      <c r="G32" s="4">
        <f t="shared" si="1"/>
        <v>19</v>
      </c>
    </row>
    <row r="33" spans="1:7" x14ac:dyDescent="0.25">
      <c r="B33" s="31"/>
      <c r="C33" s="6"/>
      <c r="D33" s="31"/>
      <c r="E33" s="6"/>
      <c r="F33" s="31"/>
      <c r="G33" s="580"/>
    </row>
    <row r="34" spans="1:7" x14ac:dyDescent="0.25">
      <c r="C34" s="6"/>
      <c r="D34" s="31"/>
      <c r="E34" s="6"/>
      <c r="F34" s="31"/>
      <c r="G34" s="580"/>
    </row>
    <row r="35" spans="1:7" ht="18.75" x14ac:dyDescent="0.25">
      <c r="A35" s="266">
        <v>1</v>
      </c>
      <c r="B35" s="31" t="s">
        <v>276</v>
      </c>
      <c r="C35" s="282"/>
      <c r="D35" s="31"/>
      <c r="E35" s="282"/>
      <c r="F35" s="31"/>
      <c r="G35" s="580"/>
    </row>
    <row r="36" spans="1:7" x14ac:dyDescent="0.25">
      <c r="B36" s="31" t="s">
        <v>277</v>
      </c>
      <c r="C36" s="282"/>
      <c r="D36" s="31"/>
      <c r="E36" s="282"/>
      <c r="F36" s="31"/>
      <c r="G36" s="580"/>
    </row>
    <row r="37" spans="1:7" x14ac:dyDescent="0.25">
      <c r="C37" s="282"/>
      <c r="D37" s="31"/>
      <c r="E37" s="282"/>
      <c r="F37" s="31"/>
      <c r="G37" s="580"/>
    </row>
    <row r="38" spans="1:7" x14ac:dyDescent="0.25">
      <c r="C38" s="282"/>
      <c r="D38" s="31"/>
      <c r="E38" s="282"/>
      <c r="F38" s="31"/>
      <c r="G38" s="580"/>
    </row>
    <row r="39" spans="1:7" x14ac:dyDescent="0.25">
      <c r="C39" s="281"/>
      <c r="E39" s="281"/>
      <c r="G39" s="580"/>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Z51"/>
  <sheetViews>
    <sheetView zoomScale="80" zoomScaleNormal="80" workbookViewId="0">
      <selection activeCell="B40" sqref="B40"/>
    </sheetView>
  </sheetViews>
  <sheetFormatPr defaultColWidth="8.7109375" defaultRowHeight="15.75" x14ac:dyDescent="0.25"/>
  <cols>
    <col min="1" max="1" width="5.28515625" style="4" bestFit="1" customWidth="1"/>
    <col min="2" max="2" width="79.42578125" style="31" customWidth="1"/>
    <col min="3" max="3" width="25.5703125" style="358"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51" style="31" customWidth="1"/>
    <col min="10" max="10" width="5.28515625" style="31" customWidth="1"/>
    <col min="11" max="16384" width="8.7109375" style="31"/>
  </cols>
  <sheetData>
    <row r="1" spans="1:14" x14ac:dyDescent="0.25">
      <c r="H1" s="4"/>
      <c r="I1" s="4"/>
      <c r="J1" s="4"/>
    </row>
    <row r="2" spans="1:14" x14ac:dyDescent="0.25">
      <c r="B2" s="1294" t="s">
        <v>0</v>
      </c>
      <c r="C2" s="1308"/>
      <c r="D2" s="1308"/>
      <c r="E2" s="1308"/>
      <c r="F2" s="1308"/>
      <c r="G2" s="1308"/>
      <c r="H2" s="1308"/>
      <c r="I2" s="1308"/>
      <c r="J2" s="218"/>
    </row>
    <row r="3" spans="1:14" x14ac:dyDescent="0.25">
      <c r="B3" s="1294" t="s">
        <v>822</v>
      </c>
      <c r="C3" s="1308"/>
      <c r="D3" s="1308"/>
      <c r="E3" s="1308"/>
      <c r="F3" s="1308"/>
      <c r="G3" s="1308"/>
      <c r="H3" s="1308"/>
      <c r="I3" s="1308"/>
      <c r="J3" s="218"/>
    </row>
    <row r="4" spans="1:14" x14ac:dyDescent="0.25">
      <c r="B4" s="1294" t="s">
        <v>823</v>
      </c>
      <c r="C4" s="1308"/>
      <c r="D4" s="1308"/>
      <c r="E4" s="1308"/>
      <c r="F4" s="1308"/>
      <c r="G4" s="1308"/>
      <c r="H4" s="1308"/>
      <c r="I4" s="1308"/>
      <c r="J4" s="218"/>
    </row>
    <row r="5" spans="1:14" x14ac:dyDescent="0.25">
      <c r="B5" s="1300" t="str">
        <f>'Stmt AD'!B5</f>
        <v>Base Period &amp; True-Up Period 12 - Months Ending December 31, 2023</v>
      </c>
      <c r="C5" s="1300"/>
      <c r="D5" s="1300"/>
      <c r="E5" s="1300"/>
      <c r="F5" s="1300"/>
      <c r="G5" s="1300"/>
      <c r="H5" s="1300"/>
      <c r="I5" s="1300"/>
      <c r="J5" s="218"/>
    </row>
    <row r="6" spans="1:14" x14ac:dyDescent="0.25">
      <c r="B6" s="1299" t="s">
        <v>4</v>
      </c>
      <c r="C6" s="1299"/>
      <c r="D6" s="1299"/>
      <c r="E6" s="1299"/>
      <c r="F6" s="1299"/>
      <c r="G6" s="1299"/>
      <c r="H6" s="1299"/>
      <c r="I6" s="1299"/>
      <c r="J6" s="1"/>
    </row>
    <row r="7" spans="1:14" x14ac:dyDescent="0.25">
      <c r="B7" s="4"/>
      <c r="D7" s="4"/>
      <c r="E7" s="4"/>
      <c r="F7" s="4"/>
      <c r="G7" s="4"/>
      <c r="H7" s="218"/>
      <c r="I7" s="218"/>
      <c r="J7" s="218"/>
    </row>
    <row r="8" spans="1:14" x14ac:dyDescent="0.25">
      <c r="A8" s="4" t="s">
        <v>5</v>
      </c>
      <c r="B8" s="218"/>
      <c r="C8" s="4" t="s">
        <v>205</v>
      </c>
      <c r="D8" s="4"/>
      <c r="E8" s="4" t="s">
        <v>824</v>
      </c>
      <c r="F8" s="4"/>
      <c r="G8" s="4" t="s">
        <v>825</v>
      </c>
      <c r="H8" s="218"/>
      <c r="I8" s="218"/>
      <c r="J8" s="4" t="s">
        <v>5</v>
      </c>
    </row>
    <row r="9" spans="1:14" x14ac:dyDescent="0.25">
      <c r="A9" s="4" t="s">
        <v>6</v>
      </c>
      <c r="B9" s="218"/>
      <c r="C9" s="849" t="s">
        <v>207</v>
      </c>
      <c r="D9" s="218"/>
      <c r="E9" s="850" t="s">
        <v>826</v>
      </c>
      <c r="F9" s="218"/>
      <c r="G9" s="850" t="s">
        <v>208</v>
      </c>
      <c r="H9" s="218"/>
      <c r="I9" s="849" t="s">
        <v>8</v>
      </c>
      <c r="J9" s="4" t="s">
        <v>6</v>
      </c>
    </row>
    <row r="10" spans="1:14" x14ac:dyDescent="0.25">
      <c r="B10" s="4"/>
      <c r="D10" s="4"/>
      <c r="E10" s="4"/>
      <c r="F10" s="4"/>
      <c r="G10" s="4"/>
      <c r="H10" s="4"/>
      <c r="I10" s="4"/>
      <c r="J10" s="4"/>
    </row>
    <row r="11" spans="1:14" ht="18.75" x14ac:dyDescent="0.25">
      <c r="A11" s="4">
        <v>1</v>
      </c>
      <c r="B11" s="31" t="s">
        <v>827</v>
      </c>
      <c r="C11" s="4" t="s">
        <v>828</v>
      </c>
      <c r="E11" s="48"/>
      <c r="F11" s="71"/>
      <c r="G11" s="40">
        <f>'AL-1'!C32</f>
        <v>134439.87015384616</v>
      </c>
      <c r="H11" s="71"/>
      <c r="I11" s="46" t="s">
        <v>829</v>
      </c>
      <c r="J11" s="4">
        <f>A11</f>
        <v>1</v>
      </c>
    </row>
    <row r="12" spans="1:14" x14ac:dyDescent="0.25">
      <c r="A12" s="4">
        <f>+A11+1</f>
        <v>2</v>
      </c>
      <c r="C12" s="4"/>
      <c r="E12" s="70"/>
      <c r="F12" s="41"/>
      <c r="G12" s="41"/>
      <c r="H12" s="41"/>
      <c r="I12" s="46"/>
      <c r="J12" s="4">
        <f>+J11+1</f>
        <v>2</v>
      </c>
    </row>
    <row r="13" spans="1:14" x14ac:dyDescent="0.25">
      <c r="A13" s="4">
        <f t="shared" ref="A13:A46" si="0">+A12+1</f>
        <v>3</v>
      </c>
      <c r="B13" s="31" t="s">
        <v>1939</v>
      </c>
      <c r="D13" s="255"/>
      <c r="E13" s="1215"/>
      <c r="F13" s="1216"/>
      <c r="G13" s="971">
        <f>'AL-1.1'!G21</f>
        <v>0.22561029094122764</v>
      </c>
      <c r="H13" s="1217"/>
      <c r="I13" s="46" t="s">
        <v>1940</v>
      </c>
      <c r="J13" s="4">
        <f t="shared" ref="J13:J46" si="1">+J12+1</f>
        <v>3</v>
      </c>
      <c r="L13" s="277"/>
      <c r="M13" s="277"/>
      <c r="N13" s="277"/>
    </row>
    <row r="14" spans="1:14" x14ac:dyDescent="0.25">
      <c r="A14" s="4">
        <f t="shared" si="0"/>
        <v>4</v>
      </c>
      <c r="C14" s="4"/>
      <c r="E14" s="70"/>
      <c r="F14" s="41"/>
      <c r="G14" s="70"/>
      <c r="H14" s="41"/>
      <c r="I14" s="46"/>
      <c r="J14" s="4">
        <f t="shared" si="1"/>
        <v>4</v>
      </c>
      <c r="L14" s="277"/>
      <c r="M14" s="277"/>
      <c r="N14" s="277"/>
    </row>
    <row r="15" spans="1:14" ht="16.5" thickBot="1" x14ac:dyDescent="0.3">
      <c r="A15" s="4">
        <f t="shared" si="0"/>
        <v>5</v>
      </c>
      <c r="B15" s="31" t="s">
        <v>832</v>
      </c>
      <c r="C15" s="4"/>
      <c r="E15" s="75"/>
      <c r="F15" s="41"/>
      <c r="G15" s="77">
        <f>G11*G13</f>
        <v>30331.018219510101</v>
      </c>
      <c r="H15" s="71"/>
      <c r="I15" s="46" t="s">
        <v>833</v>
      </c>
      <c r="J15" s="4">
        <f t="shared" si="1"/>
        <v>5</v>
      </c>
      <c r="L15" s="277"/>
      <c r="M15" s="277"/>
      <c r="N15" s="277"/>
    </row>
    <row r="16" spans="1:14" ht="16.5" thickTop="1" x14ac:dyDescent="0.25">
      <c r="A16" s="4">
        <f t="shared" si="0"/>
        <v>6</v>
      </c>
      <c r="C16" s="4"/>
      <c r="E16" s="6"/>
      <c r="F16" s="4"/>
      <c r="G16" s="4"/>
      <c r="H16" s="4"/>
      <c r="I16" s="46"/>
      <c r="J16" s="4">
        <f t="shared" si="1"/>
        <v>6</v>
      </c>
    </row>
    <row r="17" spans="1:26" ht="18.75" x14ac:dyDescent="0.25">
      <c r="A17" s="4">
        <f t="shared" si="0"/>
        <v>7</v>
      </c>
      <c r="B17" s="31" t="s">
        <v>834</v>
      </c>
      <c r="C17" s="4" t="s">
        <v>835</v>
      </c>
      <c r="D17" s="35"/>
      <c r="E17" s="48"/>
      <c r="F17" s="41"/>
      <c r="G17" s="1231">
        <f>+'AL-2'!C30</f>
        <v>116570.56882116306</v>
      </c>
      <c r="H17" s="71"/>
      <c r="I17" s="46" t="s">
        <v>836</v>
      </c>
      <c r="J17" s="4">
        <f t="shared" si="1"/>
        <v>7</v>
      </c>
      <c r="L17" s="277"/>
      <c r="M17" s="277"/>
    </row>
    <row r="18" spans="1:26" x14ac:dyDescent="0.25">
      <c r="A18" s="4">
        <f t="shared" si="0"/>
        <v>8</v>
      </c>
      <c r="C18" s="4"/>
      <c r="D18" s="35"/>
      <c r="E18" s="48"/>
      <c r="F18" s="41"/>
      <c r="G18" s="69"/>
      <c r="H18" s="71"/>
      <c r="I18" s="46"/>
      <c r="J18" s="4">
        <f t="shared" si="1"/>
        <v>8</v>
      </c>
      <c r="K18" s="358"/>
      <c r="L18" s="277"/>
      <c r="M18" s="277"/>
    </row>
    <row r="19" spans="1:26" x14ac:dyDescent="0.25">
      <c r="A19" s="4">
        <f t="shared" si="0"/>
        <v>9</v>
      </c>
      <c r="B19" s="31" t="s">
        <v>233</v>
      </c>
      <c r="C19" s="4"/>
      <c r="D19" s="35"/>
      <c r="E19" s="48"/>
      <c r="F19" s="41"/>
      <c r="G19" s="1235">
        <f>'Stmt AI'!E25</f>
        <v>0.19653045567590263</v>
      </c>
      <c r="H19" s="71"/>
      <c r="I19" s="4" t="s">
        <v>234</v>
      </c>
      <c r="J19" s="4">
        <f t="shared" si="1"/>
        <v>9</v>
      </c>
      <c r="K19" s="358"/>
      <c r="L19" s="277"/>
      <c r="M19" s="277"/>
    </row>
    <row r="20" spans="1:26" x14ac:dyDescent="0.25">
      <c r="A20" s="4">
        <f t="shared" si="0"/>
        <v>10</v>
      </c>
      <c r="B20" s="194"/>
      <c r="C20" s="623"/>
      <c r="D20" s="194"/>
      <c r="E20" s="1232"/>
      <c r="F20" s="1233"/>
      <c r="G20" s="1233"/>
      <c r="H20" s="1233"/>
      <c r="I20" s="444"/>
      <c r="J20" s="4">
        <f t="shared" si="1"/>
        <v>10</v>
      </c>
      <c r="K20" s="358"/>
      <c r="L20" s="277"/>
      <c r="M20" s="277"/>
    </row>
    <row r="21" spans="1:26" ht="16.5" thickBot="1" x14ac:dyDescent="0.3">
      <c r="A21" s="4">
        <f t="shared" si="0"/>
        <v>11</v>
      </c>
      <c r="B21" s="31" t="s">
        <v>837</v>
      </c>
      <c r="C21" s="4"/>
      <c r="E21" s="48"/>
      <c r="F21" s="41"/>
      <c r="G21" s="77">
        <f>G17*G19</f>
        <v>22909.667008822344</v>
      </c>
      <c r="H21" s="71"/>
      <c r="I21" s="46" t="s">
        <v>364</v>
      </c>
      <c r="J21" s="4">
        <f t="shared" si="1"/>
        <v>11</v>
      </c>
      <c r="K21" s="358"/>
      <c r="L21" s="277"/>
      <c r="M21" s="277"/>
      <c r="N21" s="277"/>
      <c r="O21" s="277"/>
      <c r="P21" s="277"/>
      <c r="Q21" s="277"/>
      <c r="R21" s="277"/>
      <c r="S21" s="277"/>
      <c r="T21" s="277"/>
      <c r="U21" s="277"/>
      <c r="V21" s="277"/>
      <c r="W21" s="277"/>
      <c r="X21" s="277"/>
      <c r="Y21" s="277"/>
      <c r="Z21" s="277"/>
    </row>
    <row r="22" spans="1:26" ht="16.5" thickTop="1" x14ac:dyDescent="0.25">
      <c r="A22" s="4">
        <f t="shared" si="0"/>
        <v>12</v>
      </c>
      <c r="E22" s="38"/>
      <c r="F22" s="41"/>
      <c r="G22" s="41"/>
      <c r="H22" s="41"/>
      <c r="I22" s="46"/>
      <c r="J22" s="4">
        <f t="shared" si="1"/>
        <v>12</v>
      </c>
      <c r="K22" s="358"/>
      <c r="L22" s="277"/>
      <c r="M22" s="277"/>
      <c r="N22" s="277"/>
      <c r="O22" s="277"/>
      <c r="P22" s="277"/>
      <c r="Q22" s="277"/>
      <c r="R22" s="277"/>
      <c r="S22" s="277"/>
      <c r="T22" s="277"/>
      <c r="U22" s="277"/>
      <c r="V22" s="277"/>
      <c r="W22" s="277"/>
      <c r="X22" s="277"/>
      <c r="Y22" s="277"/>
      <c r="Z22" s="277"/>
    </row>
    <row r="23" spans="1:26" ht="18.75" x14ac:dyDescent="0.25">
      <c r="A23" s="4">
        <f t="shared" si="0"/>
        <v>13</v>
      </c>
      <c r="B23" s="1293" t="s">
        <v>2117</v>
      </c>
      <c r="C23" s="4"/>
      <c r="E23" s="38"/>
      <c r="F23" s="41"/>
      <c r="G23" s="41"/>
      <c r="H23" s="41"/>
      <c r="I23" s="46"/>
      <c r="J23" s="4">
        <f t="shared" si="1"/>
        <v>13</v>
      </c>
      <c r="K23" s="358"/>
      <c r="L23" s="277"/>
      <c r="M23" s="277"/>
      <c r="N23" s="277"/>
      <c r="O23" s="277"/>
      <c r="P23" s="277"/>
      <c r="Q23" s="277"/>
      <c r="R23" s="277"/>
      <c r="S23" s="277"/>
      <c r="T23" s="277"/>
      <c r="U23" s="277"/>
      <c r="V23" s="277"/>
      <c r="W23" s="277"/>
      <c r="X23" s="277"/>
      <c r="Y23" s="277"/>
      <c r="Z23" s="277"/>
    </row>
    <row r="24" spans="1:26" x14ac:dyDescent="0.25">
      <c r="A24" s="4">
        <f t="shared" si="0"/>
        <v>14</v>
      </c>
      <c r="B24" s="31" t="s">
        <v>840</v>
      </c>
      <c r="C24" s="4"/>
      <c r="E24" s="1227">
        <f>'Stmt AH'!E15</f>
        <v>108186.32553395197</v>
      </c>
      <c r="F24" s="41"/>
      <c r="G24" s="48"/>
      <c r="H24" s="41"/>
      <c r="I24" s="46" t="s">
        <v>1555</v>
      </c>
      <c r="J24" s="4">
        <f t="shared" si="1"/>
        <v>14</v>
      </c>
      <c r="K24" s="358"/>
      <c r="L24" s="277"/>
      <c r="M24" s="277"/>
      <c r="N24" s="277"/>
    </row>
    <row r="25" spans="1:26" x14ac:dyDescent="0.25">
      <c r="A25" s="4">
        <f t="shared" si="0"/>
        <v>15</v>
      </c>
      <c r="B25" s="31" t="s">
        <v>841</v>
      </c>
      <c r="C25" s="4"/>
      <c r="E25" s="1228">
        <f>'Stmt AH'!E30</f>
        <v>106763.92955431523</v>
      </c>
      <c r="F25" s="1"/>
      <c r="G25" s="38"/>
      <c r="H25" s="41"/>
      <c r="I25" s="46" t="s">
        <v>1776</v>
      </c>
      <c r="J25" s="4">
        <f t="shared" si="1"/>
        <v>15</v>
      </c>
      <c r="K25" s="358"/>
      <c r="L25" s="277"/>
      <c r="M25" s="277"/>
      <c r="N25" s="277"/>
    </row>
    <row r="26" spans="1:26" x14ac:dyDescent="0.25">
      <c r="A26" s="4">
        <f t="shared" si="0"/>
        <v>16</v>
      </c>
      <c r="B26" s="31" t="s">
        <v>842</v>
      </c>
      <c r="C26" s="4"/>
      <c r="E26" s="1234">
        <f>-'Stmt AH'!E20</f>
        <v>0</v>
      </c>
      <c r="F26" s="41"/>
      <c r="G26" s="38"/>
      <c r="H26" s="41"/>
      <c r="I26" s="46" t="s">
        <v>1556</v>
      </c>
      <c r="J26" s="4">
        <f t="shared" si="1"/>
        <v>16</v>
      </c>
      <c r="K26" s="358"/>
    </row>
    <row r="27" spans="1:26" x14ac:dyDescent="0.25">
      <c r="A27" s="4">
        <f t="shared" si="0"/>
        <v>17</v>
      </c>
      <c r="B27" s="31" t="s">
        <v>843</v>
      </c>
      <c r="C27" s="4"/>
      <c r="E27" s="10">
        <f>SUM(E24:E26)</f>
        <v>214950.25508826721</v>
      </c>
      <c r="F27" s="1"/>
      <c r="G27" s="35"/>
      <c r="H27" s="46"/>
      <c r="I27" s="46" t="s">
        <v>1942</v>
      </c>
      <c r="J27" s="4">
        <f t="shared" si="1"/>
        <v>17</v>
      </c>
      <c r="K27" s="358"/>
    </row>
    <row r="28" spans="1:26" x14ac:dyDescent="0.25">
      <c r="A28" s="4">
        <f t="shared" si="0"/>
        <v>18</v>
      </c>
      <c r="C28" s="4"/>
      <c r="F28" s="4"/>
      <c r="H28" s="4"/>
      <c r="I28" s="46"/>
      <c r="J28" s="4">
        <f t="shared" si="1"/>
        <v>18</v>
      </c>
      <c r="K28" s="358"/>
    </row>
    <row r="29" spans="1:26" x14ac:dyDescent="0.25">
      <c r="A29" s="4">
        <f t="shared" si="0"/>
        <v>19</v>
      </c>
      <c r="B29" s="31" t="s">
        <v>1941</v>
      </c>
      <c r="C29" s="4"/>
      <c r="E29" s="1287">
        <v>0</v>
      </c>
      <c r="F29" s="4"/>
      <c r="G29" s="47"/>
      <c r="H29" s="4"/>
      <c r="I29" s="4" t="s">
        <v>2057</v>
      </c>
      <c r="J29" s="4">
        <f t="shared" si="1"/>
        <v>19</v>
      </c>
      <c r="K29" s="358"/>
      <c r="L29" s="255"/>
    </row>
    <row r="30" spans="1:26" x14ac:dyDescent="0.25">
      <c r="A30" s="4">
        <f t="shared" si="0"/>
        <v>20</v>
      </c>
      <c r="C30" s="4"/>
      <c r="E30" s="70" t="s">
        <v>1</v>
      </c>
      <c r="F30" s="41"/>
      <c r="G30" s="70"/>
      <c r="H30" s="41"/>
      <c r="I30" s="46"/>
      <c r="J30" s="4">
        <f t="shared" si="1"/>
        <v>20</v>
      </c>
      <c r="K30" s="358"/>
    </row>
    <row r="31" spans="1:26" ht="19.5" thickBot="1" x14ac:dyDescent="0.3">
      <c r="A31" s="4">
        <f t="shared" si="0"/>
        <v>21</v>
      </c>
      <c r="B31" s="5" t="s">
        <v>2116</v>
      </c>
      <c r="C31" s="4"/>
      <c r="E31" s="77">
        <f>E27*E29</f>
        <v>0</v>
      </c>
      <c r="F31" s="1"/>
      <c r="G31" s="75"/>
      <c r="H31" s="41"/>
      <c r="I31" s="4" t="s">
        <v>1943</v>
      </c>
      <c r="J31" s="4">
        <f t="shared" si="1"/>
        <v>21</v>
      </c>
      <c r="K31" s="358"/>
    </row>
    <row r="32" spans="1:26" ht="16.5" thickTop="1" x14ac:dyDescent="0.25">
      <c r="A32" s="4">
        <f t="shared" si="0"/>
        <v>22</v>
      </c>
      <c r="C32" s="4"/>
      <c r="E32" s="75"/>
      <c r="F32" s="71"/>
      <c r="G32" s="75"/>
      <c r="H32" s="41"/>
      <c r="I32" s="4"/>
      <c r="J32" s="4">
        <f t="shared" si="1"/>
        <v>22</v>
      </c>
      <c r="K32" s="358"/>
    </row>
    <row r="33" spans="1:11" ht="18.75" x14ac:dyDescent="0.25">
      <c r="A33" s="4">
        <f t="shared" si="0"/>
        <v>23</v>
      </c>
      <c r="B33" s="1293" t="s">
        <v>2115</v>
      </c>
      <c r="C33" s="4"/>
      <c r="E33" s="38"/>
      <c r="F33" s="41"/>
      <c r="G33" s="41"/>
      <c r="H33" s="41"/>
      <c r="I33" s="46"/>
      <c r="J33" s="4">
        <f t="shared" si="1"/>
        <v>23</v>
      </c>
      <c r="K33" s="358"/>
    </row>
    <row r="34" spans="1:11" x14ac:dyDescent="0.25">
      <c r="A34" s="4">
        <f t="shared" si="0"/>
        <v>24</v>
      </c>
      <c r="B34" s="31" t="s">
        <v>842</v>
      </c>
      <c r="C34" s="4"/>
      <c r="E34" s="48">
        <f>E26</f>
        <v>0</v>
      </c>
      <c r="F34" s="41"/>
      <c r="G34" s="48"/>
      <c r="H34" s="41"/>
      <c r="I34" s="46" t="s">
        <v>1944</v>
      </c>
      <c r="J34" s="4">
        <f t="shared" si="1"/>
        <v>24</v>
      </c>
      <c r="K34" s="358"/>
    </row>
    <row r="35" spans="1:11" x14ac:dyDescent="0.25">
      <c r="A35" s="4">
        <f t="shared" si="0"/>
        <v>25</v>
      </c>
      <c r="C35" s="4"/>
      <c r="E35" s="114"/>
      <c r="F35" s="41"/>
      <c r="G35" s="48"/>
      <c r="H35" s="41"/>
      <c r="I35" s="46"/>
      <c r="J35" s="4">
        <f t="shared" si="1"/>
        <v>25</v>
      </c>
      <c r="K35" s="358"/>
    </row>
    <row r="36" spans="1:11" x14ac:dyDescent="0.25">
      <c r="A36" s="4">
        <f t="shared" si="0"/>
        <v>26</v>
      </c>
      <c r="B36" s="31" t="s">
        <v>1941</v>
      </c>
      <c r="C36" s="4"/>
      <c r="E36" s="1041">
        <f>E29</f>
        <v>0</v>
      </c>
      <c r="F36" s="4"/>
      <c r="G36" s="47"/>
      <c r="H36" s="4"/>
      <c r="I36" s="46" t="s">
        <v>1945</v>
      </c>
      <c r="J36" s="4">
        <f t="shared" si="1"/>
        <v>26</v>
      </c>
      <c r="K36" s="358"/>
    </row>
    <row r="37" spans="1:11" x14ac:dyDescent="0.25">
      <c r="A37" s="4">
        <f t="shared" si="0"/>
        <v>27</v>
      </c>
      <c r="C37" s="4"/>
      <c r="E37" s="47"/>
      <c r="F37" s="4"/>
      <c r="G37" s="47"/>
      <c r="H37" s="4"/>
      <c r="I37" s="46"/>
      <c r="J37" s="4">
        <f t="shared" si="1"/>
        <v>27</v>
      </c>
      <c r="K37" s="358"/>
    </row>
    <row r="38" spans="1:11" ht="18.75" x14ac:dyDescent="0.25">
      <c r="A38" s="4">
        <f t="shared" si="0"/>
        <v>28</v>
      </c>
      <c r="B38" s="5" t="s">
        <v>2114</v>
      </c>
      <c r="C38" s="4"/>
      <c r="E38" s="917">
        <f>E34*E36</f>
        <v>0</v>
      </c>
      <c r="F38" s="4"/>
      <c r="G38" s="47"/>
      <c r="H38" s="4"/>
      <c r="I38" s="4" t="s">
        <v>1946</v>
      </c>
      <c r="J38" s="4">
        <f t="shared" si="1"/>
        <v>28</v>
      </c>
      <c r="K38" s="358"/>
    </row>
    <row r="39" spans="1:11" x14ac:dyDescent="0.25">
      <c r="A39" s="4">
        <f t="shared" si="0"/>
        <v>29</v>
      </c>
      <c r="C39" s="4"/>
      <c r="J39" s="4">
        <f t="shared" si="1"/>
        <v>29</v>
      </c>
      <c r="K39" s="358"/>
    </row>
    <row r="40" spans="1:11" ht="18.75" x14ac:dyDescent="0.25">
      <c r="A40" s="4">
        <f t="shared" si="0"/>
        <v>30</v>
      </c>
      <c r="B40" s="32" t="s">
        <v>1646</v>
      </c>
      <c r="C40" s="4"/>
      <c r="E40" s="868">
        <f>IFERROR('Stmt AV'!F143,0)</f>
        <v>9.5186014302326788E-2</v>
      </c>
      <c r="F40" s="1"/>
      <c r="I40" s="4" t="s">
        <v>1743</v>
      </c>
      <c r="J40" s="4">
        <f t="shared" si="1"/>
        <v>30</v>
      </c>
      <c r="K40" s="358"/>
    </row>
    <row r="41" spans="1:11" x14ac:dyDescent="0.25">
      <c r="A41" s="4">
        <f t="shared" si="0"/>
        <v>31</v>
      </c>
      <c r="B41" s="32"/>
      <c r="C41" s="4"/>
      <c r="E41" s="26"/>
      <c r="F41" s="1"/>
      <c r="I41" s="4"/>
      <c r="J41" s="4">
        <f t="shared" si="1"/>
        <v>31</v>
      </c>
      <c r="K41" s="358"/>
    </row>
    <row r="42" spans="1:11" ht="16.5" thickBot="1" x14ac:dyDescent="0.3">
      <c r="A42" s="4">
        <f t="shared" si="0"/>
        <v>32</v>
      </c>
      <c r="B42" s="31" t="s">
        <v>1949</v>
      </c>
      <c r="C42" s="4"/>
      <c r="E42" s="1113">
        <f>E38*E40</f>
        <v>0</v>
      </c>
      <c r="F42" s="1"/>
      <c r="I42" s="4" t="s">
        <v>1947</v>
      </c>
      <c r="J42" s="4">
        <f t="shared" si="1"/>
        <v>32</v>
      </c>
      <c r="K42" s="358"/>
    </row>
    <row r="43" spans="1:11" ht="16.5" thickTop="1" x14ac:dyDescent="0.25">
      <c r="A43" s="4">
        <f t="shared" si="0"/>
        <v>33</v>
      </c>
      <c r="C43" s="4"/>
      <c r="E43" s="75"/>
      <c r="I43" s="4"/>
      <c r="J43" s="4">
        <f t="shared" si="1"/>
        <v>33</v>
      </c>
      <c r="K43" s="358"/>
    </row>
    <row r="44" spans="1:11" ht="18.75" x14ac:dyDescent="0.25">
      <c r="A44" s="4">
        <f t="shared" si="0"/>
        <v>34</v>
      </c>
      <c r="B44" s="32" t="s">
        <v>1648</v>
      </c>
      <c r="C44" s="4"/>
      <c r="E44" s="1224">
        <f>IFERROR('Stmt AV'!F183,0)</f>
        <v>0</v>
      </c>
      <c r="I44" s="4" t="s">
        <v>1745</v>
      </c>
      <c r="J44" s="4">
        <f t="shared" si="1"/>
        <v>34</v>
      </c>
      <c r="K44" s="358"/>
    </row>
    <row r="45" spans="1:11" x14ac:dyDescent="0.25">
      <c r="A45" s="4">
        <f t="shared" si="0"/>
        <v>35</v>
      </c>
      <c r="C45" s="4"/>
      <c r="E45" s="75"/>
      <c r="I45" s="4"/>
      <c r="J45" s="4">
        <f t="shared" si="1"/>
        <v>35</v>
      </c>
      <c r="K45" s="358"/>
    </row>
    <row r="46" spans="1:11" ht="16.5" thickBot="1" x14ac:dyDescent="0.3">
      <c r="A46" s="4">
        <f t="shared" si="0"/>
        <v>36</v>
      </c>
      <c r="B46" s="31" t="s">
        <v>1950</v>
      </c>
      <c r="C46" s="4"/>
      <c r="E46" s="77">
        <f>E38*E44</f>
        <v>0</v>
      </c>
      <c r="I46" s="4" t="s">
        <v>1948</v>
      </c>
      <c r="J46" s="4">
        <f t="shared" si="1"/>
        <v>36</v>
      </c>
      <c r="K46" s="358"/>
    </row>
    <row r="47" spans="1:11" ht="16.5" thickTop="1" x14ac:dyDescent="0.25">
      <c r="C47" s="4"/>
      <c r="E47" s="75"/>
      <c r="I47" s="4"/>
      <c r="J47" s="4"/>
    </row>
    <row r="48" spans="1:11" x14ac:dyDescent="0.25">
      <c r="C48" s="4"/>
    </row>
    <row r="49" spans="1:4" ht="18.75" x14ac:dyDescent="0.25">
      <c r="A49" s="253">
        <v>1</v>
      </c>
      <c r="B49" s="31" t="s">
        <v>854</v>
      </c>
      <c r="C49" s="4"/>
    </row>
    <row r="50" spans="1:4" ht="18.75" x14ac:dyDescent="0.25">
      <c r="A50" s="1223"/>
      <c r="B50" s="414"/>
      <c r="C50" s="338"/>
      <c r="D50" s="414"/>
    </row>
    <row r="51" spans="1:4" x14ac:dyDescent="0.25">
      <c r="A51" s="218"/>
      <c r="B51" s="1"/>
    </row>
  </sheetData>
  <mergeCells count="5">
    <mergeCell ref="B2:I2"/>
    <mergeCell ref="B3:I3"/>
    <mergeCell ref="B4:I4"/>
    <mergeCell ref="B5:I5"/>
    <mergeCell ref="B6:I6"/>
  </mergeCells>
  <printOptions horizontalCentered="1"/>
  <pageMargins left="0.5" right="0.5" top="0.5" bottom="0.5" header="0.25" footer="0.25"/>
  <pageSetup scale="46"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34"/>
  <sheetViews>
    <sheetView zoomScaleNormal="100"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62.5703125" style="300" customWidth="1"/>
    <col min="5" max="5" width="5.28515625" style="300" customWidth="1"/>
    <col min="6" max="6" width="21.28515625" style="87" customWidth="1"/>
    <col min="7" max="7" width="20.28515625" style="87" customWidth="1"/>
    <col min="8" max="8" width="17.42578125" style="87" customWidth="1"/>
    <col min="9" max="9" width="16.7109375" style="87" customWidth="1"/>
    <col min="10" max="10" width="21.28515625" style="1" customWidth="1"/>
    <col min="11" max="11" width="15" style="1" customWidth="1"/>
    <col min="12" max="12" width="11" style="1" customWidth="1"/>
    <col min="13" max="13" width="7.28515625" style="1" customWidth="1"/>
    <col min="14" max="14" width="9.28515625" style="1" customWidth="1"/>
    <col min="15" max="15" width="14" style="1" customWidth="1"/>
    <col min="16" max="16" width="13.42578125" style="1" customWidth="1"/>
    <col min="17" max="16384" width="9.28515625" style="1"/>
  </cols>
  <sheetData>
    <row r="1" spans="1:8" ht="18.75" x14ac:dyDescent="0.25">
      <c r="G1" s="1219"/>
      <c r="H1" s="1212"/>
    </row>
    <row r="2" spans="1:8" x14ac:dyDescent="0.25">
      <c r="B2" s="1294" t="s">
        <v>0</v>
      </c>
      <c r="C2" s="1294"/>
      <c r="D2" s="1294"/>
      <c r="E2" s="300" t="s">
        <v>1</v>
      </c>
      <c r="F2" s="1"/>
    </row>
    <row r="3" spans="1:8" x14ac:dyDescent="0.25">
      <c r="B3" s="1294" t="s">
        <v>856</v>
      </c>
      <c r="C3" s="1294"/>
      <c r="D3" s="1294"/>
      <c r="E3" s="300" t="s">
        <v>1</v>
      </c>
      <c r="F3" s="1"/>
    </row>
    <row r="4" spans="1:8" x14ac:dyDescent="0.25">
      <c r="B4" s="1294" t="s">
        <v>857</v>
      </c>
      <c r="C4" s="1294"/>
      <c r="D4" s="1294"/>
      <c r="E4" s="300" t="s">
        <v>1</v>
      </c>
      <c r="F4" s="1"/>
    </row>
    <row r="5" spans="1:8" x14ac:dyDescent="0.25">
      <c r="B5" s="1294" t="str">
        <f>'AD-1'!B5</f>
        <v>BASE PERIOD / TRUE UP PERIOD - 12/31/2023 PER BOOK</v>
      </c>
      <c r="C5" s="1294"/>
      <c r="D5" s="1294"/>
      <c r="E5" s="218"/>
      <c r="F5" s="1"/>
    </row>
    <row r="6" spans="1:8" x14ac:dyDescent="0.25">
      <c r="B6" s="1323" t="s">
        <v>4</v>
      </c>
      <c r="C6" s="1323"/>
      <c r="D6" s="1323"/>
      <c r="E6" s="300" t="s">
        <v>1</v>
      </c>
      <c r="F6" s="268"/>
    </row>
    <row r="7" spans="1:8" x14ac:dyDescent="0.25">
      <c r="B7" s="448"/>
      <c r="C7" s="268"/>
      <c r="F7" s="268"/>
    </row>
    <row r="8" spans="1:8" x14ac:dyDescent="0.25">
      <c r="B8" s="1294" t="s">
        <v>858</v>
      </c>
      <c r="C8" s="1294"/>
      <c r="D8" s="1294"/>
      <c r="E8" s="218"/>
      <c r="F8" s="268"/>
    </row>
    <row r="9" spans="1:8" x14ac:dyDescent="0.25">
      <c r="B9" s="1294" t="s">
        <v>859</v>
      </c>
      <c r="C9" s="1294"/>
      <c r="D9" s="1294"/>
      <c r="E9" s="218"/>
    </row>
    <row r="10" spans="1:8" x14ac:dyDescent="0.25">
      <c r="B10" s="920"/>
      <c r="C10" s="1042"/>
      <c r="E10" s="300" t="s">
        <v>1</v>
      </c>
    </row>
    <row r="11" spans="1:8" x14ac:dyDescent="0.25">
      <c r="B11" s="927"/>
      <c r="C11" s="946" t="s">
        <v>177</v>
      </c>
      <c r="D11" s="928"/>
      <c r="E11" s="4"/>
      <c r="F11" s="31"/>
    </row>
    <row r="12" spans="1:8" x14ac:dyDescent="0.25">
      <c r="B12" s="273"/>
      <c r="C12" s="270" t="s">
        <v>860</v>
      </c>
      <c r="D12" s="270"/>
      <c r="E12" s="4"/>
      <c r="F12" s="31"/>
    </row>
    <row r="13" spans="1:8" x14ac:dyDescent="0.25">
      <c r="A13" s="4" t="s">
        <v>5</v>
      </c>
      <c r="B13" s="270"/>
      <c r="C13" s="270" t="s">
        <v>861</v>
      </c>
      <c r="D13" s="270"/>
      <c r="E13" s="4" t="s">
        <v>5</v>
      </c>
      <c r="F13" s="31"/>
    </row>
    <row r="14" spans="1:8" x14ac:dyDescent="0.25">
      <c r="A14" s="4" t="s">
        <v>6</v>
      </c>
      <c r="B14" s="275" t="s">
        <v>255</v>
      </c>
      <c r="C14" s="270" t="s">
        <v>862</v>
      </c>
      <c r="D14" s="275" t="s">
        <v>8</v>
      </c>
      <c r="E14" s="4" t="s">
        <v>6</v>
      </c>
      <c r="F14" s="31"/>
    </row>
    <row r="15" spans="1:8" x14ac:dyDescent="0.25">
      <c r="A15" s="449">
        <v>1</v>
      </c>
      <c r="B15" s="931" t="str">
        <f>'AG-1'!B14</f>
        <v>Dec-22</v>
      </c>
      <c r="C15" s="1043">
        <v>125709.182</v>
      </c>
      <c r="D15" s="942" t="s">
        <v>258</v>
      </c>
      <c r="E15" s="449">
        <f>A15</f>
        <v>1</v>
      </c>
      <c r="F15" s="450"/>
    </row>
    <row r="16" spans="1:8" x14ac:dyDescent="0.25">
      <c r="A16" s="449">
        <f>A15+1</f>
        <v>2</v>
      </c>
      <c r="B16" s="931" t="str">
        <f>'AG-1'!B15</f>
        <v>Jan-23</v>
      </c>
      <c r="C16" s="233">
        <v>133597.03200000001</v>
      </c>
      <c r="D16" s="942"/>
      <c r="E16" s="449">
        <f>E15+1</f>
        <v>2</v>
      </c>
      <c r="F16" s="450"/>
    </row>
    <row r="17" spans="1:6" x14ac:dyDescent="0.25">
      <c r="A17" s="449">
        <f t="shared" ref="A17:A32" si="0">A16+1</f>
        <v>3</v>
      </c>
      <c r="B17" s="934" t="s">
        <v>260</v>
      </c>
      <c r="C17" s="233">
        <v>134218.87</v>
      </c>
      <c r="D17" s="942"/>
      <c r="E17" s="449">
        <f t="shared" ref="E17:E32" si="1">E16+1</f>
        <v>3</v>
      </c>
      <c r="F17" s="450"/>
    </row>
    <row r="18" spans="1:6" x14ac:dyDescent="0.25">
      <c r="A18" s="449">
        <f t="shared" si="0"/>
        <v>4</v>
      </c>
      <c r="B18" s="934" t="s">
        <v>261</v>
      </c>
      <c r="C18" s="233">
        <v>133444.23000000001</v>
      </c>
      <c r="D18" s="942"/>
      <c r="E18" s="449">
        <f t="shared" si="1"/>
        <v>4</v>
      </c>
      <c r="F18" s="450"/>
    </row>
    <row r="19" spans="1:6" x14ac:dyDescent="0.25">
      <c r="A19" s="449">
        <f t="shared" si="0"/>
        <v>5</v>
      </c>
      <c r="B19" s="934" t="s">
        <v>262</v>
      </c>
      <c r="C19" s="233">
        <v>134071.856</v>
      </c>
      <c r="D19" s="942"/>
      <c r="E19" s="449">
        <f t="shared" si="1"/>
        <v>5</v>
      </c>
      <c r="F19" s="450"/>
    </row>
    <row r="20" spans="1:6" x14ac:dyDescent="0.25">
      <c r="A20" s="449">
        <f t="shared" si="0"/>
        <v>6</v>
      </c>
      <c r="B20" s="934" t="s">
        <v>263</v>
      </c>
      <c r="C20" s="233">
        <v>133642.514</v>
      </c>
      <c r="D20" s="942"/>
      <c r="E20" s="449">
        <f t="shared" si="1"/>
        <v>6</v>
      </c>
      <c r="F20" s="450"/>
    </row>
    <row r="21" spans="1:6" x14ac:dyDescent="0.25">
      <c r="A21" s="449">
        <f t="shared" si="0"/>
        <v>7</v>
      </c>
      <c r="B21" s="934" t="s">
        <v>264</v>
      </c>
      <c r="C21" s="233">
        <v>133450.408</v>
      </c>
      <c r="D21" s="942"/>
      <c r="E21" s="449">
        <f t="shared" si="1"/>
        <v>7</v>
      </c>
      <c r="F21" s="450"/>
    </row>
    <row r="22" spans="1:6" x14ac:dyDescent="0.25">
      <c r="A22" s="449">
        <f t="shared" si="0"/>
        <v>8</v>
      </c>
      <c r="B22" s="934" t="s">
        <v>265</v>
      </c>
      <c r="C22" s="233">
        <v>131639.28700000001</v>
      </c>
      <c r="D22" s="942"/>
      <c r="E22" s="449">
        <f t="shared" si="1"/>
        <v>8</v>
      </c>
      <c r="F22" s="450"/>
    </row>
    <row r="23" spans="1:6" x14ac:dyDescent="0.25">
      <c r="A23" s="449">
        <f t="shared" si="0"/>
        <v>9</v>
      </c>
      <c r="B23" s="934" t="s">
        <v>266</v>
      </c>
      <c r="C23" s="233">
        <v>132704.78700000001</v>
      </c>
      <c r="D23" s="942"/>
      <c r="E23" s="449">
        <f t="shared" si="1"/>
        <v>9</v>
      </c>
      <c r="F23" s="450"/>
    </row>
    <row r="24" spans="1:6" x14ac:dyDescent="0.25">
      <c r="A24" s="449">
        <f t="shared" si="0"/>
        <v>10</v>
      </c>
      <c r="B24" s="934" t="s">
        <v>267</v>
      </c>
      <c r="C24" s="233">
        <v>135792.51999999999</v>
      </c>
      <c r="D24" s="942"/>
      <c r="E24" s="449">
        <f t="shared" si="1"/>
        <v>10</v>
      </c>
      <c r="F24" s="450"/>
    </row>
    <row r="25" spans="1:6" x14ac:dyDescent="0.25">
      <c r="A25" s="449">
        <f t="shared" si="0"/>
        <v>11</v>
      </c>
      <c r="B25" s="934" t="s">
        <v>268</v>
      </c>
      <c r="C25" s="233">
        <v>137062.08799999999</v>
      </c>
      <c r="D25" s="942"/>
      <c r="E25" s="449">
        <f t="shared" si="1"/>
        <v>11</v>
      </c>
      <c r="F25" s="450"/>
    </row>
    <row r="26" spans="1:6" x14ac:dyDescent="0.25">
      <c r="A26" s="449">
        <f t="shared" si="0"/>
        <v>12</v>
      </c>
      <c r="B26" s="934" t="s">
        <v>269</v>
      </c>
      <c r="C26" s="233">
        <v>140765.24299999999</v>
      </c>
      <c r="D26" s="936"/>
      <c r="E26" s="449">
        <f t="shared" si="1"/>
        <v>12</v>
      </c>
      <c r="F26" s="450"/>
    </row>
    <row r="27" spans="1:6" x14ac:dyDescent="0.25">
      <c r="A27" s="449">
        <f t="shared" si="0"/>
        <v>13</v>
      </c>
      <c r="B27" s="630" t="str">
        <f>'AG-1'!B26</f>
        <v>Dec-23</v>
      </c>
      <c r="C27" s="94">
        <v>141620.29500000001</v>
      </c>
      <c r="D27" s="68" t="s">
        <v>258</v>
      </c>
      <c r="E27" s="449">
        <f t="shared" si="1"/>
        <v>13</v>
      </c>
      <c r="F27" s="450"/>
    </row>
    <row r="28" spans="1:6" x14ac:dyDescent="0.25">
      <c r="A28" s="449">
        <f t="shared" si="0"/>
        <v>14</v>
      </c>
      <c r="B28" s="1044"/>
      <c r="C28" s="1045"/>
      <c r="D28" s="1046"/>
      <c r="E28" s="449">
        <f t="shared" si="1"/>
        <v>14</v>
      </c>
      <c r="F28" s="31"/>
    </row>
    <row r="29" spans="1:6" x14ac:dyDescent="0.25">
      <c r="A29" s="449">
        <f t="shared" si="0"/>
        <v>15</v>
      </c>
      <c r="B29" s="278" t="s">
        <v>271</v>
      </c>
      <c r="C29" s="964">
        <f>SUM(C15:C27)</f>
        <v>1747718.3119999999</v>
      </c>
      <c r="D29" s="936" t="s">
        <v>272</v>
      </c>
      <c r="E29" s="449">
        <f t="shared" si="1"/>
        <v>15</v>
      </c>
      <c r="F29" s="31"/>
    </row>
    <row r="30" spans="1:6" x14ac:dyDescent="0.25">
      <c r="A30" s="449">
        <f t="shared" si="0"/>
        <v>16</v>
      </c>
      <c r="B30" s="117"/>
      <c r="C30" s="93"/>
      <c r="D30" s="68"/>
      <c r="E30" s="449">
        <f t="shared" si="1"/>
        <v>16</v>
      </c>
      <c r="F30" s="31"/>
    </row>
    <row r="31" spans="1:6" x14ac:dyDescent="0.25">
      <c r="A31" s="449">
        <f t="shared" si="0"/>
        <v>17</v>
      </c>
      <c r="B31" s="927"/>
      <c r="C31" s="1047"/>
      <c r="D31" s="1048"/>
      <c r="E31" s="449">
        <f t="shared" si="1"/>
        <v>17</v>
      </c>
      <c r="F31" s="31"/>
    </row>
    <row r="32" spans="1:6" x14ac:dyDescent="0.25">
      <c r="A32" s="449">
        <f t="shared" si="0"/>
        <v>18</v>
      </c>
      <c r="B32" s="278" t="s">
        <v>273</v>
      </c>
      <c r="C32" s="964">
        <f>C29/13</f>
        <v>134439.87015384616</v>
      </c>
      <c r="D32" s="570" t="s">
        <v>863</v>
      </c>
      <c r="E32" s="449">
        <f t="shared" si="1"/>
        <v>18</v>
      </c>
      <c r="F32" s="31"/>
    </row>
    <row r="33" spans="1:6" x14ac:dyDescent="0.25">
      <c r="A33" s="449">
        <f>A32+1</f>
        <v>19</v>
      </c>
      <c r="B33" s="117"/>
      <c r="C33" s="67"/>
      <c r="D33" s="451"/>
      <c r="E33" s="449">
        <f>E32+1</f>
        <v>19</v>
      </c>
      <c r="F33" s="31"/>
    </row>
    <row r="34" spans="1:6" x14ac:dyDescent="0.2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CF36-7662-4DEC-8B49-E005C15CAEA6}">
  <sheetPr>
    <pageSetUpPr fitToPage="1"/>
  </sheetPr>
  <dimension ref="A1:J22"/>
  <sheetViews>
    <sheetView zoomScaleNormal="100" workbookViewId="0"/>
  </sheetViews>
  <sheetFormatPr defaultRowHeight="15" x14ac:dyDescent="0.25"/>
  <cols>
    <col min="1" max="1" width="5.7109375" customWidth="1"/>
    <col min="2" max="2" width="50.7109375" customWidth="1"/>
    <col min="3" max="7" width="15.7109375" bestFit="1" customWidth="1"/>
    <col min="8" max="8" width="5.7109375" customWidth="1"/>
    <col min="9" max="10" width="14.28515625" bestFit="1" customWidth="1"/>
  </cols>
  <sheetData>
    <row r="1" spans="1:10" ht="15.75" x14ac:dyDescent="0.25">
      <c r="A1" s="743"/>
      <c r="B1" s="1236" t="s">
        <v>1081</v>
      </c>
      <c r="C1" s="1236"/>
      <c r="D1" s="1236"/>
      <c r="E1" s="1236"/>
      <c r="F1" s="1236"/>
      <c r="G1" s="1236"/>
      <c r="H1" s="743"/>
    </row>
    <row r="2" spans="1:10" ht="15.75" x14ac:dyDescent="0.25">
      <c r="A2" s="743"/>
      <c r="B2" s="1236" t="s">
        <v>1907</v>
      </c>
      <c r="C2" s="1236"/>
      <c r="D2" s="1236"/>
      <c r="E2" s="1236"/>
      <c r="F2" s="1236"/>
      <c r="G2" s="1236"/>
      <c r="H2" s="743"/>
    </row>
    <row r="3" spans="1:10" ht="15.75" x14ac:dyDescent="0.25">
      <c r="A3" s="743"/>
      <c r="B3" s="1236" t="s">
        <v>1908</v>
      </c>
      <c r="C3" s="1236"/>
      <c r="D3" s="1236"/>
      <c r="E3" s="1236"/>
      <c r="F3" s="1236"/>
      <c r="G3" s="1236"/>
      <c r="H3" s="743"/>
    </row>
    <row r="4" spans="1:10" x14ac:dyDescent="0.25">
      <c r="A4" s="743"/>
      <c r="B4" s="743"/>
      <c r="C4" s="743"/>
      <c r="D4" s="743"/>
      <c r="E4" s="743"/>
      <c r="F4" s="743"/>
      <c r="G4" s="743"/>
      <c r="H4" s="743"/>
    </row>
    <row r="5" spans="1:10" x14ac:dyDescent="0.25">
      <c r="A5" s="743"/>
      <c r="B5" s="743"/>
      <c r="C5" s="743"/>
      <c r="D5" s="743"/>
      <c r="E5" s="743"/>
      <c r="F5" s="743"/>
      <c r="G5" s="743"/>
      <c r="H5" s="743"/>
    </row>
    <row r="6" spans="1:10" x14ac:dyDescent="0.25">
      <c r="A6" s="1237" t="s">
        <v>5</v>
      </c>
      <c r="B6" s="1238"/>
      <c r="C6" s="1239" t="s">
        <v>184</v>
      </c>
      <c r="D6" s="1239" t="s">
        <v>185</v>
      </c>
      <c r="E6" s="1239" t="s">
        <v>186</v>
      </c>
      <c r="F6" s="1239" t="s">
        <v>937</v>
      </c>
      <c r="G6" s="1239" t="s">
        <v>938</v>
      </c>
      <c r="H6" s="1237" t="s">
        <v>5</v>
      </c>
    </row>
    <row r="7" spans="1:10" x14ac:dyDescent="0.25">
      <c r="A7" s="1240" t="s">
        <v>6</v>
      </c>
      <c r="B7" s="1240" t="s">
        <v>306</v>
      </c>
      <c r="C7" s="1240">
        <v>2019</v>
      </c>
      <c r="D7" s="1240">
        <v>2020</v>
      </c>
      <c r="E7" s="1240">
        <v>2021</v>
      </c>
      <c r="F7" s="1240">
        <v>2022</v>
      </c>
      <c r="G7" s="1240">
        <v>2023</v>
      </c>
      <c r="H7" s="1240" t="s">
        <v>6</v>
      </c>
      <c r="I7" s="1210"/>
      <c r="J7" s="1210"/>
    </row>
    <row r="8" spans="1:10" x14ac:dyDescent="0.25">
      <c r="A8" s="1241"/>
      <c r="B8" s="1241"/>
      <c r="C8" s="1237"/>
      <c r="D8" s="1237"/>
      <c r="E8" s="1237"/>
      <c r="F8" s="1237"/>
      <c r="G8" s="1237"/>
      <c r="H8" s="1241"/>
      <c r="I8" s="1210"/>
      <c r="J8" s="1210"/>
    </row>
    <row r="9" spans="1:10" x14ac:dyDescent="0.25">
      <c r="A9" s="1241">
        <v>1</v>
      </c>
      <c r="B9" s="743" t="s">
        <v>1900</v>
      </c>
      <c r="C9" s="1277">
        <v>28032083.275554635</v>
      </c>
      <c r="D9" s="1277">
        <v>41476871.977946028</v>
      </c>
      <c r="E9" s="1277">
        <v>41222106.863391981</v>
      </c>
      <c r="F9" s="1277">
        <v>38624109.001901008</v>
      </c>
      <c r="G9" s="1277">
        <v>39657958.76431004</v>
      </c>
      <c r="H9" s="1241">
        <v>1</v>
      </c>
      <c r="I9" s="1210"/>
      <c r="J9" s="1210"/>
    </row>
    <row r="10" spans="1:10" x14ac:dyDescent="0.25">
      <c r="A10" s="1241">
        <f>A9+1</f>
        <v>2</v>
      </c>
      <c r="B10" s="743" t="s">
        <v>1901</v>
      </c>
      <c r="C10" s="1277">
        <v>187722577.80256709</v>
      </c>
      <c r="D10" s="1277">
        <v>255563501.80947006</v>
      </c>
      <c r="E10" s="1277">
        <v>300013149.61159813</v>
      </c>
      <c r="F10" s="1277">
        <v>253640454.53384992</v>
      </c>
      <c r="G10" s="1277">
        <v>298072924.43294001</v>
      </c>
      <c r="H10" s="1241">
        <f>H9+1</f>
        <v>2</v>
      </c>
      <c r="I10" s="1210"/>
      <c r="J10" s="1210"/>
    </row>
    <row r="11" spans="1:10" ht="15.75" thickBot="1" x14ac:dyDescent="0.3">
      <c r="A11" s="1241">
        <f t="shared" ref="A11:A21" si="0">A10+1</f>
        <v>3</v>
      </c>
      <c r="B11" s="743" t="s">
        <v>1902</v>
      </c>
      <c r="C11" s="1242">
        <f>SUM(C7:C10)</f>
        <v>215756680.07812172</v>
      </c>
      <c r="D11" s="1242">
        <f t="shared" ref="D11:G11" si="1">SUM(D7:D10)</f>
        <v>297042393.7874161</v>
      </c>
      <c r="E11" s="1242">
        <f t="shared" si="1"/>
        <v>341237277.47499013</v>
      </c>
      <c r="F11" s="1242">
        <f t="shared" si="1"/>
        <v>292266585.53575093</v>
      </c>
      <c r="G11" s="1242">
        <f t="shared" si="1"/>
        <v>337732906.19725007</v>
      </c>
      <c r="H11" s="1241">
        <f t="shared" ref="H11:H21" si="2">H10+1</f>
        <v>3</v>
      </c>
      <c r="I11" s="1210"/>
      <c r="J11" s="1210"/>
    </row>
    <row r="12" spans="1:10" ht="15.75" thickTop="1" x14ac:dyDescent="0.25">
      <c r="A12" s="1241">
        <f t="shared" si="0"/>
        <v>4</v>
      </c>
      <c r="B12" s="743"/>
      <c r="C12" s="743"/>
      <c r="D12" s="743"/>
      <c r="E12" s="743"/>
      <c r="F12" s="743"/>
      <c r="G12" s="743"/>
      <c r="H12" s="1241">
        <f t="shared" si="2"/>
        <v>4</v>
      </c>
      <c r="I12" s="1210"/>
      <c r="J12" s="1210"/>
    </row>
    <row r="13" spans="1:10" x14ac:dyDescent="0.25">
      <c r="A13" s="1241">
        <f t="shared" si="0"/>
        <v>5</v>
      </c>
      <c r="B13" s="743"/>
      <c r="C13" s="743"/>
      <c r="D13" s="743"/>
      <c r="E13" s="743"/>
      <c r="F13" s="743"/>
      <c r="G13" s="743"/>
      <c r="H13" s="1241">
        <f t="shared" si="2"/>
        <v>5</v>
      </c>
      <c r="I13" s="1210"/>
      <c r="J13" s="1210"/>
    </row>
    <row r="14" spans="1:10" x14ac:dyDescent="0.25">
      <c r="A14" s="1241">
        <f t="shared" si="0"/>
        <v>6</v>
      </c>
      <c r="B14" s="743"/>
      <c r="C14" s="1240">
        <v>2019</v>
      </c>
      <c r="D14" s="1240">
        <v>2020</v>
      </c>
      <c r="E14" s="1240">
        <v>2021</v>
      </c>
      <c r="F14" s="1240">
        <v>2022</v>
      </c>
      <c r="G14" s="1240">
        <v>2023</v>
      </c>
      <c r="H14" s="1241">
        <f t="shared" si="2"/>
        <v>6</v>
      </c>
      <c r="I14" s="1210"/>
      <c r="J14" s="1210"/>
    </row>
    <row r="15" spans="1:10" x14ac:dyDescent="0.25">
      <c r="A15" s="1241">
        <f t="shared" si="0"/>
        <v>7</v>
      </c>
      <c r="B15" s="743" t="s">
        <v>1903</v>
      </c>
      <c r="C15" s="1277">
        <v>5391933.0520282285</v>
      </c>
      <c r="D15" s="1277">
        <v>7620017.9122799877</v>
      </c>
      <c r="E15" s="1277">
        <v>7393840.8554184232</v>
      </c>
      <c r="F15" s="1277">
        <v>5419644.1395321097</v>
      </c>
      <c r="G15" s="1277">
        <v>5048929.8127419995</v>
      </c>
      <c r="H15" s="1241">
        <f t="shared" si="2"/>
        <v>7</v>
      </c>
      <c r="I15" s="1210"/>
      <c r="J15" s="1210"/>
    </row>
    <row r="16" spans="1:10" x14ac:dyDescent="0.25">
      <c r="A16" s="1241">
        <f t="shared" si="0"/>
        <v>8</v>
      </c>
      <c r="B16" s="743" t="s">
        <v>1904</v>
      </c>
      <c r="C16" s="1277">
        <v>67063720.728520617</v>
      </c>
      <c r="D16" s="1277">
        <v>71080443.168742314</v>
      </c>
      <c r="E16" s="1277">
        <v>94127527.842851281</v>
      </c>
      <c r="F16" s="1277">
        <v>45452242.616046689</v>
      </c>
      <c r="G16" s="1277">
        <v>64268234.434587993</v>
      </c>
      <c r="H16" s="1241">
        <f t="shared" si="2"/>
        <v>8</v>
      </c>
      <c r="I16" s="1210"/>
      <c r="J16" s="1210"/>
    </row>
    <row r="17" spans="1:10" ht="15.75" thickBot="1" x14ac:dyDescent="0.3">
      <c r="A17" s="1241">
        <f t="shared" si="0"/>
        <v>9</v>
      </c>
      <c r="B17" s="743" t="s">
        <v>1905</v>
      </c>
      <c r="C17" s="1242">
        <f>SUM(C14:C16)</f>
        <v>72457672.780548841</v>
      </c>
      <c r="D17" s="1242">
        <f t="shared" ref="D17:G17" si="3">SUM(D14:D16)</f>
        <v>78702481.081022307</v>
      </c>
      <c r="E17" s="1242">
        <f t="shared" si="3"/>
        <v>101523389.69826971</v>
      </c>
      <c r="F17" s="1242">
        <f t="shared" si="3"/>
        <v>50873908.755578801</v>
      </c>
      <c r="G17" s="1242">
        <f t="shared" si="3"/>
        <v>69319187.247329995</v>
      </c>
      <c r="H17" s="1241">
        <f t="shared" si="2"/>
        <v>9</v>
      </c>
      <c r="I17" s="1220"/>
      <c r="J17" s="1220"/>
    </row>
    <row r="18" spans="1:10" ht="15.75" thickTop="1" x14ac:dyDescent="0.25">
      <c r="A18" s="1241">
        <f t="shared" si="0"/>
        <v>10</v>
      </c>
      <c r="B18" s="743"/>
      <c r="C18" s="743"/>
      <c r="D18" s="743"/>
      <c r="E18" s="743"/>
      <c r="F18" s="743"/>
      <c r="G18" s="743"/>
      <c r="H18" s="1241">
        <f t="shared" si="2"/>
        <v>10</v>
      </c>
      <c r="I18" s="1220"/>
      <c r="J18" s="1220"/>
    </row>
    <row r="19" spans="1:10" x14ac:dyDescent="0.25">
      <c r="A19" s="1241">
        <f t="shared" si="0"/>
        <v>11</v>
      </c>
      <c r="B19" s="743" t="s">
        <v>1906</v>
      </c>
      <c r="C19" s="1278">
        <f>+C17/C11</f>
        <v>0.3358304955114863</v>
      </c>
      <c r="D19" s="1278">
        <f t="shared" ref="D19:G19" si="4">+D17/D11</f>
        <v>0.2649536992936678</v>
      </c>
      <c r="E19" s="1278">
        <f t="shared" si="4"/>
        <v>0.29751553068732511</v>
      </c>
      <c r="F19" s="1278">
        <f t="shared" si="4"/>
        <v>0.17406679816757825</v>
      </c>
      <c r="G19" s="1278">
        <f t="shared" si="4"/>
        <v>0.20524854396877959</v>
      </c>
      <c r="H19" s="1241">
        <f t="shared" si="2"/>
        <v>11</v>
      </c>
      <c r="I19" s="1221"/>
      <c r="J19" s="1221"/>
    </row>
    <row r="20" spans="1:10" x14ac:dyDescent="0.25">
      <c r="A20" s="1241">
        <f t="shared" si="0"/>
        <v>12</v>
      </c>
      <c r="B20" s="743"/>
      <c r="C20" s="743"/>
      <c r="D20" s="743"/>
      <c r="E20" s="743"/>
      <c r="F20" s="743"/>
      <c r="G20" s="743"/>
      <c r="H20" s="1241">
        <f t="shared" si="2"/>
        <v>12</v>
      </c>
      <c r="I20" s="1210"/>
      <c r="J20" s="1210"/>
    </row>
    <row r="21" spans="1:10" x14ac:dyDescent="0.25">
      <c r="A21" s="1241">
        <f t="shared" si="0"/>
        <v>13</v>
      </c>
      <c r="B21" s="743" t="s">
        <v>1909</v>
      </c>
      <c r="C21" s="743"/>
      <c r="D21" s="743"/>
      <c r="E21" s="1279">
        <f>AVERAGE(C19:E19)</f>
        <v>0.29943324183082637</v>
      </c>
      <c r="F21" s="1279">
        <f>AVERAGE(D19:F19)</f>
        <v>0.24551200938285703</v>
      </c>
      <c r="G21" s="1280">
        <f>AVERAGE(E19:G19)</f>
        <v>0.22561029094122764</v>
      </c>
      <c r="H21" s="1241">
        <f t="shared" si="2"/>
        <v>13</v>
      </c>
      <c r="I21" s="1210"/>
      <c r="J21" s="1210"/>
    </row>
    <row r="22" spans="1:10" x14ac:dyDescent="0.25">
      <c r="A22" s="750"/>
      <c r="B22" s="750"/>
      <c r="C22" s="750"/>
      <c r="D22" s="750"/>
      <c r="E22" s="750"/>
      <c r="F22" s="750"/>
      <c r="G22" s="750"/>
      <c r="H22" s="750"/>
      <c r="I22" s="1221"/>
      <c r="J22" s="1210"/>
    </row>
  </sheetData>
  <pageMargins left="0.7" right="0.7" top="0.75" bottom="0.75" header="0.3" footer="0.3"/>
  <pageSetup scale="87" orientation="landscape" horizontalDpi="1200" verticalDpi="1200" r:id="rId1"/>
  <headerFooter scaleWithDoc="0">
    <oddFooter>&amp;C&amp;A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42"/>
  <sheetViews>
    <sheetView zoomScaleNormal="100" workbookViewId="0">
      <selection activeCell="C13" sqref="C13"/>
    </sheetView>
  </sheetViews>
  <sheetFormatPr defaultColWidth="9.28515625" defaultRowHeight="15.75" x14ac:dyDescent="0.25"/>
  <cols>
    <col min="1" max="1" width="5.28515625" style="218" customWidth="1"/>
    <col min="2" max="2" width="35.28515625" style="1" customWidth="1"/>
    <col min="3" max="3" width="18.5703125" style="87" customWidth="1"/>
    <col min="4" max="4" width="62.5703125" style="87" customWidth="1"/>
    <col min="5" max="5" width="5.28515625" style="300" customWidth="1"/>
    <col min="6" max="6" width="9.42578125" style="1" bestFit="1" customWidth="1"/>
    <col min="7" max="16384" width="9.28515625" style="1"/>
  </cols>
  <sheetData>
    <row r="1" spans="1:9" ht="18.75" x14ac:dyDescent="0.25">
      <c r="G1" s="1212"/>
      <c r="H1" s="1212"/>
      <c r="I1" s="277"/>
    </row>
    <row r="2" spans="1:9" s="31" customFormat="1" x14ac:dyDescent="0.25">
      <c r="A2" s="4"/>
      <c r="B2" s="1294" t="s">
        <v>0</v>
      </c>
      <c r="C2" s="1294"/>
      <c r="D2" s="1294"/>
      <c r="E2" s="4"/>
      <c r="F2" s="1"/>
    </row>
    <row r="3" spans="1:9" s="31" customFormat="1" x14ac:dyDescent="0.25">
      <c r="A3" s="4"/>
      <c r="B3" s="1294" t="s">
        <v>856</v>
      </c>
      <c r="C3" s="1294"/>
      <c r="D3" s="1294"/>
      <c r="E3" s="4"/>
      <c r="F3" s="1"/>
    </row>
    <row r="4" spans="1:9" s="31" customFormat="1" x14ac:dyDescent="0.25">
      <c r="A4" s="4"/>
      <c r="B4" s="1294" t="s">
        <v>857</v>
      </c>
      <c r="C4" s="1294"/>
      <c r="D4" s="1294"/>
      <c r="E4" s="4"/>
      <c r="F4" s="1"/>
    </row>
    <row r="5" spans="1:9" s="31" customFormat="1" x14ac:dyDescent="0.25">
      <c r="A5" s="4"/>
      <c r="B5" s="1294" t="str">
        <f>'AD-1'!B5</f>
        <v>BASE PERIOD / TRUE UP PERIOD - 12/31/2023 PER BOOK</v>
      </c>
      <c r="C5" s="1294"/>
      <c r="D5" s="1294"/>
      <c r="E5" s="4"/>
      <c r="F5" s="1"/>
    </row>
    <row r="6" spans="1:9" s="31" customFormat="1" x14ac:dyDescent="0.25">
      <c r="A6" s="4"/>
      <c r="B6" s="1323" t="s">
        <v>4</v>
      </c>
      <c r="C6" s="1323"/>
      <c r="D6" s="1323"/>
      <c r="E6" s="300" t="s">
        <v>1</v>
      </c>
    </row>
    <row r="7" spans="1:9" s="31" customFormat="1" x14ac:dyDescent="0.25">
      <c r="A7" s="4"/>
      <c r="B7" s="452"/>
      <c r="C7" s="452"/>
      <c r="D7" s="452"/>
      <c r="E7" s="300"/>
    </row>
    <row r="8" spans="1:9" s="31" customFormat="1" x14ac:dyDescent="0.25">
      <c r="A8" s="4"/>
      <c r="B8" s="1294" t="s">
        <v>864</v>
      </c>
      <c r="C8" s="1294"/>
      <c r="D8" s="1294"/>
      <c r="E8" s="300" t="s">
        <v>1</v>
      </c>
    </row>
    <row r="9" spans="1:9" s="31" customFormat="1" x14ac:dyDescent="0.25">
      <c r="A9" s="4"/>
      <c r="B9" s="1049"/>
      <c r="C9" s="1042"/>
      <c r="D9" s="87"/>
      <c r="E9" s="300"/>
    </row>
    <row r="10" spans="1:9" s="31" customFormat="1" x14ac:dyDescent="0.25">
      <c r="A10" s="4"/>
      <c r="B10" s="1050"/>
      <c r="C10" s="946" t="s">
        <v>177</v>
      </c>
      <c r="D10" s="928"/>
    </row>
    <row r="11" spans="1:9" s="31" customFormat="1" x14ac:dyDescent="0.25">
      <c r="A11" s="4" t="s">
        <v>5</v>
      </c>
      <c r="B11" s="270"/>
      <c r="C11" s="270" t="s">
        <v>860</v>
      </c>
      <c r="D11" s="270"/>
      <c r="E11" s="4" t="s">
        <v>5</v>
      </c>
    </row>
    <row r="12" spans="1:9" s="31" customFormat="1" x14ac:dyDescent="0.25">
      <c r="A12" s="4" t="s">
        <v>6</v>
      </c>
      <c r="B12" s="275" t="s">
        <v>255</v>
      </c>
      <c r="C12" s="270" t="s">
        <v>865</v>
      </c>
      <c r="D12" s="275" t="s">
        <v>8</v>
      </c>
      <c r="E12" s="4" t="s">
        <v>6</v>
      </c>
    </row>
    <row r="13" spans="1:9" s="31" customFormat="1" x14ac:dyDescent="0.25">
      <c r="A13" s="449">
        <v>1</v>
      </c>
      <c r="B13" s="931" t="str">
        <f>'AL-1'!B15</f>
        <v>Dec-22</v>
      </c>
      <c r="C13" s="579">
        <v>131643.51116038</v>
      </c>
      <c r="D13" s="942" t="s">
        <v>258</v>
      </c>
      <c r="E13" s="449">
        <f>A13</f>
        <v>1</v>
      </c>
      <c r="F13" s="453"/>
    </row>
    <row r="14" spans="1:9" s="31" customFormat="1" x14ac:dyDescent="0.25">
      <c r="A14" s="449">
        <f>A13+1</f>
        <v>2</v>
      </c>
      <c r="B14" s="931" t="str">
        <f>'AL-1'!B16</f>
        <v>Jan-23</v>
      </c>
      <c r="C14" s="233">
        <v>118020.08627955998</v>
      </c>
      <c r="D14" s="942"/>
      <c r="E14" s="449">
        <f>E13+1</f>
        <v>2</v>
      </c>
      <c r="F14" s="453"/>
    </row>
    <row r="15" spans="1:9" s="31" customFormat="1" x14ac:dyDescent="0.25">
      <c r="A15" s="449">
        <f t="shared" ref="A15:A30" si="0">A14+1</f>
        <v>3</v>
      </c>
      <c r="B15" s="934" t="s">
        <v>260</v>
      </c>
      <c r="C15" s="233">
        <v>98244.435493289988</v>
      </c>
      <c r="D15" s="942"/>
      <c r="E15" s="449">
        <f t="shared" ref="E15:E30" si="1">E14+1</f>
        <v>3</v>
      </c>
      <c r="F15" s="453"/>
    </row>
    <row r="16" spans="1:9" s="31" customFormat="1" x14ac:dyDescent="0.25">
      <c r="A16" s="449">
        <f t="shared" si="0"/>
        <v>4</v>
      </c>
      <c r="B16" s="934" t="s">
        <v>261</v>
      </c>
      <c r="C16" s="233">
        <v>102825.94503956</v>
      </c>
      <c r="D16" s="942"/>
      <c r="E16" s="449">
        <f t="shared" si="1"/>
        <v>4</v>
      </c>
      <c r="F16" s="453"/>
    </row>
    <row r="17" spans="1:6" s="31" customFormat="1" x14ac:dyDescent="0.25">
      <c r="A17" s="449">
        <f t="shared" si="0"/>
        <v>5</v>
      </c>
      <c r="B17" s="934" t="s">
        <v>262</v>
      </c>
      <c r="C17" s="233">
        <v>115120.95288412001</v>
      </c>
      <c r="D17" s="942"/>
      <c r="E17" s="449">
        <f t="shared" si="1"/>
        <v>5</v>
      </c>
      <c r="F17" s="453"/>
    </row>
    <row r="18" spans="1:6" s="31" customFormat="1" x14ac:dyDescent="0.25">
      <c r="A18" s="449">
        <f t="shared" si="0"/>
        <v>6</v>
      </c>
      <c r="B18" s="934" t="s">
        <v>263</v>
      </c>
      <c r="C18" s="233">
        <v>77174.709961690009</v>
      </c>
      <c r="D18" s="942"/>
      <c r="E18" s="449">
        <f t="shared" si="1"/>
        <v>6</v>
      </c>
      <c r="F18" s="453"/>
    </row>
    <row r="19" spans="1:6" s="31" customFormat="1" x14ac:dyDescent="0.25">
      <c r="A19" s="449">
        <f t="shared" si="0"/>
        <v>7</v>
      </c>
      <c r="B19" s="934" t="s">
        <v>264</v>
      </c>
      <c r="C19" s="233">
        <v>38691.689093059998</v>
      </c>
      <c r="D19" s="942"/>
      <c r="E19" s="449">
        <f t="shared" si="1"/>
        <v>7</v>
      </c>
      <c r="F19" s="453"/>
    </row>
    <row r="20" spans="1:6" s="31" customFormat="1" x14ac:dyDescent="0.25">
      <c r="A20" s="449">
        <f t="shared" si="0"/>
        <v>8</v>
      </c>
      <c r="B20" s="934" t="s">
        <v>265</v>
      </c>
      <c r="C20" s="233">
        <v>172915.07154317998</v>
      </c>
      <c r="D20" s="942"/>
      <c r="E20" s="449">
        <f t="shared" si="1"/>
        <v>8</v>
      </c>
      <c r="F20" s="453"/>
    </row>
    <row r="21" spans="1:6" s="31" customFormat="1" x14ac:dyDescent="0.25">
      <c r="A21" s="449">
        <f t="shared" si="0"/>
        <v>9</v>
      </c>
      <c r="B21" s="934" t="s">
        <v>266</v>
      </c>
      <c r="C21" s="233">
        <v>153142.37505048999</v>
      </c>
      <c r="D21" s="942"/>
      <c r="E21" s="449">
        <f t="shared" si="1"/>
        <v>9</v>
      </c>
      <c r="F21" s="453"/>
    </row>
    <row r="22" spans="1:6" s="31" customFormat="1" x14ac:dyDescent="0.25">
      <c r="A22" s="449">
        <f t="shared" si="0"/>
        <v>10</v>
      </c>
      <c r="B22" s="934" t="s">
        <v>267</v>
      </c>
      <c r="C22" s="233">
        <v>148197.69673194</v>
      </c>
      <c r="D22" s="942"/>
      <c r="E22" s="449">
        <f t="shared" si="1"/>
        <v>10</v>
      </c>
      <c r="F22" s="453"/>
    </row>
    <row r="23" spans="1:6" s="31" customFormat="1" x14ac:dyDescent="0.25">
      <c r="A23" s="449">
        <f t="shared" si="0"/>
        <v>11</v>
      </c>
      <c r="B23" s="934" t="s">
        <v>268</v>
      </c>
      <c r="C23" s="233">
        <v>132800.63971620999</v>
      </c>
      <c r="D23" s="942"/>
      <c r="E23" s="449">
        <f t="shared" si="1"/>
        <v>11</v>
      </c>
      <c r="F23" s="453"/>
    </row>
    <row r="24" spans="1:6" s="31" customFormat="1" x14ac:dyDescent="0.25">
      <c r="A24" s="449">
        <f t="shared" si="0"/>
        <v>12</v>
      </c>
      <c r="B24" s="934" t="s">
        <v>269</v>
      </c>
      <c r="C24" s="233">
        <v>113235.62547211</v>
      </c>
      <c r="D24" s="942"/>
      <c r="E24" s="449">
        <f t="shared" si="1"/>
        <v>12</v>
      </c>
      <c r="F24" s="453"/>
    </row>
    <row r="25" spans="1:6" s="31" customFormat="1" x14ac:dyDescent="0.25">
      <c r="A25" s="449">
        <f t="shared" si="0"/>
        <v>13</v>
      </c>
      <c r="B25" s="630" t="str">
        <f>'AL-1'!B27</f>
        <v>Dec-23</v>
      </c>
      <c r="C25" s="94">
        <v>113404.65624953</v>
      </c>
      <c r="D25" s="68" t="s">
        <v>258</v>
      </c>
      <c r="E25" s="449">
        <f t="shared" si="1"/>
        <v>13</v>
      </c>
      <c r="F25" s="453"/>
    </row>
    <row r="26" spans="1:6" s="31" customFormat="1" x14ac:dyDescent="0.25">
      <c r="A26" s="449">
        <f t="shared" si="0"/>
        <v>14</v>
      </c>
      <c r="B26" s="1044"/>
      <c r="C26" s="1047"/>
      <c r="D26" s="1046"/>
      <c r="E26" s="449">
        <f t="shared" si="1"/>
        <v>14</v>
      </c>
      <c r="F26" s="453"/>
    </row>
    <row r="27" spans="1:6" s="31" customFormat="1" x14ac:dyDescent="0.25">
      <c r="A27" s="449">
        <f t="shared" si="0"/>
        <v>15</v>
      </c>
      <c r="B27" s="278" t="s">
        <v>271</v>
      </c>
      <c r="C27" s="964">
        <f>SUM(C13:C25)</f>
        <v>1515417.3946751198</v>
      </c>
      <c r="D27" s="936" t="s">
        <v>272</v>
      </c>
      <c r="E27" s="449">
        <f t="shared" si="1"/>
        <v>15</v>
      </c>
    </row>
    <row r="28" spans="1:6" s="31" customFormat="1" x14ac:dyDescent="0.25">
      <c r="A28" s="449">
        <f t="shared" si="0"/>
        <v>16</v>
      </c>
      <c r="B28" s="117"/>
      <c r="C28" s="93"/>
      <c r="D28" s="68"/>
      <c r="E28" s="449">
        <f t="shared" si="1"/>
        <v>16</v>
      </c>
    </row>
    <row r="29" spans="1:6" s="31" customFormat="1" x14ac:dyDescent="0.25">
      <c r="A29" s="449">
        <f t="shared" si="0"/>
        <v>17</v>
      </c>
      <c r="B29" s="927"/>
      <c r="C29" s="1047"/>
      <c r="D29" s="1048"/>
      <c r="E29" s="449">
        <f t="shared" si="1"/>
        <v>17</v>
      </c>
    </row>
    <row r="30" spans="1:6" s="31" customFormat="1" x14ac:dyDescent="0.25">
      <c r="A30" s="449">
        <f t="shared" si="0"/>
        <v>18</v>
      </c>
      <c r="B30" s="278" t="s">
        <v>447</v>
      </c>
      <c r="C30" s="964">
        <f>C27/13</f>
        <v>116570.56882116306</v>
      </c>
      <c r="D30" s="870" t="s">
        <v>866</v>
      </c>
      <c r="E30" s="449">
        <f t="shared" si="1"/>
        <v>18</v>
      </c>
      <c r="F30" s="453"/>
    </row>
    <row r="31" spans="1:6" s="31" customFormat="1" x14ac:dyDescent="0.25">
      <c r="A31" s="449">
        <f>A30+1</f>
        <v>19</v>
      </c>
      <c r="B31" s="117"/>
      <c r="C31" s="67"/>
      <c r="D31" s="301"/>
      <c r="E31" s="449">
        <f>E30+1</f>
        <v>19</v>
      </c>
    </row>
    <row r="32" spans="1:6" s="31" customFormat="1" x14ac:dyDescent="0.25">
      <c r="A32" s="4"/>
      <c r="C32" s="6"/>
      <c r="D32" s="6"/>
      <c r="E32" s="11"/>
    </row>
    <row r="33" spans="1:8" s="31" customFormat="1" x14ac:dyDescent="0.25">
      <c r="A33" s="34"/>
      <c r="E33" s="11"/>
    </row>
    <row r="34" spans="1:8" s="31" customFormat="1" x14ac:dyDescent="0.25">
      <c r="A34"/>
      <c r="B34"/>
      <c r="C34"/>
      <c r="D34"/>
      <c r="E34"/>
      <c r="F34"/>
      <c r="G34" s="255"/>
    </row>
    <row r="35" spans="1:8" s="31" customFormat="1" x14ac:dyDescent="0.25">
      <c r="A35"/>
      <c r="B35"/>
      <c r="C35"/>
      <c r="D35"/>
      <c r="E35"/>
      <c r="F35"/>
      <c r="H35" s="11"/>
    </row>
    <row r="36" spans="1:8" s="31" customFormat="1" x14ac:dyDescent="0.25">
      <c r="A36"/>
      <c r="B36"/>
      <c r="C36"/>
      <c r="D36"/>
      <c r="E36"/>
      <c r="F36"/>
    </row>
    <row r="37" spans="1:8" s="31" customFormat="1" x14ac:dyDescent="0.25">
      <c r="A37" s="4"/>
      <c r="C37" s="6"/>
      <c r="D37" s="6"/>
      <c r="E37" s="11"/>
    </row>
    <row r="38" spans="1:8" s="31" customFormat="1" x14ac:dyDescent="0.25">
      <c r="A38" s="4"/>
      <c r="C38" s="6"/>
      <c r="D38" s="6"/>
      <c r="E38" s="11"/>
    </row>
    <row r="39" spans="1:8" s="31" customFormat="1" x14ac:dyDescent="0.25">
      <c r="A39" s="4"/>
      <c r="C39" s="6"/>
      <c r="D39" s="6"/>
      <c r="E39" s="11"/>
    </row>
    <row r="40" spans="1:8" s="31" customFormat="1" x14ac:dyDescent="0.25">
      <c r="A40" s="4"/>
      <c r="C40" s="6"/>
      <c r="D40" s="6"/>
      <c r="E40" s="11"/>
    </row>
    <row r="41" spans="1:8" s="31" customFormat="1" x14ac:dyDescent="0.25">
      <c r="A41" s="4"/>
      <c r="C41" s="6"/>
      <c r="D41" s="6"/>
      <c r="E41" s="11"/>
    </row>
    <row r="42" spans="1:8" s="31" customFormat="1" x14ac:dyDescent="0.25">
      <c r="A42" s="4"/>
      <c r="C42" s="6"/>
      <c r="D42" s="6"/>
      <c r="E42" s="11"/>
    </row>
    <row r="43" spans="1:8" s="31" customFormat="1" x14ac:dyDescent="0.25">
      <c r="A43" s="4"/>
      <c r="C43" s="6"/>
      <c r="D43" s="6"/>
      <c r="E43" s="11"/>
    </row>
    <row r="44" spans="1:8" s="31" customFormat="1" x14ac:dyDescent="0.25">
      <c r="A44" s="4"/>
      <c r="C44" s="6"/>
      <c r="D44" s="6"/>
      <c r="E44" s="11"/>
    </row>
    <row r="45" spans="1:8" s="31" customFormat="1" x14ac:dyDescent="0.25">
      <c r="A45" s="4"/>
      <c r="C45" s="6"/>
      <c r="D45" s="6"/>
      <c r="E45" s="11"/>
    </row>
    <row r="46" spans="1:8" s="31" customFormat="1" x14ac:dyDescent="0.25">
      <c r="A46" s="4"/>
      <c r="C46" s="6"/>
      <c r="D46" s="6"/>
      <c r="E46" s="11"/>
    </row>
    <row r="47" spans="1:8" s="31" customFormat="1" x14ac:dyDescent="0.25">
      <c r="A47" s="4"/>
      <c r="C47" s="6"/>
      <c r="D47" s="6"/>
      <c r="E47" s="11"/>
    </row>
    <row r="48" spans="1:8" s="31" customFormat="1" x14ac:dyDescent="0.25">
      <c r="A48" s="4"/>
      <c r="C48" s="6"/>
      <c r="D48" s="6"/>
      <c r="E48" s="11"/>
    </row>
    <row r="49" spans="1:5" s="31" customFormat="1" x14ac:dyDescent="0.25">
      <c r="A49" s="4"/>
      <c r="C49" s="6"/>
      <c r="D49" s="6"/>
      <c r="E49" s="11"/>
    </row>
    <row r="50" spans="1:5" s="31" customFormat="1" x14ac:dyDescent="0.25">
      <c r="A50" s="4"/>
      <c r="C50" s="6"/>
      <c r="D50" s="6"/>
      <c r="E50" s="11"/>
    </row>
    <row r="51" spans="1:5" s="31" customFormat="1" x14ac:dyDescent="0.25">
      <c r="A51" s="4"/>
      <c r="C51" s="6"/>
      <c r="D51" s="6"/>
      <c r="E51" s="11"/>
    </row>
    <row r="52" spans="1:5" s="31" customFormat="1" x14ac:dyDescent="0.25">
      <c r="A52" s="4"/>
      <c r="C52" s="6"/>
      <c r="D52" s="6"/>
      <c r="E52" s="11"/>
    </row>
    <row r="53" spans="1:5" s="31" customFormat="1" x14ac:dyDescent="0.25">
      <c r="A53" s="4"/>
      <c r="C53" s="6"/>
      <c r="D53" s="6"/>
      <c r="E53" s="11"/>
    </row>
    <row r="54" spans="1:5" s="31" customFormat="1" x14ac:dyDescent="0.25">
      <c r="A54" s="4"/>
      <c r="C54" s="6"/>
      <c r="D54" s="6"/>
      <c r="E54" s="11"/>
    </row>
    <row r="55" spans="1:5" s="31" customFormat="1" x14ac:dyDescent="0.25">
      <c r="A55" s="4"/>
      <c r="C55" s="6"/>
      <c r="D55" s="6"/>
      <c r="E55" s="11"/>
    </row>
    <row r="56" spans="1:5" s="31" customFormat="1" x14ac:dyDescent="0.25">
      <c r="A56" s="4"/>
      <c r="C56" s="6"/>
      <c r="D56" s="6"/>
      <c r="E56" s="11"/>
    </row>
    <row r="57" spans="1:5" s="31" customFormat="1" x14ac:dyDescent="0.25">
      <c r="A57" s="4"/>
      <c r="C57" s="6"/>
      <c r="D57" s="6"/>
      <c r="E57" s="11"/>
    </row>
    <row r="58" spans="1:5" s="31" customFormat="1" x14ac:dyDescent="0.25">
      <c r="A58" s="4"/>
      <c r="C58" s="6"/>
      <c r="D58" s="6"/>
      <c r="E58" s="11"/>
    </row>
    <row r="59" spans="1:5" s="31" customFormat="1" x14ac:dyDescent="0.25">
      <c r="A59" s="4"/>
      <c r="C59" s="6"/>
      <c r="D59" s="6"/>
      <c r="E59" s="11"/>
    </row>
    <row r="60" spans="1:5" s="31" customFormat="1" x14ac:dyDescent="0.25">
      <c r="A60" s="4"/>
      <c r="C60" s="6"/>
      <c r="D60" s="6"/>
      <c r="E60" s="11"/>
    </row>
    <row r="61" spans="1:5" s="31" customFormat="1" x14ac:dyDescent="0.25">
      <c r="A61" s="4"/>
      <c r="C61" s="6"/>
      <c r="D61" s="6"/>
      <c r="E61" s="11"/>
    </row>
    <row r="62" spans="1:5" s="31" customFormat="1" x14ac:dyDescent="0.25">
      <c r="A62" s="4"/>
      <c r="C62" s="6"/>
      <c r="D62" s="6"/>
      <c r="E62" s="11"/>
    </row>
    <row r="63" spans="1:5" s="31" customFormat="1" x14ac:dyDescent="0.25">
      <c r="A63" s="4"/>
      <c r="C63" s="6"/>
      <c r="D63" s="6"/>
      <c r="E63" s="11"/>
    </row>
    <row r="64" spans="1:5" s="31" customFormat="1" x14ac:dyDescent="0.25">
      <c r="A64" s="4"/>
      <c r="C64" s="6"/>
      <c r="D64" s="6"/>
      <c r="E64" s="11"/>
    </row>
    <row r="65" spans="1:5" s="31" customFormat="1" x14ac:dyDescent="0.25">
      <c r="A65" s="4"/>
      <c r="C65" s="6"/>
      <c r="D65" s="6"/>
      <c r="E65" s="11"/>
    </row>
    <row r="66" spans="1:5" s="31" customFormat="1" x14ac:dyDescent="0.25">
      <c r="A66" s="4"/>
      <c r="C66" s="6"/>
      <c r="D66" s="6"/>
      <c r="E66" s="11"/>
    </row>
    <row r="67" spans="1:5" s="31" customFormat="1" x14ac:dyDescent="0.25">
      <c r="A67" s="4"/>
      <c r="C67" s="6"/>
      <c r="D67" s="6"/>
      <c r="E67" s="11"/>
    </row>
    <row r="68" spans="1:5" s="31" customFormat="1" x14ac:dyDescent="0.25">
      <c r="A68" s="4"/>
      <c r="C68" s="6"/>
      <c r="D68" s="6"/>
      <c r="E68" s="11"/>
    </row>
    <row r="69" spans="1:5" s="31" customFormat="1" x14ac:dyDescent="0.25">
      <c r="A69" s="4"/>
      <c r="C69" s="6"/>
      <c r="D69" s="6"/>
      <c r="E69" s="11"/>
    </row>
    <row r="70" spans="1:5" s="31" customFormat="1" x14ac:dyDescent="0.25">
      <c r="A70" s="4"/>
      <c r="C70" s="6"/>
      <c r="D70" s="6"/>
      <c r="E70" s="11"/>
    </row>
    <row r="71" spans="1:5" s="31" customFormat="1" x14ac:dyDescent="0.25">
      <c r="A71" s="4"/>
      <c r="C71" s="6"/>
      <c r="D71" s="6"/>
      <c r="E71" s="11"/>
    </row>
    <row r="72" spans="1:5" s="31" customFormat="1" x14ac:dyDescent="0.25">
      <c r="A72" s="4"/>
      <c r="C72" s="6"/>
      <c r="D72" s="6"/>
      <c r="E72" s="11"/>
    </row>
    <row r="73" spans="1:5" s="31" customFormat="1" x14ac:dyDescent="0.25">
      <c r="A73" s="4"/>
      <c r="C73" s="6"/>
      <c r="D73" s="6"/>
      <c r="E73" s="11"/>
    </row>
    <row r="74" spans="1:5" s="31" customFormat="1" x14ac:dyDescent="0.25">
      <c r="A74" s="4"/>
      <c r="C74" s="6"/>
      <c r="D74" s="6"/>
      <c r="E74" s="11"/>
    </row>
    <row r="75" spans="1:5" s="31" customFormat="1" x14ac:dyDescent="0.25">
      <c r="A75" s="4"/>
      <c r="C75" s="6"/>
      <c r="D75" s="6"/>
      <c r="E75" s="11"/>
    </row>
    <row r="76" spans="1:5" s="31" customFormat="1" x14ac:dyDescent="0.25">
      <c r="A76" s="4"/>
      <c r="C76" s="6"/>
      <c r="D76" s="6"/>
      <c r="E76" s="11"/>
    </row>
    <row r="77" spans="1:5" s="31" customFormat="1" x14ac:dyDescent="0.25">
      <c r="A77" s="4"/>
      <c r="C77" s="6"/>
      <c r="D77" s="6"/>
      <c r="E77" s="11"/>
    </row>
    <row r="78" spans="1:5" s="31" customFormat="1" x14ac:dyDescent="0.25">
      <c r="A78" s="4"/>
      <c r="C78" s="6"/>
      <c r="D78" s="6"/>
      <c r="E78" s="11"/>
    </row>
    <row r="79" spans="1:5" s="31" customFormat="1" x14ac:dyDescent="0.25">
      <c r="A79" s="4"/>
      <c r="C79" s="6"/>
      <c r="D79" s="6"/>
      <c r="E79" s="11"/>
    </row>
    <row r="80" spans="1:5" s="31" customFormat="1" x14ac:dyDescent="0.25">
      <c r="A80" s="4"/>
      <c r="C80" s="6"/>
      <c r="D80" s="6"/>
      <c r="E80" s="11"/>
    </row>
    <row r="81" spans="1:5" s="31" customFormat="1" x14ac:dyDescent="0.25">
      <c r="A81" s="4"/>
      <c r="C81" s="6"/>
      <c r="D81" s="6"/>
      <c r="E81" s="11"/>
    </row>
    <row r="82" spans="1:5" s="31" customFormat="1" x14ac:dyDescent="0.25">
      <c r="A82" s="4"/>
      <c r="C82" s="6"/>
      <c r="D82" s="6"/>
      <c r="E82" s="11"/>
    </row>
    <row r="83" spans="1:5" s="31" customFormat="1" x14ac:dyDescent="0.25">
      <c r="A83" s="4"/>
      <c r="C83" s="6"/>
      <c r="D83" s="6"/>
      <c r="E83" s="11"/>
    </row>
    <row r="84" spans="1:5" s="31" customFormat="1" x14ac:dyDescent="0.25">
      <c r="A84" s="4"/>
      <c r="C84" s="6"/>
      <c r="D84" s="6"/>
      <c r="E84" s="11"/>
    </row>
    <row r="85" spans="1:5" s="31" customFormat="1" x14ac:dyDescent="0.25">
      <c r="A85" s="4"/>
      <c r="C85" s="6"/>
      <c r="D85" s="6"/>
      <c r="E85" s="11"/>
    </row>
    <row r="86" spans="1:5" s="31" customFormat="1" x14ac:dyDescent="0.25">
      <c r="A86" s="4"/>
      <c r="C86" s="6"/>
      <c r="D86" s="6"/>
      <c r="E86" s="11"/>
    </row>
    <row r="87" spans="1:5" s="31" customFormat="1" x14ac:dyDescent="0.25">
      <c r="A87" s="4"/>
      <c r="C87" s="6"/>
      <c r="D87" s="6"/>
      <c r="E87" s="11"/>
    </row>
    <row r="88" spans="1:5" s="31" customFormat="1" x14ac:dyDescent="0.25">
      <c r="A88" s="4"/>
      <c r="C88" s="6"/>
      <c r="D88" s="6"/>
      <c r="E88" s="11"/>
    </row>
    <row r="89" spans="1:5" s="31" customFormat="1" x14ac:dyDescent="0.25">
      <c r="A89" s="4"/>
      <c r="C89" s="6"/>
      <c r="D89" s="6"/>
      <c r="E89" s="11"/>
    </row>
    <row r="90" spans="1:5" s="31" customFormat="1" x14ac:dyDescent="0.25">
      <c r="A90" s="4"/>
      <c r="C90" s="6"/>
      <c r="D90" s="6"/>
      <c r="E90" s="11"/>
    </row>
    <row r="91" spans="1:5" s="31" customFormat="1" x14ac:dyDescent="0.25">
      <c r="A91" s="4"/>
      <c r="C91" s="6"/>
      <c r="D91" s="6"/>
      <c r="E91" s="11"/>
    </row>
    <row r="92" spans="1:5" s="31" customFormat="1" x14ac:dyDescent="0.25">
      <c r="A92" s="4"/>
      <c r="C92" s="6"/>
      <c r="D92" s="6"/>
      <c r="E92" s="11"/>
    </row>
    <row r="93" spans="1:5" s="31" customFormat="1" x14ac:dyDescent="0.25">
      <c r="A93" s="4"/>
      <c r="C93" s="6"/>
      <c r="D93" s="6"/>
      <c r="E93" s="11"/>
    </row>
    <row r="94" spans="1:5" s="31" customFormat="1" x14ac:dyDescent="0.25">
      <c r="A94" s="4"/>
      <c r="C94" s="6"/>
      <c r="D94" s="6"/>
      <c r="E94" s="11"/>
    </row>
    <row r="95" spans="1:5" s="31" customFormat="1" x14ac:dyDescent="0.25">
      <c r="A95" s="4"/>
      <c r="C95" s="6"/>
      <c r="D95" s="6"/>
      <c r="E95" s="11"/>
    </row>
    <row r="96" spans="1:5" s="31" customFormat="1" x14ac:dyDescent="0.25">
      <c r="A96" s="4"/>
      <c r="C96" s="6"/>
      <c r="D96" s="6"/>
      <c r="E96" s="11"/>
    </row>
    <row r="97" spans="1:5" s="31" customFormat="1" x14ac:dyDescent="0.25">
      <c r="A97" s="4"/>
      <c r="C97" s="6"/>
      <c r="D97" s="6"/>
      <c r="E97" s="11"/>
    </row>
    <row r="98" spans="1:5" s="31" customFormat="1" x14ac:dyDescent="0.25">
      <c r="A98" s="4"/>
      <c r="C98" s="6"/>
      <c r="D98" s="6"/>
      <c r="E98" s="11"/>
    </row>
    <row r="99" spans="1:5" s="31" customFormat="1" x14ac:dyDescent="0.25">
      <c r="A99" s="4"/>
      <c r="C99" s="6"/>
      <c r="D99" s="6"/>
      <c r="E99" s="11"/>
    </row>
    <row r="100" spans="1:5" s="31" customFormat="1" x14ac:dyDescent="0.25">
      <c r="A100" s="4"/>
      <c r="C100" s="6"/>
      <c r="D100" s="6"/>
      <c r="E100" s="11"/>
    </row>
    <row r="101" spans="1:5" s="31" customFormat="1" x14ac:dyDescent="0.25">
      <c r="A101" s="4"/>
      <c r="C101" s="6"/>
      <c r="D101" s="6"/>
      <c r="E101" s="11"/>
    </row>
    <row r="102" spans="1:5" s="31" customFormat="1" x14ac:dyDescent="0.25">
      <c r="A102" s="4"/>
      <c r="C102" s="6"/>
      <c r="D102" s="6"/>
      <c r="E102" s="11"/>
    </row>
    <row r="103" spans="1:5" s="31" customFormat="1" x14ac:dyDescent="0.25">
      <c r="A103" s="4"/>
      <c r="C103" s="6"/>
      <c r="D103" s="6"/>
      <c r="E103" s="11"/>
    </row>
    <row r="104" spans="1:5" s="31" customFormat="1" x14ac:dyDescent="0.25">
      <c r="A104" s="4"/>
      <c r="C104" s="6"/>
      <c r="D104" s="6"/>
      <c r="E104" s="11"/>
    </row>
    <row r="105" spans="1:5" s="31" customFormat="1" x14ac:dyDescent="0.25">
      <c r="A105" s="4"/>
      <c r="C105" s="6"/>
      <c r="D105" s="6"/>
      <c r="E105" s="11"/>
    </row>
    <row r="106" spans="1:5" s="31" customFormat="1" x14ac:dyDescent="0.25">
      <c r="A106" s="4"/>
      <c r="C106" s="6"/>
      <c r="D106" s="6"/>
      <c r="E106" s="11"/>
    </row>
    <row r="107" spans="1:5" s="31" customFormat="1" x14ac:dyDescent="0.25">
      <c r="A107" s="4"/>
      <c r="C107" s="6"/>
      <c r="D107" s="6"/>
      <c r="E107" s="11"/>
    </row>
    <row r="108" spans="1:5" s="31" customFormat="1" x14ac:dyDescent="0.25">
      <c r="A108" s="4"/>
      <c r="C108" s="6"/>
      <c r="D108" s="6"/>
      <c r="E108" s="11"/>
    </row>
    <row r="109" spans="1:5" s="31" customFormat="1" x14ac:dyDescent="0.25">
      <c r="A109" s="4"/>
      <c r="C109" s="6"/>
      <c r="D109" s="6"/>
      <c r="E109" s="11"/>
    </row>
    <row r="110" spans="1:5" s="31" customFormat="1" x14ac:dyDescent="0.25">
      <c r="A110" s="4"/>
      <c r="C110" s="6"/>
      <c r="D110" s="6"/>
      <c r="E110" s="11"/>
    </row>
    <row r="111" spans="1:5" s="31" customFormat="1" x14ac:dyDescent="0.25">
      <c r="A111" s="4"/>
      <c r="C111" s="6"/>
      <c r="D111" s="6"/>
      <c r="E111" s="11"/>
    </row>
    <row r="112" spans="1:5" s="31" customFormat="1" x14ac:dyDescent="0.25">
      <c r="A112" s="4"/>
      <c r="C112" s="6"/>
      <c r="D112" s="6"/>
      <c r="E112" s="11"/>
    </row>
    <row r="113" spans="1:5" s="31" customFormat="1" x14ac:dyDescent="0.25">
      <c r="A113" s="4"/>
      <c r="C113" s="6"/>
      <c r="D113" s="6"/>
      <c r="E113" s="11"/>
    </row>
    <row r="114" spans="1:5" s="31" customFormat="1" x14ac:dyDescent="0.25">
      <c r="A114" s="4"/>
      <c r="C114" s="6"/>
      <c r="D114" s="6"/>
      <c r="E114" s="11"/>
    </row>
    <row r="115" spans="1:5" s="31" customFormat="1" x14ac:dyDescent="0.25">
      <c r="A115" s="4"/>
      <c r="C115" s="6"/>
      <c r="D115" s="6"/>
      <c r="E115" s="11"/>
    </row>
    <row r="116" spans="1:5" s="31" customFormat="1" x14ac:dyDescent="0.25">
      <c r="A116" s="4"/>
      <c r="C116" s="6"/>
      <c r="D116" s="6"/>
      <c r="E116" s="11"/>
    </row>
    <row r="117" spans="1:5" s="31" customFormat="1" x14ac:dyDescent="0.25">
      <c r="A117" s="4"/>
      <c r="C117" s="6"/>
      <c r="D117" s="6"/>
      <c r="E117" s="11"/>
    </row>
    <row r="118" spans="1:5" s="31" customFormat="1" x14ac:dyDescent="0.25">
      <c r="A118" s="4"/>
      <c r="C118" s="6"/>
      <c r="D118" s="6"/>
      <c r="E118" s="11"/>
    </row>
    <row r="119" spans="1:5" s="31" customFormat="1" x14ac:dyDescent="0.25">
      <c r="A119" s="4"/>
      <c r="C119" s="6"/>
      <c r="D119" s="6"/>
      <c r="E119" s="11"/>
    </row>
    <row r="120" spans="1:5" s="31" customFormat="1" x14ac:dyDescent="0.25">
      <c r="A120" s="4"/>
      <c r="C120" s="6"/>
      <c r="D120" s="6"/>
      <c r="E120" s="11"/>
    </row>
    <row r="121" spans="1:5" s="31" customFormat="1" x14ac:dyDescent="0.25">
      <c r="A121" s="4"/>
      <c r="C121" s="6"/>
      <c r="D121" s="6"/>
      <c r="E121" s="11"/>
    </row>
    <row r="122" spans="1:5" s="31" customFormat="1" x14ac:dyDescent="0.25">
      <c r="A122" s="4"/>
      <c r="C122" s="6"/>
      <c r="D122" s="6"/>
      <c r="E122" s="11"/>
    </row>
    <row r="123" spans="1:5" s="31" customFormat="1" x14ac:dyDescent="0.25">
      <c r="A123" s="4"/>
      <c r="C123" s="6"/>
      <c r="D123" s="6"/>
      <c r="E123" s="11"/>
    </row>
    <row r="124" spans="1:5" s="31" customFormat="1" x14ac:dyDescent="0.25">
      <c r="A124" s="4"/>
      <c r="C124" s="6"/>
      <c r="D124" s="6"/>
      <c r="E124" s="11"/>
    </row>
    <row r="125" spans="1:5" s="31" customFormat="1" x14ac:dyDescent="0.25">
      <c r="A125" s="4"/>
      <c r="C125" s="6"/>
      <c r="D125" s="6"/>
      <c r="E125" s="11"/>
    </row>
    <row r="126" spans="1:5" s="31" customFormat="1" x14ac:dyDescent="0.25">
      <c r="A126" s="4"/>
      <c r="C126" s="6"/>
      <c r="D126" s="6"/>
      <c r="E126" s="11"/>
    </row>
    <row r="127" spans="1:5" s="31" customFormat="1" x14ac:dyDescent="0.25">
      <c r="A127" s="4"/>
      <c r="C127" s="6"/>
      <c r="D127" s="6"/>
      <c r="E127" s="11"/>
    </row>
    <row r="128" spans="1:5" s="31" customFormat="1" x14ac:dyDescent="0.25">
      <c r="A128" s="4"/>
      <c r="C128" s="6"/>
      <c r="D128" s="6"/>
      <c r="E128" s="11"/>
    </row>
    <row r="129" spans="1:5" s="31" customFormat="1" x14ac:dyDescent="0.25">
      <c r="A129" s="4"/>
      <c r="C129" s="6"/>
      <c r="D129" s="6"/>
      <c r="E129" s="11"/>
    </row>
    <row r="130" spans="1:5" s="31" customFormat="1" x14ac:dyDescent="0.25">
      <c r="A130" s="4"/>
      <c r="C130" s="6"/>
      <c r="D130" s="6"/>
      <c r="E130" s="11"/>
    </row>
    <row r="131" spans="1:5" s="31" customFormat="1" x14ac:dyDescent="0.25">
      <c r="A131" s="4"/>
      <c r="C131" s="6"/>
      <c r="D131" s="6"/>
      <c r="E131" s="11"/>
    </row>
    <row r="132" spans="1:5" s="31" customFormat="1" x14ac:dyDescent="0.25">
      <c r="A132" s="4"/>
      <c r="C132" s="6"/>
      <c r="D132" s="6"/>
      <c r="E132" s="11"/>
    </row>
    <row r="133" spans="1:5" s="31" customFormat="1" x14ac:dyDescent="0.25">
      <c r="A133" s="4"/>
      <c r="C133" s="6"/>
      <c r="D133" s="6"/>
      <c r="E133" s="11"/>
    </row>
    <row r="134" spans="1:5" s="31" customFormat="1" x14ac:dyDescent="0.25">
      <c r="A134" s="4"/>
      <c r="C134" s="6"/>
      <c r="D134" s="6"/>
      <c r="E134" s="11"/>
    </row>
    <row r="135" spans="1:5" s="31" customFormat="1" x14ac:dyDescent="0.25">
      <c r="A135" s="4"/>
      <c r="C135" s="6"/>
      <c r="D135" s="6"/>
      <c r="E135" s="11"/>
    </row>
    <row r="136" spans="1:5" s="31" customFormat="1" x14ac:dyDescent="0.25">
      <c r="A136" s="4"/>
      <c r="C136" s="6"/>
      <c r="D136" s="6"/>
      <c r="E136" s="11"/>
    </row>
    <row r="137" spans="1:5" s="31" customFormat="1" x14ac:dyDescent="0.25">
      <c r="A137" s="4"/>
      <c r="C137" s="6"/>
      <c r="D137" s="6"/>
      <c r="E137" s="11"/>
    </row>
    <row r="138" spans="1:5" s="31" customFormat="1" x14ac:dyDescent="0.25">
      <c r="A138" s="4"/>
      <c r="C138" s="6"/>
      <c r="D138" s="6"/>
      <c r="E138" s="11"/>
    </row>
    <row r="139" spans="1:5" s="31" customFormat="1" x14ac:dyDescent="0.25">
      <c r="A139" s="4"/>
      <c r="C139" s="6"/>
      <c r="D139" s="6"/>
      <c r="E139" s="11"/>
    </row>
    <row r="140" spans="1:5" s="31" customFormat="1" x14ac:dyDescent="0.25">
      <c r="A140" s="4"/>
      <c r="C140" s="6"/>
      <c r="D140" s="6"/>
      <c r="E140" s="11"/>
    </row>
    <row r="141" spans="1:5" s="31" customFormat="1" x14ac:dyDescent="0.25">
      <c r="A141" s="4"/>
      <c r="C141" s="6"/>
      <c r="D141" s="6"/>
      <c r="E141" s="11"/>
    </row>
    <row r="142" spans="1:5" s="31" customFormat="1" x14ac:dyDescent="0.2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workbookViewId="0">
      <selection activeCell="G22" sqref="G22"/>
    </sheetView>
  </sheetViews>
  <sheetFormatPr defaultColWidth="8.7109375" defaultRowHeight="15.75" x14ac:dyDescent="0.25"/>
  <cols>
    <col min="1" max="1" width="5.28515625" style="4" customWidth="1"/>
    <col min="2" max="2" width="52.570312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4" customWidth="1"/>
    <col min="9" max="16384" width="8.7109375" style="31"/>
  </cols>
  <sheetData>
    <row r="1" spans="1:8" x14ac:dyDescent="0.25">
      <c r="C1" s="4"/>
      <c r="D1" s="4"/>
    </row>
    <row r="2" spans="1:8" x14ac:dyDescent="0.25">
      <c r="B2" s="1294" t="s">
        <v>0</v>
      </c>
      <c r="C2" s="1308"/>
      <c r="D2" s="1308"/>
      <c r="E2" s="1308"/>
      <c r="F2" s="1308"/>
      <c r="G2" s="1308"/>
    </row>
    <row r="3" spans="1:8" x14ac:dyDescent="0.25">
      <c r="B3" s="1294" t="s">
        <v>867</v>
      </c>
      <c r="C3" s="1306"/>
      <c r="D3" s="1306"/>
      <c r="E3" s="1306"/>
      <c r="F3" s="1306"/>
      <c r="G3" s="1306"/>
    </row>
    <row r="4" spans="1:8" x14ac:dyDescent="0.25">
      <c r="B4" s="1294" t="s">
        <v>868</v>
      </c>
      <c r="C4" s="1306"/>
      <c r="D4" s="1306"/>
      <c r="E4" s="1306"/>
      <c r="F4" s="1306"/>
      <c r="G4" s="1306"/>
    </row>
    <row r="5" spans="1:8" x14ac:dyDescent="0.25">
      <c r="B5" s="1300" t="str">
        <f>'Stmt AD'!B5</f>
        <v>Base Period &amp; True-Up Period 12 - Months Ending December 31, 2023</v>
      </c>
      <c r="C5" s="1300"/>
      <c r="D5" s="1301"/>
      <c r="E5" s="1301"/>
      <c r="F5" s="1301"/>
      <c r="G5" s="1301"/>
    </row>
    <row r="6" spans="1:8" x14ac:dyDescent="0.25">
      <c r="B6" s="1299" t="s">
        <v>4</v>
      </c>
      <c r="C6" s="1306"/>
      <c r="D6" s="1306"/>
      <c r="E6" s="1306"/>
      <c r="F6" s="1306"/>
      <c r="G6" s="1306"/>
    </row>
    <row r="7" spans="1:8" x14ac:dyDescent="0.25">
      <c r="B7" s="4"/>
      <c r="C7" s="4"/>
      <c r="D7" s="4"/>
    </row>
    <row r="8" spans="1:8" x14ac:dyDescent="0.25">
      <c r="A8" s="4" t="s">
        <v>5</v>
      </c>
      <c r="B8" s="218"/>
      <c r="C8" s="4" t="s">
        <v>205</v>
      </c>
      <c r="D8" s="4"/>
      <c r="E8" s="4" t="s">
        <v>825</v>
      </c>
      <c r="F8" s="218"/>
      <c r="H8" s="4" t="s">
        <v>5</v>
      </c>
    </row>
    <row r="9" spans="1:8" x14ac:dyDescent="0.25">
      <c r="A9" s="4" t="s">
        <v>6</v>
      </c>
      <c r="B9" s="218"/>
      <c r="C9" s="849" t="s">
        <v>207</v>
      </c>
      <c r="D9" s="218"/>
      <c r="E9" s="850" t="s">
        <v>208</v>
      </c>
      <c r="F9" s="218"/>
      <c r="G9" s="849" t="s">
        <v>8</v>
      </c>
      <c r="H9" s="4" t="s">
        <v>6</v>
      </c>
    </row>
    <row r="10" spans="1:8" x14ac:dyDescent="0.25">
      <c r="C10" s="263"/>
      <c r="D10" s="263"/>
      <c r="E10" s="263"/>
      <c r="F10" s="263"/>
      <c r="G10" s="263"/>
    </row>
    <row r="11" spans="1:8" ht="19.5" thickBot="1" x14ac:dyDescent="0.3">
      <c r="A11" s="4">
        <v>1</v>
      </c>
      <c r="B11" s="31" t="s">
        <v>869</v>
      </c>
      <c r="C11" s="48"/>
      <c r="D11" s="41"/>
      <c r="E11" s="78">
        <f>'AM-1'!E31</f>
        <v>0</v>
      </c>
      <c r="F11" s="41"/>
      <c r="G11" s="46" t="s">
        <v>870</v>
      </c>
      <c r="H11" s="4">
        <f>A11</f>
        <v>1</v>
      </c>
    </row>
    <row r="12" spans="1:8" ht="16.5" thickTop="1" x14ac:dyDescent="0.25">
      <c r="C12" s="4"/>
      <c r="D12" s="4"/>
    </row>
    <row r="13" spans="1:8" x14ac:dyDescent="0.25">
      <c r="C13" s="4"/>
      <c r="D13" s="4"/>
    </row>
    <row r="14" spans="1:8" ht="18.75" x14ac:dyDescent="0.25">
      <c r="A14" s="266">
        <v>1</v>
      </c>
      <c r="B14" s="31" t="s">
        <v>871</v>
      </c>
      <c r="C14" s="4"/>
      <c r="D14" s="4"/>
    </row>
    <row r="15" spans="1:8" ht="18.75" x14ac:dyDescent="0.25">
      <c r="A15" s="266"/>
      <c r="B15" s="31" t="s">
        <v>872</v>
      </c>
      <c r="C15" s="4"/>
      <c r="D15" s="4"/>
    </row>
    <row r="16" spans="1:8" x14ac:dyDescent="0.25">
      <c r="C16" s="4"/>
      <c r="D16" s="4"/>
    </row>
    <row r="17" spans="3:4" x14ac:dyDescent="0.25">
      <c r="C17" s="4"/>
      <c r="D17" s="4"/>
    </row>
    <row r="18" spans="3:4" x14ac:dyDescent="0.25">
      <c r="C18" s="4"/>
      <c r="D18" s="4"/>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94" t="s">
        <v>0</v>
      </c>
      <c r="C2" s="1294"/>
      <c r="D2" s="1294"/>
      <c r="E2" s="1294"/>
      <c r="F2" s="1294"/>
    </row>
    <row r="3" spans="1:8" x14ac:dyDescent="0.25">
      <c r="B3" s="1294" t="s">
        <v>873</v>
      </c>
      <c r="C3" s="1294"/>
      <c r="D3" s="1294"/>
      <c r="E3" s="1294"/>
      <c r="F3" s="1294"/>
    </row>
    <row r="4" spans="1:8" x14ac:dyDescent="0.25">
      <c r="B4" s="1294" t="s">
        <v>251</v>
      </c>
      <c r="C4" s="1294"/>
      <c r="D4" s="1294"/>
      <c r="E4" s="1294"/>
      <c r="F4" s="1294"/>
    </row>
    <row r="5" spans="1:8" x14ac:dyDescent="0.25">
      <c r="B5" s="1294" t="str">
        <f>'AD-1'!B5</f>
        <v>BASE PERIOD / TRUE UP PERIOD - 12/31/2023 PER BOOK</v>
      </c>
      <c r="C5" s="1294"/>
      <c r="D5" s="1294"/>
      <c r="E5" s="1294"/>
      <c r="F5" s="1294"/>
    </row>
    <row r="6" spans="1:8" x14ac:dyDescent="0.25">
      <c r="B6" s="1299" t="s">
        <v>4</v>
      </c>
      <c r="C6" s="1299"/>
      <c r="D6" s="1299"/>
      <c r="E6" s="1299"/>
      <c r="F6" s="1299"/>
    </row>
    <row r="7" spans="1:8" x14ac:dyDescent="0.25">
      <c r="B7" s="267"/>
      <c r="C7" s="268"/>
      <c r="D7" s="268"/>
      <c r="E7" s="267"/>
      <c r="F7" s="267"/>
    </row>
    <row r="8" spans="1:8" x14ac:dyDescent="0.25">
      <c r="B8" s="1294" t="s">
        <v>874</v>
      </c>
      <c r="C8" s="1294"/>
      <c r="D8" s="1294"/>
      <c r="E8" s="1294"/>
      <c r="F8" s="1294"/>
    </row>
    <row r="10" spans="1:8" x14ac:dyDescent="0.25">
      <c r="B10" s="927"/>
      <c r="C10" s="269" t="s">
        <v>388</v>
      </c>
      <c r="D10" s="928"/>
      <c r="E10" s="269" t="s">
        <v>330</v>
      </c>
      <c r="F10" s="928"/>
    </row>
    <row r="11" spans="1:8" x14ac:dyDescent="0.25">
      <c r="A11" s="4"/>
      <c r="B11" s="270"/>
      <c r="C11" s="274" t="s">
        <v>290</v>
      </c>
      <c r="D11" s="270"/>
      <c r="E11" s="274" t="s">
        <v>290</v>
      </c>
      <c r="F11" s="270"/>
      <c r="G11" s="4"/>
    </row>
    <row r="12" spans="1:8" x14ac:dyDescent="0.25">
      <c r="A12" s="4" t="s">
        <v>5</v>
      </c>
      <c r="B12" s="273"/>
      <c r="C12" s="218" t="s">
        <v>875</v>
      </c>
      <c r="D12" s="270"/>
      <c r="E12" s="271" t="s">
        <v>875</v>
      </c>
      <c r="F12" s="270"/>
      <c r="G12" s="4" t="s">
        <v>5</v>
      </c>
    </row>
    <row r="13" spans="1:8" x14ac:dyDescent="0.25">
      <c r="A13" s="4" t="s">
        <v>6</v>
      </c>
      <c r="B13" s="275" t="s">
        <v>255</v>
      </c>
      <c r="C13" s="930" t="s">
        <v>256</v>
      </c>
      <c r="D13" s="275" t="s">
        <v>8</v>
      </c>
      <c r="E13" s="276" t="s">
        <v>332</v>
      </c>
      <c r="F13" s="275" t="s">
        <v>8</v>
      </c>
      <c r="G13" s="4" t="s">
        <v>6</v>
      </c>
    </row>
    <row r="14" spans="1:8" x14ac:dyDescent="0.25">
      <c r="A14" s="4">
        <v>1</v>
      </c>
      <c r="B14" s="931" t="str">
        <f>'AL-2'!B13</f>
        <v>Dec-22</v>
      </c>
      <c r="C14" s="58">
        <v>0</v>
      </c>
      <c r="D14" s="936" t="s">
        <v>258</v>
      </c>
      <c r="E14" s="58">
        <v>0</v>
      </c>
      <c r="F14" s="937" t="s">
        <v>258</v>
      </c>
      <c r="G14" s="4">
        <f>A14</f>
        <v>1</v>
      </c>
      <c r="H14" s="281"/>
    </row>
    <row r="15" spans="1:8" x14ac:dyDescent="0.25">
      <c r="A15" s="4">
        <f>A14+1</f>
        <v>2</v>
      </c>
      <c r="B15" s="931" t="str">
        <f>'AL-2'!B14</f>
        <v>Jan-23</v>
      </c>
      <c r="C15" s="52">
        <v>0</v>
      </c>
      <c r="D15" s="938"/>
      <c r="E15" s="65">
        <v>0</v>
      </c>
      <c r="F15" s="937"/>
      <c r="G15" s="4">
        <f>G14+1</f>
        <v>2</v>
      </c>
      <c r="H15" s="281"/>
    </row>
    <row r="16" spans="1:8" x14ac:dyDescent="0.25">
      <c r="A16" s="4">
        <f t="shared" ref="A16:A32" si="0">A15+1</f>
        <v>3</v>
      </c>
      <c r="B16" s="934" t="s">
        <v>260</v>
      </c>
      <c r="C16" s="52">
        <v>0</v>
      </c>
      <c r="D16" s="938"/>
      <c r="E16" s="65">
        <v>0</v>
      </c>
      <c r="F16" s="937"/>
      <c r="G16" s="4">
        <f t="shared" ref="G16:G32" si="1">G15+1</f>
        <v>3</v>
      </c>
      <c r="H16" s="281"/>
    </row>
    <row r="17" spans="1:8" x14ac:dyDescent="0.25">
      <c r="A17" s="4">
        <f t="shared" si="0"/>
        <v>4</v>
      </c>
      <c r="B17" s="934" t="s">
        <v>261</v>
      </c>
      <c r="C17" s="52">
        <v>0</v>
      </c>
      <c r="D17" s="938"/>
      <c r="E17" s="65">
        <v>0</v>
      </c>
      <c r="F17" s="937"/>
      <c r="G17" s="4">
        <f t="shared" si="1"/>
        <v>4</v>
      </c>
      <c r="H17" s="281"/>
    </row>
    <row r="18" spans="1:8" x14ac:dyDescent="0.25">
      <c r="A18" s="4">
        <f t="shared" si="0"/>
        <v>5</v>
      </c>
      <c r="B18" s="934" t="s">
        <v>262</v>
      </c>
      <c r="C18" s="52">
        <v>0</v>
      </c>
      <c r="D18" s="938"/>
      <c r="E18" s="65">
        <v>0</v>
      </c>
      <c r="F18" s="937"/>
      <c r="G18" s="4">
        <f t="shared" si="1"/>
        <v>5</v>
      </c>
      <c r="H18" s="281"/>
    </row>
    <row r="19" spans="1:8" x14ac:dyDescent="0.25">
      <c r="A19" s="4">
        <f t="shared" si="0"/>
        <v>6</v>
      </c>
      <c r="B19" s="934" t="s">
        <v>263</v>
      </c>
      <c r="C19" s="52">
        <v>0</v>
      </c>
      <c r="D19" s="938"/>
      <c r="E19" s="65">
        <v>0</v>
      </c>
      <c r="F19" s="937"/>
      <c r="G19" s="4">
        <f t="shared" si="1"/>
        <v>6</v>
      </c>
      <c r="H19" s="281"/>
    </row>
    <row r="20" spans="1:8" x14ac:dyDescent="0.25">
      <c r="A20" s="4">
        <f t="shared" si="0"/>
        <v>7</v>
      </c>
      <c r="B20" s="934" t="s">
        <v>264</v>
      </c>
      <c r="C20" s="52">
        <v>0</v>
      </c>
      <c r="D20" s="938"/>
      <c r="E20" s="65">
        <v>0</v>
      </c>
      <c r="F20" s="937"/>
      <c r="G20" s="4">
        <f t="shared" si="1"/>
        <v>7</v>
      </c>
      <c r="H20" s="281"/>
    </row>
    <row r="21" spans="1:8" x14ac:dyDescent="0.25">
      <c r="A21" s="4">
        <f t="shared" si="0"/>
        <v>8</v>
      </c>
      <c r="B21" s="934" t="s">
        <v>265</v>
      </c>
      <c r="C21" s="52">
        <v>0</v>
      </c>
      <c r="D21" s="938"/>
      <c r="E21" s="65">
        <v>0</v>
      </c>
      <c r="F21" s="937"/>
      <c r="G21" s="4">
        <f t="shared" si="1"/>
        <v>8</v>
      </c>
      <c r="H21" s="281"/>
    </row>
    <row r="22" spans="1:8" x14ac:dyDescent="0.25">
      <c r="A22" s="4">
        <f t="shared" si="0"/>
        <v>9</v>
      </c>
      <c r="B22" s="934" t="s">
        <v>266</v>
      </c>
      <c r="C22" s="52">
        <v>0</v>
      </c>
      <c r="D22" s="938"/>
      <c r="E22" s="65">
        <v>0</v>
      </c>
      <c r="F22" s="937"/>
      <c r="G22" s="4">
        <f t="shared" si="1"/>
        <v>9</v>
      </c>
      <c r="H22" s="281"/>
    </row>
    <row r="23" spans="1:8" x14ac:dyDescent="0.25">
      <c r="A23" s="4">
        <f t="shared" si="0"/>
        <v>10</v>
      </c>
      <c r="B23" s="934" t="s">
        <v>267</v>
      </c>
      <c r="C23" s="52">
        <v>0</v>
      </c>
      <c r="D23" s="938"/>
      <c r="E23" s="65">
        <v>0</v>
      </c>
      <c r="F23" s="937"/>
      <c r="G23" s="4">
        <f t="shared" si="1"/>
        <v>10</v>
      </c>
      <c r="H23" s="281"/>
    </row>
    <row r="24" spans="1:8" x14ac:dyDescent="0.25">
      <c r="A24" s="4">
        <f t="shared" si="0"/>
        <v>11</v>
      </c>
      <c r="B24" s="934" t="s">
        <v>268</v>
      </c>
      <c r="C24" s="52">
        <v>0</v>
      </c>
      <c r="D24" s="938"/>
      <c r="E24" s="65">
        <v>0</v>
      </c>
      <c r="F24" s="937"/>
      <c r="G24" s="4">
        <f t="shared" si="1"/>
        <v>11</v>
      </c>
      <c r="H24" s="281"/>
    </row>
    <row r="25" spans="1:8" x14ac:dyDescent="0.25">
      <c r="A25" s="4">
        <f t="shared" si="0"/>
        <v>12</v>
      </c>
      <c r="B25" s="934" t="s">
        <v>269</v>
      </c>
      <c r="C25" s="52">
        <v>0</v>
      </c>
      <c r="D25" s="938"/>
      <c r="E25" s="65">
        <v>0</v>
      </c>
      <c r="F25" s="937"/>
      <c r="G25" s="4">
        <f t="shared" si="1"/>
        <v>12</v>
      </c>
      <c r="H25" s="282"/>
    </row>
    <row r="26" spans="1:8" x14ac:dyDescent="0.25">
      <c r="A26" s="4">
        <f t="shared" si="0"/>
        <v>13</v>
      </c>
      <c r="B26" s="630" t="str">
        <f>'AL-2'!B25</f>
        <v>Dec-23</v>
      </c>
      <c r="C26" s="53">
        <v>0</v>
      </c>
      <c r="D26" s="68" t="s">
        <v>258</v>
      </c>
      <c r="E26" s="53">
        <v>0</v>
      </c>
      <c r="F26" s="590" t="s">
        <v>258</v>
      </c>
      <c r="G26" s="4">
        <f t="shared" si="1"/>
        <v>13</v>
      </c>
      <c r="H26" s="282"/>
    </row>
    <row r="27" spans="1:8" x14ac:dyDescent="0.25">
      <c r="A27" s="4">
        <f t="shared" si="0"/>
        <v>14</v>
      </c>
      <c r="B27" s="454"/>
      <c r="C27" s="60"/>
      <c r="D27" s="304"/>
      <c r="E27" s="60"/>
      <c r="F27" s="1051"/>
      <c r="G27" s="4">
        <f t="shared" si="1"/>
        <v>14</v>
      </c>
      <c r="H27" s="31"/>
    </row>
    <row r="28" spans="1:8" x14ac:dyDescent="0.25">
      <c r="A28" s="4">
        <f t="shared" si="0"/>
        <v>15</v>
      </c>
      <c r="B28" s="278" t="s">
        <v>271</v>
      </c>
      <c r="C28" s="55">
        <f>SUM(C14:C26)</f>
        <v>0</v>
      </c>
      <c r="D28" s="936" t="s">
        <v>272</v>
      </c>
      <c r="E28" s="55">
        <f>SUM(E14:E26)</f>
        <v>0</v>
      </c>
      <c r="F28" s="937" t="s">
        <v>272</v>
      </c>
      <c r="G28" s="4">
        <f t="shared" si="1"/>
        <v>15</v>
      </c>
      <c r="H28" s="282"/>
    </row>
    <row r="29" spans="1:8" x14ac:dyDescent="0.25">
      <c r="A29" s="4">
        <f t="shared" si="0"/>
        <v>16</v>
      </c>
      <c r="B29" s="117"/>
      <c r="C29" s="61"/>
      <c r="D29" s="94"/>
      <c r="E29" s="61"/>
      <c r="F29" s="310"/>
      <c r="G29" s="4">
        <f t="shared" si="1"/>
        <v>16</v>
      </c>
      <c r="H29" s="282"/>
    </row>
    <row r="30" spans="1:8" x14ac:dyDescent="0.25">
      <c r="A30" s="4">
        <f t="shared" si="0"/>
        <v>17</v>
      </c>
      <c r="B30" s="278"/>
      <c r="C30" s="60"/>
      <c r="D30" s="233"/>
      <c r="E30" s="60"/>
      <c r="F30" s="962"/>
      <c r="G30" s="4">
        <f t="shared" si="1"/>
        <v>17</v>
      </c>
      <c r="H30" s="281"/>
    </row>
    <row r="31" spans="1:8" x14ac:dyDescent="0.25">
      <c r="A31" s="4">
        <f t="shared" si="0"/>
        <v>18</v>
      </c>
      <c r="B31" s="278" t="s">
        <v>273</v>
      </c>
      <c r="C31" s="55">
        <f>C28/13</f>
        <v>0</v>
      </c>
      <c r="D31" s="936" t="s">
        <v>274</v>
      </c>
      <c r="E31" s="55">
        <f>E28/13</f>
        <v>0</v>
      </c>
      <c r="F31" s="937" t="s">
        <v>274</v>
      </c>
      <c r="G31" s="4">
        <f t="shared" si="1"/>
        <v>18</v>
      </c>
      <c r="H31" s="281"/>
    </row>
    <row r="32" spans="1:8" x14ac:dyDescent="0.25">
      <c r="A32" s="4">
        <f t="shared" si="0"/>
        <v>19</v>
      </c>
      <c r="B32" s="117"/>
      <c r="C32" s="61"/>
      <c r="D32" s="93"/>
      <c r="E32" s="61"/>
      <c r="F32" s="283"/>
      <c r="G32" s="4">
        <f t="shared" si="1"/>
        <v>19</v>
      </c>
      <c r="H32" s="281"/>
    </row>
    <row r="33" spans="2:8" x14ac:dyDescent="0.25">
      <c r="B33" s="31"/>
      <c r="C33" s="6"/>
      <c r="D33" s="6"/>
      <c r="E33" s="6"/>
      <c r="F33" s="282"/>
      <c r="G33" s="580"/>
      <c r="H33" s="281"/>
    </row>
    <row r="34" spans="2:8" x14ac:dyDescent="0.25">
      <c r="B34" s="293"/>
      <c r="C34" s="282"/>
      <c r="D34" s="282"/>
      <c r="E34" s="282"/>
      <c r="F34" s="282"/>
      <c r="G34" s="580"/>
      <c r="H34" s="281"/>
    </row>
    <row r="35" spans="2:8" x14ac:dyDescent="0.25">
      <c r="B35" s="31"/>
      <c r="C35" s="282"/>
      <c r="D35" s="282"/>
      <c r="E35" s="282"/>
      <c r="F35" s="282"/>
      <c r="G35" s="580"/>
      <c r="H35" s="281"/>
    </row>
    <row r="36" spans="2:8" x14ac:dyDescent="0.25">
      <c r="B36" s="31"/>
      <c r="C36" s="282"/>
      <c r="D36" s="282"/>
      <c r="E36" s="282"/>
      <c r="F36" s="282"/>
      <c r="G36" s="580"/>
      <c r="H36" s="281"/>
    </row>
    <row r="37" spans="2:8" x14ac:dyDescent="0.25">
      <c r="B37" s="31"/>
      <c r="C37" s="282"/>
      <c r="D37" s="282"/>
      <c r="E37" s="282"/>
      <c r="F37" s="282"/>
      <c r="G37" s="580"/>
      <c r="H37" s="281"/>
    </row>
    <row r="38" spans="2:8" x14ac:dyDescent="0.25">
      <c r="C38" s="281"/>
      <c r="D38" s="281"/>
      <c r="E38" s="281"/>
      <c r="F38" s="281"/>
      <c r="G38" s="580"/>
      <c r="H38" s="2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workbookViewId="0"/>
  </sheetViews>
  <sheetFormatPr defaultColWidth="8.7109375" defaultRowHeight="15.75" x14ac:dyDescent="0.25"/>
  <cols>
    <col min="1" max="1" width="5.28515625" style="3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16384" width="8.7109375" style="31"/>
  </cols>
  <sheetData>
    <row r="1" spans="1:8" x14ac:dyDescent="0.25">
      <c r="A1" s="4"/>
      <c r="E1" s="70"/>
      <c r="F1" s="70"/>
      <c r="G1" s="4"/>
      <c r="H1" s="4"/>
    </row>
    <row r="2" spans="1:8" x14ac:dyDescent="0.25">
      <c r="A2" s="4"/>
      <c r="B2" s="1294" t="s">
        <v>0</v>
      </c>
      <c r="C2" s="1294"/>
      <c r="D2" s="1294"/>
      <c r="E2" s="1294"/>
      <c r="F2" s="1294"/>
      <c r="G2" s="1294"/>
      <c r="H2" s="4"/>
    </row>
    <row r="3" spans="1:8" x14ac:dyDescent="0.25">
      <c r="A3" s="4"/>
      <c r="B3" s="1294" t="s">
        <v>876</v>
      </c>
      <c r="C3" s="1294"/>
      <c r="D3" s="1294"/>
      <c r="E3" s="1294"/>
      <c r="F3" s="1294"/>
      <c r="G3" s="1294"/>
      <c r="H3" s="4"/>
    </row>
    <row r="4" spans="1:8" x14ac:dyDescent="0.25">
      <c r="A4" s="4"/>
      <c r="B4" s="1294" t="s">
        <v>877</v>
      </c>
      <c r="C4" s="1294"/>
      <c r="D4" s="1294"/>
      <c r="E4" s="1294"/>
      <c r="F4" s="1294"/>
      <c r="G4" s="1294"/>
      <c r="H4" s="4"/>
    </row>
    <row r="5" spans="1:8" x14ac:dyDescent="0.25">
      <c r="A5" s="4"/>
      <c r="B5" s="1300" t="str">
        <f>'Stmt AD'!B5</f>
        <v>Base Period &amp; True-Up Period 12 - Months Ending December 31, 2023</v>
      </c>
      <c r="C5" s="1300"/>
      <c r="D5" s="1300"/>
      <c r="E5" s="1300"/>
      <c r="F5" s="1300"/>
      <c r="G5" s="1300"/>
      <c r="H5" s="4"/>
    </row>
    <row r="6" spans="1:8" x14ac:dyDescent="0.25">
      <c r="A6" s="4"/>
      <c r="B6" s="1299" t="s">
        <v>4</v>
      </c>
      <c r="C6" s="1295"/>
      <c r="D6" s="1295"/>
      <c r="E6" s="1295"/>
      <c r="F6" s="1295"/>
      <c r="G6" s="1295"/>
      <c r="H6" s="4"/>
    </row>
    <row r="7" spans="1:8" x14ac:dyDescent="0.25">
      <c r="A7" s="4"/>
      <c r="B7" s="4"/>
      <c r="C7" s="4"/>
      <c r="D7" s="4"/>
      <c r="E7" s="4"/>
      <c r="F7" s="4"/>
      <c r="G7" s="4"/>
      <c r="H7" s="4"/>
    </row>
    <row r="8" spans="1:8" x14ac:dyDescent="0.25">
      <c r="A8" s="4" t="s">
        <v>5</v>
      </c>
      <c r="B8" s="4"/>
      <c r="C8" s="4" t="s">
        <v>205</v>
      </c>
      <c r="D8" s="4"/>
      <c r="E8" s="4"/>
      <c r="F8" s="4"/>
      <c r="G8" s="4"/>
      <c r="H8" s="4" t="s">
        <v>5</v>
      </c>
    </row>
    <row r="9" spans="1:8" x14ac:dyDescent="0.25">
      <c r="A9" s="4" t="s">
        <v>6</v>
      </c>
      <c r="C9" s="849" t="s">
        <v>207</v>
      </c>
      <c r="E9" s="849" t="s">
        <v>7</v>
      </c>
      <c r="F9" s="70"/>
      <c r="G9" s="849" t="s">
        <v>8</v>
      </c>
      <c r="H9" s="4" t="s">
        <v>6</v>
      </c>
    </row>
    <row r="10" spans="1:8" x14ac:dyDescent="0.25">
      <c r="A10" s="4"/>
      <c r="E10" s="70"/>
      <c r="F10" s="70"/>
      <c r="G10" s="4"/>
      <c r="H10" s="4"/>
    </row>
    <row r="11" spans="1:8" x14ac:dyDescent="0.25">
      <c r="A11" s="4">
        <f>+A10+1</f>
        <v>1</v>
      </c>
      <c r="B11" s="31" t="s">
        <v>878</v>
      </c>
      <c r="C11" s="4" t="s">
        <v>879</v>
      </c>
      <c r="E11" s="679">
        <v>1304.0991895338727</v>
      </c>
      <c r="F11" s="70"/>
      <c r="G11" s="413"/>
      <c r="H11" s="4">
        <f>A11</f>
        <v>1</v>
      </c>
    </row>
    <row r="12" spans="1:8" x14ac:dyDescent="0.25">
      <c r="A12" s="4">
        <f>+A11+1</f>
        <v>2</v>
      </c>
      <c r="E12" s="70"/>
      <c r="F12" s="70"/>
      <c r="G12" s="4"/>
      <c r="H12" s="4">
        <f>+H11+1</f>
        <v>2</v>
      </c>
    </row>
    <row r="13" spans="1:8" ht="16.5" thickBot="1" x14ac:dyDescent="0.3">
      <c r="A13" s="4">
        <f>+A12+1</f>
        <v>3</v>
      </c>
      <c r="B13" s="31" t="s">
        <v>880</v>
      </c>
      <c r="E13" s="37">
        <f>E11</f>
        <v>1304.0991895338727</v>
      </c>
      <c r="F13" s="35"/>
      <c r="G13" s="4" t="s">
        <v>881</v>
      </c>
      <c r="H13" s="4">
        <f>+H12+1</f>
        <v>3</v>
      </c>
    </row>
    <row r="14" spans="1:8" ht="16.5" thickTop="1" x14ac:dyDescent="0.25"/>
    <row r="18" spans="2:2" x14ac:dyDescent="0.25">
      <c r="B18" s="36"/>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workbookViewId="0"/>
  </sheetViews>
  <sheetFormatPr defaultColWidth="8.7109375" defaultRowHeight="15.75" x14ac:dyDescent="0.25"/>
  <cols>
    <col min="1" max="1" width="5.28515625" style="4" bestFit="1" customWidth="1"/>
    <col min="2" max="2" width="68.7109375" style="31" customWidth="1"/>
    <col min="3" max="3" width="25.42578125" style="31" bestFit="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94" t="s">
        <v>0</v>
      </c>
      <c r="C2" s="1294"/>
      <c r="D2" s="1294"/>
      <c r="E2" s="1294"/>
      <c r="F2" s="1294"/>
      <c r="G2" s="1294"/>
      <c r="H2" s="4"/>
    </row>
    <row r="3" spans="1:8" x14ac:dyDescent="0.25">
      <c r="B3" s="1294" t="s">
        <v>882</v>
      </c>
      <c r="C3" s="1294"/>
      <c r="D3" s="1294"/>
      <c r="E3" s="1294"/>
      <c r="F3" s="1294"/>
      <c r="G3" s="1294"/>
      <c r="H3" s="4"/>
    </row>
    <row r="4" spans="1:8" x14ac:dyDescent="0.25">
      <c r="B4" s="1294" t="s">
        <v>883</v>
      </c>
      <c r="C4" s="1294"/>
      <c r="D4" s="1294"/>
      <c r="E4" s="1294"/>
      <c r="F4" s="1294"/>
      <c r="G4" s="1294"/>
      <c r="H4" s="4"/>
    </row>
    <row r="5" spans="1:8" x14ac:dyDescent="0.25">
      <c r="B5" s="1300" t="str">
        <f>'Stmt AD'!B5</f>
        <v>Base Period &amp; True-Up Period 12 - Months Ending December 31, 2023</v>
      </c>
      <c r="C5" s="1300"/>
      <c r="D5" s="1300"/>
      <c r="E5" s="1300"/>
      <c r="F5" s="1300"/>
      <c r="G5" s="1300"/>
      <c r="H5" s="4"/>
    </row>
    <row r="6" spans="1:8" x14ac:dyDescent="0.25">
      <c r="B6" s="1299" t="s">
        <v>4</v>
      </c>
      <c r="C6" s="1295"/>
      <c r="D6" s="1295"/>
      <c r="E6" s="1295"/>
      <c r="F6" s="1295"/>
      <c r="G6" s="1295"/>
      <c r="H6" s="4"/>
    </row>
    <row r="7" spans="1:8" x14ac:dyDescent="0.25">
      <c r="B7" s="4"/>
      <c r="C7" s="4"/>
      <c r="D7" s="4"/>
      <c r="E7" s="4"/>
      <c r="F7" s="4"/>
      <c r="G7" s="4"/>
      <c r="H7" s="4"/>
    </row>
    <row r="8" spans="1:8" x14ac:dyDescent="0.25">
      <c r="A8" s="4" t="s">
        <v>5</v>
      </c>
      <c r="C8" s="4" t="s">
        <v>205</v>
      </c>
      <c r="E8" s="4"/>
      <c r="F8" s="4"/>
      <c r="G8" s="4"/>
      <c r="H8" s="4" t="s">
        <v>5</v>
      </c>
    </row>
    <row r="9" spans="1:8" x14ac:dyDescent="0.25">
      <c r="A9" s="4" t="s">
        <v>6</v>
      </c>
      <c r="B9" s="31" t="s">
        <v>1</v>
      </c>
      <c r="C9" s="849" t="s">
        <v>207</v>
      </c>
      <c r="E9" s="849" t="s">
        <v>7</v>
      </c>
      <c r="F9" s="623"/>
      <c r="G9" s="849" t="s">
        <v>8</v>
      </c>
      <c r="H9" s="4" t="s">
        <v>6</v>
      </c>
    </row>
    <row r="10" spans="1:8" x14ac:dyDescent="0.25">
      <c r="E10" s="70"/>
      <c r="F10" s="70"/>
      <c r="G10" s="4"/>
      <c r="H10" s="4"/>
    </row>
    <row r="11" spans="1:8" ht="18.75" x14ac:dyDescent="0.25">
      <c r="A11" s="4">
        <f>+A10+1</f>
        <v>1</v>
      </c>
      <c r="B11" s="31" t="s">
        <v>884</v>
      </c>
      <c r="C11" s="4" t="s">
        <v>885</v>
      </c>
      <c r="E11" s="83">
        <v>-264.76299999999998</v>
      </c>
      <c r="F11" s="623"/>
      <c r="G11" s="623"/>
      <c r="H11" s="4">
        <f>A11</f>
        <v>1</v>
      </c>
    </row>
    <row r="12" spans="1:8" x14ac:dyDescent="0.25">
      <c r="A12" s="4">
        <f>+A11+1</f>
        <v>2</v>
      </c>
      <c r="E12" s="70"/>
      <c r="F12" s="70"/>
      <c r="G12" s="623"/>
      <c r="H12" s="4">
        <f>+H11+1</f>
        <v>2</v>
      </c>
    </row>
    <row r="13" spans="1:8" x14ac:dyDescent="0.25">
      <c r="A13" s="4">
        <f>+A12+1</f>
        <v>3</v>
      </c>
      <c r="B13" s="31" t="s">
        <v>886</v>
      </c>
      <c r="E13" s="70"/>
      <c r="F13" s="623"/>
      <c r="G13" s="623"/>
      <c r="H13" s="4">
        <f>+H12+1</f>
        <v>3</v>
      </c>
    </row>
    <row r="14" spans="1:8" x14ac:dyDescent="0.25">
      <c r="A14" s="4">
        <f t="shared" ref="A14:A19" si="0">+A13+1</f>
        <v>4</v>
      </c>
      <c r="B14" s="32" t="s">
        <v>887</v>
      </c>
      <c r="C14" s="4"/>
      <c r="E14" s="42">
        <f>'AR-1'!G18</f>
        <v>1513.2060849959987</v>
      </c>
      <c r="F14" s="623"/>
      <c r="G14" s="4" t="s">
        <v>888</v>
      </c>
      <c r="H14" s="4">
        <f t="shared" ref="H14:H19" si="1">+H13+1</f>
        <v>4</v>
      </c>
    </row>
    <row r="15" spans="1:8" x14ac:dyDescent="0.25">
      <c r="A15" s="4">
        <f t="shared" si="0"/>
        <v>5</v>
      </c>
      <c r="B15" s="32" t="s">
        <v>889</v>
      </c>
      <c r="C15" s="4"/>
      <c r="E15" s="42">
        <f>'AR-1'!G25</f>
        <v>-5166.1872437088459</v>
      </c>
      <c r="F15" s="623"/>
      <c r="G15" s="4" t="s">
        <v>890</v>
      </c>
      <c r="H15" s="4">
        <f t="shared" si="1"/>
        <v>5</v>
      </c>
    </row>
    <row r="16" spans="1:8" x14ac:dyDescent="0.25">
      <c r="A16" s="4">
        <f t="shared" si="0"/>
        <v>6</v>
      </c>
      <c r="B16" s="32" t="s">
        <v>891</v>
      </c>
      <c r="C16" s="4"/>
      <c r="E16" s="908">
        <f>'AR-1'!G33</f>
        <v>0</v>
      </c>
      <c r="F16" s="623"/>
      <c r="G16" s="4" t="s">
        <v>892</v>
      </c>
      <c r="H16" s="4">
        <f t="shared" si="1"/>
        <v>6</v>
      </c>
    </row>
    <row r="17" spans="1:8" x14ac:dyDescent="0.25">
      <c r="A17" s="4">
        <f t="shared" si="0"/>
        <v>7</v>
      </c>
      <c r="B17" s="32" t="s">
        <v>893</v>
      </c>
      <c r="C17" s="4"/>
      <c r="E17" s="1052">
        <f>SUM(E14:E16)</f>
        <v>-3652.981158712847</v>
      </c>
      <c r="F17" s="623"/>
      <c r="G17" s="4" t="s">
        <v>894</v>
      </c>
      <c r="H17" s="4">
        <f t="shared" si="1"/>
        <v>7</v>
      </c>
    </row>
    <row r="18" spans="1:8" x14ac:dyDescent="0.25">
      <c r="A18" s="4">
        <f t="shared" si="0"/>
        <v>8</v>
      </c>
      <c r="E18" s="6"/>
      <c r="F18" s="6"/>
      <c r="G18" s="44"/>
      <c r="H18" s="4">
        <f t="shared" si="1"/>
        <v>8</v>
      </c>
    </row>
    <row r="19" spans="1:8" ht="16.5" thickBot="1" x14ac:dyDescent="0.3">
      <c r="A19" s="4">
        <f t="shared" si="0"/>
        <v>9</v>
      </c>
      <c r="B19" s="31" t="s">
        <v>895</v>
      </c>
      <c r="E19" s="37">
        <f>E11+E17</f>
        <v>-3917.7441587128469</v>
      </c>
      <c r="F19" s="35"/>
      <c r="G19" s="4" t="s">
        <v>896</v>
      </c>
      <c r="H19" s="4">
        <f t="shared" si="1"/>
        <v>9</v>
      </c>
    </row>
    <row r="20" spans="1:8" ht="16.5" thickTop="1" x14ac:dyDescent="0.25">
      <c r="E20" s="35"/>
      <c r="F20" s="35"/>
      <c r="G20" s="4"/>
      <c r="H20" s="4"/>
    </row>
    <row r="21" spans="1:8" x14ac:dyDescent="0.25">
      <c r="H21" s="4"/>
    </row>
    <row r="22" spans="1:8" ht="18.75" x14ac:dyDescent="0.25">
      <c r="A22" s="253">
        <v>1</v>
      </c>
      <c r="B22" s="31" t="s">
        <v>897</v>
      </c>
      <c r="H22" s="4"/>
    </row>
    <row r="23" spans="1:8" ht="18.75" x14ac:dyDescent="0.25">
      <c r="A23" s="266"/>
      <c r="B23" s="32"/>
      <c r="H23" s="4"/>
    </row>
    <row r="24" spans="1:8" x14ac:dyDescent="0.25">
      <c r="B24" s="32"/>
      <c r="H24" s="4"/>
    </row>
    <row r="25" spans="1:8" x14ac:dyDescent="0.25">
      <c r="B25" s="726"/>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workbookViewId="0"/>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1.28515625" style="31" bestFit="1" customWidth="1"/>
    <col min="6" max="6" width="1.5703125" style="31" customWidth="1"/>
    <col min="7" max="7" width="23.42578125" style="31" bestFit="1" customWidth="1"/>
    <col min="8" max="8" width="62.5703125" style="31" customWidth="1"/>
    <col min="9" max="9" width="5.42578125" style="4" customWidth="1"/>
    <col min="10" max="10" width="9.7109375" style="31" bestFit="1" customWidth="1"/>
    <col min="11" max="11" width="10.42578125" style="31" customWidth="1"/>
    <col min="12" max="16384" width="8.5703125" style="31"/>
  </cols>
  <sheetData>
    <row r="2" spans="1:11" x14ac:dyDescent="0.25">
      <c r="B2" s="1294" t="s">
        <v>0</v>
      </c>
      <c r="C2" s="1294"/>
      <c r="D2" s="1294"/>
      <c r="E2" s="1294"/>
      <c r="F2" s="1294"/>
      <c r="G2" s="1294"/>
      <c r="H2" s="1294"/>
    </row>
    <row r="3" spans="1:11" x14ac:dyDescent="0.25">
      <c r="B3" s="1294" t="s">
        <v>898</v>
      </c>
      <c r="C3" s="1294"/>
      <c r="D3" s="1294"/>
      <c r="E3" s="1294"/>
      <c r="F3" s="1294"/>
      <c r="G3" s="1294"/>
      <c r="H3" s="1294"/>
    </row>
    <row r="4" spans="1:11" x14ac:dyDescent="0.25">
      <c r="B4" s="1294" t="s">
        <v>899</v>
      </c>
      <c r="C4" s="1294"/>
      <c r="D4" s="1294"/>
      <c r="E4" s="1294"/>
      <c r="F4" s="1294"/>
      <c r="G4" s="1294"/>
      <c r="H4" s="1294"/>
    </row>
    <row r="5" spans="1:11" x14ac:dyDescent="0.25">
      <c r="B5" s="1294" t="s">
        <v>1684</v>
      </c>
      <c r="C5" s="1294"/>
      <c r="D5" s="1294"/>
      <c r="E5" s="1294"/>
      <c r="F5" s="1294"/>
      <c r="G5" s="1294"/>
      <c r="H5" s="1294"/>
    </row>
    <row r="6" spans="1:11" ht="15.75" customHeight="1" x14ac:dyDescent="0.25">
      <c r="B6" s="1299" t="s">
        <v>4</v>
      </c>
      <c r="C6" s="1299"/>
      <c r="D6" s="1299"/>
      <c r="E6" s="1299"/>
      <c r="F6" s="1299"/>
      <c r="G6" s="1299"/>
      <c r="H6" s="1299"/>
    </row>
    <row r="8" spans="1:11" x14ac:dyDescent="0.25">
      <c r="B8" s="1"/>
      <c r="C8" s="262" t="s">
        <v>184</v>
      </c>
      <c r="D8" s="262"/>
      <c r="E8" s="262" t="s">
        <v>185</v>
      </c>
      <c r="F8" s="262"/>
      <c r="G8" s="262" t="s">
        <v>900</v>
      </c>
      <c r="H8" s="262"/>
    </row>
    <row r="9" spans="1:11" ht="18.75" x14ac:dyDescent="0.25">
      <c r="A9" s="4" t="s">
        <v>5</v>
      </c>
      <c r="B9" s="1"/>
      <c r="C9" s="262" t="s">
        <v>413</v>
      </c>
      <c r="D9" s="898"/>
      <c r="E9" s="262" t="s">
        <v>412</v>
      </c>
      <c r="F9" s="262"/>
      <c r="G9" s="262"/>
      <c r="H9" s="262"/>
      <c r="I9" s="4" t="s">
        <v>5</v>
      </c>
    </row>
    <row r="10" spans="1:11" x14ac:dyDescent="0.25">
      <c r="A10" s="4" t="s">
        <v>6</v>
      </c>
      <c r="B10" s="930" t="s">
        <v>306</v>
      </c>
      <c r="C10" s="728" t="s">
        <v>416</v>
      </c>
      <c r="D10" s="728"/>
      <c r="E10" s="728" t="s">
        <v>415</v>
      </c>
      <c r="F10" s="728"/>
      <c r="G10" s="930" t="s">
        <v>177</v>
      </c>
      <c r="H10" s="930" t="s">
        <v>8</v>
      </c>
      <c r="I10" s="4" t="s">
        <v>6</v>
      </c>
    </row>
    <row r="11" spans="1:11" x14ac:dyDescent="0.25">
      <c r="B11" s="1"/>
      <c r="C11" s="339"/>
      <c r="D11" s="339"/>
      <c r="E11" s="339"/>
      <c r="F11" s="339"/>
      <c r="G11" s="91"/>
      <c r="H11" s="91"/>
    </row>
    <row r="12" spans="1:11" x14ac:dyDescent="0.25">
      <c r="A12" s="4">
        <v>1</v>
      </c>
      <c r="B12" s="32" t="s">
        <v>417</v>
      </c>
      <c r="C12" s="90"/>
      <c r="D12" s="90"/>
      <c r="E12" s="90"/>
      <c r="F12" s="90"/>
      <c r="G12" s="91"/>
      <c r="H12" s="91"/>
      <c r="I12" s="4">
        <f>A12</f>
        <v>1</v>
      </c>
    </row>
    <row r="13" spans="1:11" x14ac:dyDescent="0.25">
      <c r="A13" s="4">
        <f t="shared" ref="A13:A18" si="0">A12+1</f>
        <v>2</v>
      </c>
      <c r="B13" s="32" t="s">
        <v>418</v>
      </c>
      <c r="C13" s="35">
        <f>-SUM('Order 864-3'!I15:I16)</f>
        <v>0</v>
      </c>
      <c r="D13" s="35"/>
      <c r="E13" s="35">
        <f>-SUM('Order 864-3'!H15:H17,'Order 864-3'!H19)</f>
        <v>0</v>
      </c>
      <c r="F13" s="88"/>
      <c r="G13" s="35">
        <f>SUM(C13:E13)</f>
        <v>0</v>
      </c>
      <c r="H13" s="626" t="s">
        <v>258</v>
      </c>
      <c r="I13" s="4">
        <f t="shared" ref="I13:I18" si="1">I12+1</f>
        <v>2</v>
      </c>
      <c r="K13" s="255"/>
    </row>
    <row r="14" spans="1:11" x14ac:dyDescent="0.25">
      <c r="A14" s="4">
        <f t="shared" si="0"/>
        <v>3</v>
      </c>
      <c r="B14" s="32" t="s">
        <v>901</v>
      </c>
      <c r="C14" s="6">
        <f>-'Order 864-3'!I27</f>
        <v>0</v>
      </c>
      <c r="D14" s="6"/>
      <c r="E14" s="6">
        <f>-SUM('Order 864-3'!H27,'Order 864-3'!F27)</f>
        <v>1513.2060849959987</v>
      </c>
      <c r="F14" s="6"/>
      <c r="G14" s="6">
        <f>SUM(C14:E14)</f>
        <v>1513.2060849959987</v>
      </c>
      <c r="H14" s="626" t="s">
        <v>258</v>
      </c>
      <c r="I14" s="4">
        <f t="shared" si="1"/>
        <v>3</v>
      </c>
    </row>
    <row r="15" spans="1:11" x14ac:dyDescent="0.25">
      <c r="A15" s="4">
        <f t="shared" si="0"/>
        <v>4</v>
      </c>
      <c r="B15" s="810"/>
      <c r="C15" s="6">
        <v>0</v>
      </c>
      <c r="D15" s="6"/>
      <c r="E15" s="6">
        <v>0</v>
      </c>
      <c r="F15" s="6"/>
      <c r="G15" s="6">
        <f>SUM(C15:E15)</f>
        <v>0</v>
      </c>
      <c r="H15" s="811"/>
      <c r="I15" s="4">
        <f t="shared" si="1"/>
        <v>4</v>
      </c>
    </row>
    <row r="16" spans="1:11" x14ac:dyDescent="0.25">
      <c r="A16" s="4">
        <f t="shared" si="0"/>
        <v>5</v>
      </c>
      <c r="B16" s="32"/>
      <c r="C16" s="6">
        <v>0</v>
      </c>
      <c r="D16" s="6"/>
      <c r="E16" s="6">
        <v>0</v>
      </c>
      <c r="F16" s="6"/>
      <c r="G16" s="6">
        <f>SUM(C16:E16)</f>
        <v>0</v>
      </c>
      <c r="H16" s="6"/>
      <c r="I16" s="4">
        <f t="shared" si="1"/>
        <v>5</v>
      </c>
    </row>
    <row r="17" spans="1:11" x14ac:dyDescent="0.25">
      <c r="A17" s="4">
        <f t="shared" si="0"/>
        <v>6</v>
      </c>
      <c r="C17" s="6">
        <v>0</v>
      </c>
      <c r="D17" s="6"/>
      <c r="E17" s="6">
        <v>0</v>
      </c>
      <c r="F17" s="6"/>
      <c r="G17" s="6">
        <f>SUM(C17:E17)</f>
        <v>0</v>
      </c>
      <c r="H17" s="6"/>
      <c r="I17" s="4">
        <f t="shared" si="1"/>
        <v>6</v>
      </c>
    </row>
    <row r="18" spans="1:11" ht="19.5" thickBot="1" x14ac:dyDescent="0.3">
      <c r="A18" s="4">
        <f t="shared" si="0"/>
        <v>7</v>
      </c>
      <c r="B18" s="340" t="s">
        <v>902</v>
      </c>
      <c r="C18" s="89">
        <f>SUM(C13:C17)</f>
        <v>0</v>
      </c>
      <c r="D18" s="43"/>
      <c r="E18" s="89">
        <f>SUM(E13:E17)</f>
        <v>1513.2060849959987</v>
      </c>
      <c r="F18" s="6"/>
      <c r="G18" s="89">
        <f>SUM(G13:G17)</f>
        <v>1513.2060849959987</v>
      </c>
      <c r="H18" s="44" t="s">
        <v>421</v>
      </c>
      <c r="I18" s="4">
        <f t="shared" si="1"/>
        <v>7</v>
      </c>
      <c r="J18" s="429"/>
    </row>
    <row r="19" spans="1:11" ht="16.5" thickTop="1" x14ac:dyDescent="0.25">
      <c r="A19" s="4">
        <f t="shared" ref="A19:A35" si="2">A18+1</f>
        <v>8</v>
      </c>
      <c r="C19" s="85"/>
      <c r="D19" s="85"/>
      <c r="E19" s="85"/>
      <c r="F19" s="85"/>
      <c r="G19" s="874"/>
      <c r="H19" s="85"/>
      <c r="I19" s="4">
        <f t="shared" ref="I19:I35" si="3">I18+1</f>
        <v>8</v>
      </c>
    </row>
    <row r="20" spans="1:11" x14ac:dyDescent="0.25">
      <c r="A20" s="4">
        <f t="shared" si="2"/>
        <v>9</v>
      </c>
      <c r="B20" s="32" t="s">
        <v>422</v>
      </c>
      <c r="C20" s="90"/>
      <c r="D20" s="90"/>
      <c r="E20" s="90"/>
      <c r="F20" s="90"/>
      <c r="G20" s="91"/>
      <c r="H20" s="91"/>
      <c r="I20" s="4">
        <f t="shared" si="3"/>
        <v>9</v>
      </c>
    </row>
    <row r="21" spans="1:11" x14ac:dyDescent="0.25">
      <c r="A21" s="4">
        <f t="shared" si="2"/>
        <v>10</v>
      </c>
      <c r="B21" s="724" t="s">
        <v>419</v>
      </c>
      <c r="C21" s="35">
        <f>-SUM('Order 864-3'!G29:G30, 'Order 864-3'!I29:I30,'Order 864-3'!G37,'Order 864-3'!I37,'Order 864-3'!G40,'Order 864-3'!I40)</f>
        <v>-5967.4540330612144</v>
      </c>
      <c r="D21" s="35"/>
      <c r="E21" s="35">
        <f>-SUM('Order 864-3'!F29:F30, 'Order 864-3'!H29:H30,'Order 864-3'!F37,'Order 864-3'!H37,'Order 864-3'!F40,'Order 864-3'!H40)</f>
        <v>801.26678935236828</v>
      </c>
      <c r="F21" s="35"/>
      <c r="G21" s="35">
        <f>SUM(C21:E21)</f>
        <v>-5166.1872437088459</v>
      </c>
      <c r="H21" s="907" t="s">
        <v>903</v>
      </c>
      <c r="I21" s="4">
        <f t="shared" si="3"/>
        <v>10</v>
      </c>
      <c r="K21" s="255"/>
    </row>
    <row r="22" spans="1:11" x14ac:dyDescent="0.25">
      <c r="A22" s="4">
        <f t="shared" si="2"/>
        <v>11</v>
      </c>
      <c r="C22" s="6">
        <v>0</v>
      </c>
      <c r="D22" s="6"/>
      <c r="E22" s="6">
        <v>0</v>
      </c>
      <c r="F22" s="6"/>
      <c r="G22" s="6">
        <f>SUM(C22:E22)</f>
        <v>0</v>
      </c>
      <c r="H22" s="6"/>
      <c r="I22" s="4">
        <f t="shared" si="3"/>
        <v>11</v>
      </c>
    </row>
    <row r="23" spans="1:11" x14ac:dyDescent="0.25">
      <c r="A23" s="4">
        <f t="shared" si="2"/>
        <v>12</v>
      </c>
      <c r="C23" s="6">
        <v>0</v>
      </c>
      <c r="D23" s="6"/>
      <c r="E23" s="6">
        <v>0</v>
      </c>
      <c r="F23" s="6"/>
      <c r="G23" s="6">
        <f>SUM(C23:E23)</f>
        <v>0</v>
      </c>
      <c r="H23" s="6"/>
      <c r="I23" s="4">
        <f t="shared" si="3"/>
        <v>12</v>
      </c>
    </row>
    <row r="24" spans="1:11" x14ac:dyDescent="0.25">
      <c r="A24" s="4">
        <f t="shared" si="2"/>
        <v>13</v>
      </c>
      <c r="C24" s="6">
        <v>0</v>
      </c>
      <c r="D24" s="6"/>
      <c r="E24" s="6">
        <v>0</v>
      </c>
      <c r="F24" s="6"/>
      <c r="G24" s="6">
        <f>SUM(C24:E24)</f>
        <v>0</v>
      </c>
      <c r="H24" s="6"/>
      <c r="I24" s="4">
        <f t="shared" si="3"/>
        <v>13</v>
      </c>
    </row>
    <row r="25" spans="1:11" ht="16.5" thickBot="1" x14ac:dyDescent="0.3">
      <c r="A25" s="4">
        <f t="shared" si="2"/>
        <v>14</v>
      </c>
      <c r="B25" s="340" t="s">
        <v>423</v>
      </c>
      <c r="C25" s="89">
        <f>SUM(C21:C24)</f>
        <v>-5967.4540330612144</v>
      </c>
      <c r="D25" s="43"/>
      <c r="E25" s="89">
        <f>SUM(E21:E24)</f>
        <v>801.26678935236828</v>
      </c>
      <c r="F25" s="6"/>
      <c r="G25" s="89">
        <f>SUM(G21:G24)</f>
        <v>-5166.1872437088459</v>
      </c>
      <c r="H25" s="44" t="s">
        <v>424</v>
      </c>
      <c r="I25" s="4">
        <f t="shared" si="3"/>
        <v>14</v>
      </c>
    </row>
    <row r="26" spans="1:11" ht="16.5" thickTop="1" x14ac:dyDescent="0.25">
      <c r="A26" s="4">
        <f t="shared" si="2"/>
        <v>15</v>
      </c>
      <c r="I26" s="4">
        <f t="shared" si="3"/>
        <v>15</v>
      </c>
    </row>
    <row r="27" spans="1:11" x14ac:dyDescent="0.25">
      <c r="A27" s="4">
        <f t="shared" si="2"/>
        <v>16</v>
      </c>
      <c r="B27" s="32" t="s">
        <v>425</v>
      </c>
      <c r="C27" s="90"/>
      <c r="D27" s="90"/>
      <c r="E27" s="90"/>
      <c r="F27" s="90"/>
      <c r="G27" s="91"/>
      <c r="H27" s="4"/>
      <c r="I27" s="4">
        <f t="shared" si="3"/>
        <v>16</v>
      </c>
    </row>
    <row r="28" spans="1:11" x14ac:dyDescent="0.25">
      <c r="A28" s="4">
        <f t="shared" si="2"/>
        <v>17</v>
      </c>
      <c r="B28" s="32" t="s">
        <v>418</v>
      </c>
      <c r="C28" s="35">
        <f>-SUM('Order 864-3'!I21:I22)</f>
        <v>0</v>
      </c>
      <c r="D28" s="35"/>
      <c r="E28" s="35">
        <f>-SUM('Order 864-3'!H21:H22)</f>
        <v>0</v>
      </c>
      <c r="F28" s="88"/>
      <c r="G28" s="35">
        <f>SUM(C28:E28)</f>
        <v>0</v>
      </c>
      <c r="H28" s="626" t="s">
        <v>258</v>
      </c>
      <c r="I28" s="4">
        <f t="shared" si="3"/>
        <v>17</v>
      </c>
    </row>
    <row r="29" spans="1:11" x14ac:dyDescent="0.25">
      <c r="A29" s="4">
        <f t="shared" si="2"/>
        <v>18</v>
      </c>
      <c r="B29" s="32"/>
      <c r="C29" s="6">
        <v>0</v>
      </c>
      <c r="D29" s="6"/>
      <c r="E29" s="6">
        <v>0</v>
      </c>
      <c r="F29" s="6"/>
      <c r="G29" s="6">
        <f>SUM(C29:E29)</f>
        <v>0</v>
      </c>
      <c r="H29" s="4"/>
      <c r="I29" s="4">
        <f t="shared" si="3"/>
        <v>18</v>
      </c>
    </row>
    <row r="30" spans="1:11" x14ac:dyDescent="0.25">
      <c r="A30" s="4">
        <f t="shared" si="2"/>
        <v>19</v>
      </c>
      <c r="B30" s="32"/>
      <c r="C30" s="6">
        <v>0</v>
      </c>
      <c r="D30" s="6"/>
      <c r="E30" s="6">
        <v>0</v>
      </c>
      <c r="F30" s="6"/>
      <c r="G30" s="6">
        <f>SUM(C30:E30)</f>
        <v>0</v>
      </c>
      <c r="H30" s="6"/>
      <c r="I30" s="4">
        <f t="shared" si="3"/>
        <v>19</v>
      </c>
    </row>
    <row r="31" spans="1:11" x14ac:dyDescent="0.25">
      <c r="A31" s="4">
        <f t="shared" si="2"/>
        <v>20</v>
      </c>
      <c r="B31" s="32"/>
      <c r="C31" s="6">
        <v>0</v>
      </c>
      <c r="D31" s="6"/>
      <c r="E31" s="6">
        <v>0</v>
      </c>
      <c r="F31" s="6"/>
      <c r="G31" s="6">
        <f>SUM(C31:E31)</f>
        <v>0</v>
      </c>
      <c r="H31" s="6"/>
      <c r="I31" s="4">
        <f t="shared" si="3"/>
        <v>20</v>
      </c>
    </row>
    <row r="32" spans="1:11" x14ac:dyDescent="0.25">
      <c r="A32" s="4">
        <f t="shared" si="2"/>
        <v>21</v>
      </c>
      <c r="B32" s="32"/>
      <c r="C32" s="6">
        <v>0</v>
      </c>
      <c r="D32" s="6"/>
      <c r="E32" s="6">
        <v>0</v>
      </c>
      <c r="F32" s="6"/>
      <c r="G32" s="6">
        <f>SUM(C32:E32)</f>
        <v>0</v>
      </c>
      <c r="H32" s="6"/>
      <c r="I32" s="4">
        <f t="shared" si="3"/>
        <v>21</v>
      </c>
    </row>
    <row r="33" spans="1:9" ht="16.5" thickBot="1" x14ac:dyDescent="0.3">
      <c r="A33" s="4">
        <f t="shared" si="2"/>
        <v>22</v>
      </c>
      <c r="B33" s="340" t="s">
        <v>426</v>
      </c>
      <c r="C33" s="89">
        <f>SUM(C28:C32)</f>
        <v>0</v>
      </c>
      <c r="D33" s="43"/>
      <c r="E33" s="89">
        <f>SUM(E28:E32)</f>
        <v>0</v>
      </c>
      <c r="F33" s="6"/>
      <c r="G33" s="89">
        <f>SUM(G28:G32)</f>
        <v>0</v>
      </c>
      <c r="H33" s="44" t="s">
        <v>427</v>
      </c>
      <c r="I33" s="4">
        <f t="shared" si="3"/>
        <v>22</v>
      </c>
    </row>
    <row r="34" spans="1:9" ht="16.5" thickTop="1" x14ac:dyDescent="0.25">
      <c r="A34" s="4">
        <f t="shared" si="2"/>
        <v>23</v>
      </c>
      <c r="I34" s="4">
        <f t="shared" si="3"/>
        <v>23</v>
      </c>
    </row>
    <row r="35" spans="1:9" ht="16.5" thickBot="1" x14ac:dyDescent="0.3">
      <c r="A35" s="4">
        <f t="shared" si="2"/>
        <v>24</v>
      </c>
      <c r="B35" s="1" t="s">
        <v>904</v>
      </c>
      <c r="C35" s="89">
        <f>+C18+C25+C33</f>
        <v>-5967.4540330612144</v>
      </c>
      <c r="D35" s="43"/>
      <c r="E35" s="89">
        <f>+E18+E25+E33</f>
        <v>2314.472874348367</v>
      </c>
      <c r="G35" s="89">
        <f>+G18+G25+G33</f>
        <v>-3652.981158712847</v>
      </c>
      <c r="H35" s="44" t="s">
        <v>429</v>
      </c>
      <c r="I35" s="4">
        <f t="shared" si="3"/>
        <v>24</v>
      </c>
    </row>
    <row r="36" spans="1:9" ht="16.5" thickTop="1" x14ac:dyDescent="0.25">
      <c r="B36" s="1"/>
      <c r="C36" s="43"/>
      <c r="D36" s="43"/>
      <c r="E36" s="43"/>
      <c r="G36" s="43"/>
      <c r="H36" s="44"/>
    </row>
    <row r="38" spans="1:9" ht="18.75" x14ac:dyDescent="0.25">
      <c r="A38" s="253">
        <v>1</v>
      </c>
      <c r="B38" s="31" t="s">
        <v>430</v>
      </c>
    </row>
    <row r="39" spans="1:9" ht="18.75" x14ac:dyDescent="0.25">
      <c r="A39" s="253">
        <v>2</v>
      </c>
      <c r="B39" s="31" t="s">
        <v>905</v>
      </c>
    </row>
    <row r="40" spans="1:9" ht="18.75" x14ac:dyDescent="0.25">
      <c r="A40" s="253">
        <v>3</v>
      </c>
      <c r="B40" s="31" t="s">
        <v>906</v>
      </c>
    </row>
    <row r="41" spans="1:9" ht="18.75" x14ac:dyDescent="0.25">
      <c r="A41" s="266">
        <v>4</v>
      </c>
      <c r="B41" s="825" t="s">
        <v>1499</v>
      </c>
    </row>
    <row r="42" spans="1:9" x14ac:dyDescent="0.25">
      <c r="B42" s="825" t="s">
        <v>1500</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workbookViewId="0">
      <selection activeCell="G12" sqref="G12"/>
    </sheetView>
  </sheetViews>
  <sheetFormatPr defaultColWidth="8.7109375" defaultRowHeight="15.75" x14ac:dyDescent="0.25"/>
  <cols>
    <col min="1" max="1" width="5.28515625" style="4" bestFit="1" customWidth="1"/>
    <col min="2" max="2" width="68.710937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94" t="s">
        <v>0</v>
      </c>
      <c r="C2" s="1294"/>
      <c r="D2" s="1294"/>
      <c r="E2" s="1294"/>
      <c r="F2" s="1294"/>
      <c r="G2" s="1294"/>
      <c r="H2" s="4"/>
    </row>
    <row r="3" spans="1:8" x14ac:dyDescent="0.25">
      <c r="B3" s="1294" t="s">
        <v>907</v>
      </c>
      <c r="C3" s="1294"/>
      <c r="D3" s="1294"/>
      <c r="E3" s="1294"/>
      <c r="F3" s="1294"/>
      <c r="G3" s="1294"/>
      <c r="H3" s="4"/>
    </row>
    <row r="4" spans="1:8" x14ac:dyDescent="0.25">
      <c r="B4" s="1294" t="s">
        <v>908</v>
      </c>
      <c r="C4" s="1294"/>
      <c r="D4" s="1294"/>
      <c r="E4" s="1294"/>
      <c r="F4" s="1294"/>
      <c r="G4" s="1294"/>
      <c r="H4" s="4"/>
    </row>
    <row r="5" spans="1:8" x14ac:dyDescent="0.25">
      <c r="B5" s="1300" t="str">
        <f>'Stmt AD'!B5</f>
        <v>Base Period &amp; True-Up Period 12 - Months Ending December 31, 2023</v>
      </c>
      <c r="C5" s="1300"/>
      <c r="D5" s="1300"/>
      <c r="E5" s="1300"/>
      <c r="F5" s="1300"/>
      <c r="G5" s="1300"/>
      <c r="H5" s="4"/>
    </row>
    <row r="6" spans="1:8" x14ac:dyDescent="0.25">
      <c r="B6" s="1299" t="s">
        <v>4</v>
      </c>
      <c r="C6" s="1295"/>
      <c r="D6" s="1295"/>
      <c r="E6" s="1295"/>
      <c r="F6" s="1295"/>
      <c r="G6" s="1295"/>
      <c r="H6" s="4"/>
    </row>
    <row r="7" spans="1:8" x14ac:dyDescent="0.25">
      <c r="B7" s="4"/>
      <c r="C7" s="4"/>
      <c r="D7" s="4"/>
      <c r="E7" s="4"/>
      <c r="F7" s="4"/>
      <c r="G7" s="4"/>
      <c r="H7" s="4"/>
    </row>
    <row r="8" spans="1:8" x14ac:dyDescent="0.25">
      <c r="A8" s="4" t="s">
        <v>5</v>
      </c>
      <c r="C8" s="4" t="s">
        <v>205</v>
      </c>
      <c r="E8" s="4"/>
      <c r="F8" s="4"/>
      <c r="G8" s="4"/>
      <c r="H8" s="4" t="s">
        <v>5</v>
      </c>
    </row>
    <row r="9" spans="1:8" x14ac:dyDescent="0.25">
      <c r="A9" s="4" t="s">
        <v>6</v>
      </c>
      <c r="B9" s="31" t="s">
        <v>1</v>
      </c>
      <c r="C9" s="849" t="s">
        <v>207</v>
      </c>
      <c r="E9" s="849" t="s">
        <v>7</v>
      </c>
      <c r="F9" s="623"/>
      <c r="G9" s="849" t="s">
        <v>8</v>
      </c>
      <c r="H9" s="4" t="s">
        <v>6</v>
      </c>
    </row>
    <row r="10" spans="1:8" x14ac:dyDescent="0.25">
      <c r="E10" s="70"/>
      <c r="F10" s="70"/>
      <c r="G10" s="4"/>
      <c r="H10" s="4"/>
    </row>
    <row r="11" spans="1:8" ht="18.75" x14ac:dyDescent="0.25">
      <c r="A11" s="4">
        <f>+A10+1</f>
        <v>1</v>
      </c>
      <c r="B11" s="31" t="s">
        <v>884</v>
      </c>
      <c r="C11" s="4"/>
      <c r="E11" s="83">
        <v>0</v>
      </c>
      <c r="F11" s="623"/>
      <c r="G11" s="4" t="s">
        <v>2059</v>
      </c>
      <c r="H11" s="4">
        <f>A11</f>
        <v>1</v>
      </c>
    </row>
    <row r="12" spans="1:8" x14ac:dyDescent="0.25">
      <c r="A12" s="4">
        <f>+A11+1</f>
        <v>2</v>
      </c>
      <c r="E12" s="70"/>
      <c r="F12" s="70"/>
      <c r="G12" s="623"/>
      <c r="H12" s="4">
        <f>+H11+1</f>
        <v>2</v>
      </c>
    </row>
    <row r="13" spans="1:8" x14ac:dyDescent="0.25">
      <c r="A13" s="4">
        <f>+A12+1</f>
        <v>3</v>
      </c>
      <c r="B13" s="31" t="s">
        <v>886</v>
      </c>
      <c r="E13" s="70"/>
      <c r="F13" s="623"/>
      <c r="G13" s="623"/>
      <c r="H13" s="4">
        <f>+H12+1</f>
        <v>3</v>
      </c>
    </row>
    <row r="14" spans="1:8" x14ac:dyDescent="0.25">
      <c r="A14" s="4">
        <f t="shared" ref="A14:A19" si="0">+A13+1</f>
        <v>4</v>
      </c>
      <c r="B14" s="32" t="s">
        <v>887</v>
      </c>
      <c r="C14" s="4"/>
      <c r="E14" s="42">
        <f>'AT-1'!G18</f>
        <v>0</v>
      </c>
      <c r="F14" s="623"/>
      <c r="G14" s="4" t="s">
        <v>909</v>
      </c>
      <c r="H14" s="4">
        <f t="shared" ref="H14:H19" si="1">+H13+1</f>
        <v>4</v>
      </c>
    </row>
    <row r="15" spans="1:8" x14ac:dyDescent="0.25">
      <c r="A15" s="4">
        <f t="shared" si="0"/>
        <v>5</v>
      </c>
      <c r="B15" s="32" t="s">
        <v>889</v>
      </c>
      <c r="C15" s="4"/>
      <c r="E15" s="42">
        <f>'AT-1'!G25</f>
        <v>0</v>
      </c>
      <c r="F15" s="623"/>
      <c r="G15" s="4" t="s">
        <v>910</v>
      </c>
      <c r="H15" s="4">
        <f t="shared" si="1"/>
        <v>5</v>
      </c>
    </row>
    <row r="16" spans="1:8" x14ac:dyDescent="0.25">
      <c r="A16" s="4">
        <f t="shared" si="0"/>
        <v>6</v>
      </c>
      <c r="B16" s="32" t="s">
        <v>891</v>
      </c>
      <c r="C16" s="4"/>
      <c r="E16" s="908">
        <f>'AT-1'!G33</f>
        <v>0</v>
      </c>
      <c r="F16" s="623"/>
      <c r="G16" s="4" t="s">
        <v>911</v>
      </c>
      <c r="H16" s="4">
        <f t="shared" si="1"/>
        <v>6</v>
      </c>
    </row>
    <row r="17" spans="1:8" x14ac:dyDescent="0.25">
      <c r="A17" s="4">
        <f t="shared" si="0"/>
        <v>7</v>
      </c>
      <c r="B17" s="32" t="s">
        <v>893</v>
      </c>
      <c r="C17" s="4"/>
      <c r="E17" s="1052">
        <f>SUM(E14:E16)</f>
        <v>0</v>
      </c>
      <c r="F17" s="623"/>
      <c r="G17" s="4" t="s">
        <v>894</v>
      </c>
      <c r="H17" s="4">
        <f t="shared" si="1"/>
        <v>7</v>
      </c>
    </row>
    <row r="18" spans="1:8" x14ac:dyDescent="0.25">
      <c r="A18" s="4">
        <f t="shared" si="0"/>
        <v>8</v>
      </c>
      <c r="E18" s="6"/>
      <c r="F18" s="6"/>
      <c r="G18" s="44"/>
      <c r="H18" s="4">
        <f t="shared" si="1"/>
        <v>8</v>
      </c>
    </row>
    <row r="19" spans="1:8" ht="16.5" thickBot="1" x14ac:dyDescent="0.3">
      <c r="A19" s="4">
        <f t="shared" si="0"/>
        <v>9</v>
      </c>
      <c r="B19" s="31" t="s">
        <v>912</v>
      </c>
      <c r="E19" s="37">
        <f>E11+E17</f>
        <v>0</v>
      </c>
      <c r="F19" s="35"/>
      <c r="G19" s="4" t="s">
        <v>896</v>
      </c>
      <c r="H19" s="4">
        <f t="shared" si="1"/>
        <v>9</v>
      </c>
    </row>
    <row r="20" spans="1:8" ht="16.5" thickTop="1" x14ac:dyDescent="0.25">
      <c r="E20" s="35"/>
      <c r="F20" s="35"/>
      <c r="G20" s="4"/>
      <c r="H20" s="4"/>
    </row>
    <row r="21" spans="1:8" x14ac:dyDescent="0.25">
      <c r="H21" s="4"/>
    </row>
    <row r="22" spans="1:8" ht="18.75" x14ac:dyDescent="0.25">
      <c r="A22" s="253">
        <v>1</v>
      </c>
      <c r="B22" s="31" t="s">
        <v>897</v>
      </c>
      <c r="H22" s="4"/>
    </row>
    <row r="23" spans="1:8" ht="18.75" x14ac:dyDescent="0.25">
      <c r="A23" s="266"/>
      <c r="B23" s="32"/>
      <c r="H23" s="4"/>
    </row>
    <row r="24" spans="1:8" x14ac:dyDescent="0.25">
      <c r="B24" s="32"/>
      <c r="H24" s="4"/>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87"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94" t="s">
        <v>0</v>
      </c>
      <c r="C2" s="1294"/>
      <c r="D2" s="1294"/>
      <c r="E2" s="1294"/>
      <c r="F2" s="1294"/>
    </row>
    <row r="3" spans="1:9" x14ac:dyDescent="0.25">
      <c r="B3" s="1294" t="s">
        <v>250</v>
      </c>
      <c r="C3" s="1294"/>
      <c r="D3" s="1294"/>
      <c r="E3" s="1294"/>
      <c r="F3" s="1294"/>
    </row>
    <row r="4" spans="1:9" x14ac:dyDescent="0.25">
      <c r="B4" s="1294" t="s">
        <v>251</v>
      </c>
      <c r="C4" s="1294"/>
      <c r="D4" s="1294"/>
      <c r="E4" s="1294"/>
      <c r="F4" s="1294"/>
    </row>
    <row r="5" spans="1:9" x14ac:dyDescent="0.25">
      <c r="B5" s="1294" t="str">
        <f>'AD-1'!B5</f>
        <v>BASE PERIOD / TRUE UP PERIOD - 12/31/2023 PER BOOK</v>
      </c>
      <c r="C5" s="1294"/>
      <c r="D5" s="1294"/>
      <c r="E5" s="1294"/>
      <c r="F5" s="1294"/>
    </row>
    <row r="6" spans="1:9" x14ac:dyDescent="0.25">
      <c r="B6" s="1299" t="s">
        <v>4</v>
      </c>
      <c r="C6" s="1299"/>
      <c r="D6" s="1299"/>
      <c r="E6" s="1299"/>
      <c r="F6" s="1299"/>
    </row>
    <row r="7" spans="1:9" x14ac:dyDescent="0.25">
      <c r="B7" s="267"/>
      <c r="C7" s="268"/>
      <c r="D7" s="268"/>
      <c r="E7" s="267"/>
      <c r="F7" s="267"/>
    </row>
    <row r="8" spans="1:9" x14ac:dyDescent="0.25">
      <c r="B8" s="1294" t="s">
        <v>280</v>
      </c>
      <c r="C8" s="1294"/>
      <c r="D8" s="1294"/>
      <c r="E8" s="1294"/>
      <c r="F8" s="1294"/>
    </row>
    <row r="10" spans="1:9" x14ac:dyDescent="0.25">
      <c r="B10" s="927"/>
      <c r="C10" s="269" t="s">
        <v>177</v>
      </c>
      <c r="D10" s="928"/>
      <c r="E10" s="269"/>
      <c r="F10" s="928"/>
    </row>
    <row r="11" spans="1:9" x14ac:dyDescent="0.25">
      <c r="B11" s="270"/>
      <c r="C11" s="274" t="s">
        <v>281</v>
      </c>
      <c r="D11" s="270"/>
      <c r="E11" s="274" t="s">
        <v>281</v>
      </c>
      <c r="F11" s="270"/>
    </row>
    <row r="12" spans="1:9" x14ac:dyDescent="0.25">
      <c r="A12" s="4" t="s">
        <v>5</v>
      </c>
      <c r="B12" s="273"/>
      <c r="C12" s="218" t="s">
        <v>254</v>
      </c>
      <c r="D12" s="270"/>
      <c r="E12" s="274" t="s">
        <v>254</v>
      </c>
      <c r="F12" s="270"/>
      <c r="G12" s="4" t="s">
        <v>5</v>
      </c>
    </row>
    <row r="13" spans="1:9" ht="18.75" x14ac:dyDescent="0.25">
      <c r="A13" s="4" t="s">
        <v>6</v>
      </c>
      <c r="B13" s="275" t="s">
        <v>255</v>
      </c>
      <c r="C13" s="930" t="s">
        <v>256</v>
      </c>
      <c r="D13" s="275" t="s">
        <v>8</v>
      </c>
      <c r="E13" s="276" t="s">
        <v>257</v>
      </c>
      <c r="F13" s="275" t="s">
        <v>8</v>
      </c>
      <c r="G13" s="4" t="s">
        <v>6</v>
      </c>
      <c r="H13" s="281"/>
    </row>
    <row r="14" spans="1:9" x14ac:dyDescent="0.25">
      <c r="A14" s="4">
        <v>1</v>
      </c>
      <c r="B14" s="931" t="str">
        <f>'AD-1'!B14</f>
        <v>Dec-22</v>
      </c>
      <c r="C14" s="58">
        <v>0</v>
      </c>
      <c r="D14" s="936" t="s">
        <v>258</v>
      </c>
      <c r="E14" s="58">
        <v>0</v>
      </c>
      <c r="F14" s="937" t="s">
        <v>258</v>
      </c>
      <c r="G14" s="4">
        <f>A14</f>
        <v>1</v>
      </c>
      <c r="H14" s="281"/>
      <c r="I14" s="281"/>
    </row>
    <row r="15" spans="1:9" x14ac:dyDescent="0.25">
      <c r="A15" s="4">
        <f>A14+1</f>
        <v>2</v>
      </c>
      <c r="B15" s="931" t="str">
        <f>'AD-1'!B15</f>
        <v>Jan-23</v>
      </c>
      <c r="C15" s="52">
        <v>0</v>
      </c>
      <c r="D15" s="938"/>
      <c r="E15" s="52">
        <v>0</v>
      </c>
      <c r="F15" s="937"/>
      <c r="G15" s="4">
        <f>G14+1</f>
        <v>2</v>
      </c>
      <c r="H15" s="281"/>
    </row>
    <row r="16" spans="1:9" x14ac:dyDescent="0.25">
      <c r="A16" s="4">
        <f t="shared" ref="A16:A32" si="0">A15+1</f>
        <v>3</v>
      </c>
      <c r="B16" s="934" t="s">
        <v>260</v>
      </c>
      <c r="C16" s="52">
        <v>0</v>
      </c>
      <c r="D16" s="938"/>
      <c r="E16" s="52">
        <v>0</v>
      </c>
      <c r="F16" s="937"/>
      <c r="G16" s="4">
        <f t="shared" ref="G16:G32" si="1">G15+1</f>
        <v>3</v>
      </c>
      <c r="H16" s="281"/>
    </row>
    <row r="17" spans="1:9" x14ac:dyDescent="0.25">
      <c r="A17" s="4">
        <f t="shared" si="0"/>
        <v>4</v>
      </c>
      <c r="B17" s="934" t="s">
        <v>261</v>
      </c>
      <c r="C17" s="52">
        <v>0</v>
      </c>
      <c r="D17" s="938"/>
      <c r="E17" s="52">
        <v>0</v>
      </c>
      <c r="F17" s="937"/>
      <c r="G17" s="4">
        <f t="shared" si="1"/>
        <v>4</v>
      </c>
      <c r="H17" s="281"/>
    </row>
    <row r="18" spans="1:9" x14ac:dyDescent="0.25">
      <c r="A18" s="4">
        <f t="shared" si="0"/>
        <v>5</v>
      </c>
      <c r="B18" s="934" t="s">
        <v>262</v>
      </c>
      <c r="C18" s="52">
        <v>0</v>
      </c>
      <c r="D18" s="938"/>
      <c r="E18" s="52">
        <v>0</v>
      </c>
      <c r="F18" s="937"/>
      <c r="G18" s="4">
        <f t="shared" si="1"/>
        <v>5</v>
      </c>
      <c r="H18" s="281"/>
    </row>
    <row r="19" spans="1:9" x14ac:dyDescent="0.25">
      <c r="A19" s="4">
        <f t="shared" si="0"/>
        <v>6</v>
      </c>
      <c r="B19" s="934" t="s">
        <v>263</v>
      </c>
      <c r="C19" s="52">
        <v>0</v>
      </c>
      <c r="D19" s="938"/>
      <c r="E19" s="52">
        <v>0</v>
      </c>
      <c r="F19" s="937"/>
      <c r="G19" s="4">
        <f t="shared" si="1"/>
        <v>6</v>
      </c>
      <c r="H19" s="281"/>
    </row>
    <row r="20" spans="1:9" x14ac:dyDescent="0.25">
      <c r="A20" s="4">
        <f>A19+1</f>
        <v>7</v>
      </c>
      <c r="B20" s="934" t="s">
        <v>264</v>
      </c>
      <c r="C20" s="52">
        <v>0</v>
      </c>
      <c r="D20" s="938"/>
      <c r="E20" s="52">
        <v>0</v>
      </c>
      <c r="F20" s="937"/>
      <c r="G20" s="4">
        <f>G19+1</f>
        <v>7</v>
      </c>
      <c r="H20" s="281"/>
    </row>
    <row r="21" spans="1:9" x14ac:dyDescent="0.25">
      <c r="A21" s="4">
        <f t="shared" si="0"/>
        <v>8</v>
      </c>
      <c r="B21" s="934" t="s">
        <v>265</v>
      </c>
      <c r="C21" s="52">
        <v>0</v>
      </c>
      <c r="D21" s="938"/>
      <c r="E21" s="52">
        <v>0</v>
      </c>
      <c r="F21" s="937"/>
      <c r="G21" s="4">
        <f t="shared" si="1"/>
        <v>8</v>
      </c>
    </row>
    <row r="22" spans="1:9" x14ac:dyDescent="0.25">
      <c r="A22" s="4">
        <f t="shared" si="0"/>
        <v>9</v>
      </c>
      <c r="B22" s="934" t="s">
        <v>266</v>
      </c>
      <c r="C22" s="52">
        <v>0</v>
      </c>
      <c r="D22" s="938"/>
      <c r="E22" s="52">
        <v>0</v>
      </c>
      <c r="F22" s="937"/>
      <c r="G22" s="4">
        <f t="shared" si="1"/>
        <v>9</v>
      </c>
    </row>
    <row r="23" spans="1:9" x14ac:dyDescent="0.25">
      <c r="A23" s="4">
        <f t="shared" si="0"/>
        <v>10</v>
      </c>
      <c r="B23" s="934" t="s">
        <v>267</v>
      </c>
      <c r="C23" s="52">
        <v>0</v>
      </c>
      <c r="D23" s="938"/>
      <c r="E23" s="52">
        <v>0</v>
      </c>
      <c r="F23" s="937"/>
      <c r="G23" s="4">
        <f t="shared" si="1"/>
        <v>10</v>
      </c>
    </row>
    <row r="24" spans="1:9" x14ac:dyDescent="0.25">
      <c r="A24" s="4">
        <f t="shared" si="0"/>
        <v>11</v>
      </c>
      <c r="B24" s="934" t="s">
        <v>268</v>
      </c>
      <c r="C24" s="52">
        <v>0</v>
      </c>
      <c r="D24" s="938"/>
      <c r="E24" s="52">
        <v>0</v>
      </c>
      <c r="F24" s="937"/>
      <c r="G24" s="4">
        <f t="shared" si="1"/>
        <v>11</v>
      </c>
    </row>
    <row r="25" spans="1:9" x14ac:dyDescent="0.25">
      <c r="A25" s="4">
        <f t="shared" si="0"/>
        <v>12</v>
      </c>
      <c r="B25" s="934" t="s">
        <v>269</v>
      </c>
      <c r="C25" s="52">
        <v>0</v>
      </c>
      <c r="D25" s="938"/>
      <c r="E25" s="52">
        <v>0</v>
      </c>
      <c r="F25" s="937"/>
      <c r="G25" s="4">
        <f t="shared" si="1"/>
        <v>12</v>
      </c>
    </row>
    <row r="26" spans="1:9" x14ac:dyDescent="0.25">
      <c r="A26" s="4">
        <f t="shared" si="0"/>
        <v>13</v>
      </c>
      <c r="B26" s="630" t="str">
        <f>'AD-1'!B26</f>
        <v>Dec-23</v>
      </c>
      <c r="C26" s="53">
        <v>0</v>
      </c>
      <c r="D26" s="68" t="s">
        <v>258</v>
      </c>
      <c r="E26" s="53">
        <v>0</v>
      </c>
      <c r="F26" s="590" t="s">
        <v>258</v>
      </c>
      <c r="G26" s="4">
        <f t="shared" si="1"/>
        <v>13</v>
      </c>
      <c r="I26" s="281"/>
    </row>
    <row r="27" spans="1:9" x14ac:dyDescent="0.25">
      <c r="A27" s="4">
        <f t="shared" si="0"/>
        <v>14</v>
      </c>
      <c r="B27" s="278"/>
      <c r="C27" s="59"/>
      <c r="D27" s="354"/>
      <c r="E27" s="60"/>
      <c r="F27" s="939"/>
      <c r="G27" s="4">
        <f t="shared" si="1"/>
        <v>14</v>
      </c>
    </row>
    <row r="28" spans="1:9" x14ac:dyDescent="0.25">
      <c r="A28" s="4">
        <f t="shared" si="0"/>
        <v>15</v>
      </c>
      <c r="B28" s="278" t="s">
        <v>271</v>
      </c>
      <c r="C28" s="55">
        <f>SUM(C14:C26)</f>
        <v>0</v>
      </c>
      <c r="D28" s="936" t="s">
        <v>272</v>
      </c>
      <c r="E28" s="55">
        <f>SUM(E14:E26)</f>
        <v>0</v>
      </c>
      <c r="F28" s="937" t="s">
        <v>272</v>
      </c>
      <c r="G28" s="4">
        <f t="shared" si="1"/>
        <v>15</v>
      </c>
    </row>
    <row r="29" spans="1:9" x14ac:dyDescent="0.25">
      <c r="A29" s="4">
        <f t="shared" si="0"/>
        <v>16</v>
      </c>
      <c r="B29" s="117"/>
      <c r="C29" s="61"/>
      <c r="D29" s="94"/>
      <c r="E29" s="61"/>
      <c r="F29" s="283"/>
      <c r="G29" s="4">
        <f t="shared" si="1"/>
        <v>16</v>
      </c>
    </row>
    <row r="30" spans="1:9" x14ac:dyDescent="0.25">
      <c r="A30" s="4">
        <f t="shared" si="0"/>
        <v>17</v>
      </c>
      <c r="B30" s="278"/>
      <c r="C30" s="60"/>
      <c r="D30" s="233"/>
      <c r="E30" s="60"/>
      <c r="F30" s="940"/>
      <c r="G30" s="4">
        <f t="shared" si="1"/>
        <v>17</v>
      </c>
    </row>
    <row r="31" spans="1:9" x14ac:dyDescent="0.25">
      <c r="A31" s="4">
        <f t="shared" si="0"/>
        <v>18</v>
      </c>
      <c r="B31" s="278" t="s">
        <v>273</v>
      </c>
      <c r="C31" s="55">
        <f>C28/13</f>
        <v>0</v>
      </c>
      <c r="D31" s="936" t="s">
        <v>274</v>
      </c>
      <c r="E31" s="55">
        <f>E28/13</f>
        <v>0</v>
      </c>
      <c r="F31" s="937" t="s">
        <v>274</v>
      </c>
      <c r="G31" s="4">
        <f t="shared" si="1"/>
        <v>18</v>
      </c>
      <c r="I31" s="281"/>
    </row>
    <row r="32" spans="1:9" x14ac:dyDescent="0.25">
      <c r="A32" s="4">
        <f t="shared" si="0"/>
        <v>19</v>
      </c>
      <c r="B32" s="117"/>
      <c r="C32" s="61"/>
      <c r="D32" s="93"/>
      <c r="E32" s="61"/>
      <c r="F32" s="283"/>
      <c r="G32" s="4">
        <f t="shared" si="1"/>
        <v>19</v>
      </c>
    </row>
    <row r="33" spans="1:7" x14ac:dyDescent="0.25">
      <c r="A33" s="4"/>
      <c r="B33" s="31"/>
      <c r="C33" s="6"/>
      <c r="D33" s="6"/>
      <c r="E33" s="6"/>
      <c r="F33" s="282"/>
      <c r="G33" s="580"/>
    </row>
    <row r="34" spans="1:7" x14ac:dyDescent="0.25">
      <c r="A34" s="4"/>
      <c r="C34" s="282"/>
      <c r="D34" s="282"/>
      <c r="E34" s="282"/>
      <c r="F34" s="282"/>
      <c r="G34" s="580"/>
    </row>
    <row r="35" spans="1:7" ht="18.75" x14ac:dyDescent="0.25">
      <c r="A35" s="266">
        <v>1</v>
      </c>
      <c r="B35" s="31" t="s">
        <v>276</v>
      </c>
      <c r="C35" s="282"/>
      <c r="D35" s="282"/>
      <c r="E35" s="282"/>
      <c r="F35" s="282"/>
      <c r="G35" s="580"/>
    </row>
    <row r="36" spans="1:7" x14ac:dyDescent="0.25">
      <c r="B36" s="31" t="s">
        <v>277</v>
      </c>
      <c r="C36" s="282"/>
      <c r="D36" s="282"/>
      <c r="E36" s="282"/>
      <c r="F36" s="282"/>
      <c r="G36" s="580"/>
    </row>
    <row r="37" spans="1:7" x14ac:dyDescent="0.25">
      <c r="C37" s="282"/>
      <c r="D37" s="282"/>
      <c r="E37" s="282"/>
      <c r="F37" s="282"/>
      <c r="G37" s="580"/>
    </row>
    <row r="38" spans="1:7" x14ac:dyDescent="0.25">
      <c r="C38" s="281"/>
      <c r="D38" s="281"/>
      <c r="E38" s="281"/>
      <c r="F38" s="281"/>
      <c r="G38" s="580"/>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Normal="100" workbookViewId="0"/>
  </sheetViews>
  <sheetFormatPr defaultColWidth="8.5703125" defaultRowHeight="15.75" x14ac:dyDescent="0.25"/>
  <cols>
    <col min="1" max="1" width="5.42578125" style="4" customWidth="1"/>
    <col min="2" max="2" width="50.7109375" style="31" customWidth="1"/>
    <col min="3" max="3" width="20.28515625" style="31" customWidth="1"/>
    <col min="4" max="4" width="1.5703125" style="31" customWidth="1"/>
    <col min="5" max="5" width="20.28515625" style="31" customWidth="1"/>
    <col min="6" max="6" width="1.5703125" style="31" customWidth="1"/>
    <col min="7" max="7" width="23.42578125" style="31" bestFit="1" customWidth="1"/>
    <col min="8" max="8" width="62.5703125" style="31" customWidth="1"/>
    <col min="9" max="9" width="5.42578125" style="4" customWidth="1"/>
    <col min="10" max="16384" width="8.5703125" style="31"/>
  </cols>
  <sheetData>
    <row r="2" spans="1:9" x14ac:dyDescent="0.25">
      <c r="B2" s="1294" t="s">
        <v>0</v>
      </c>
      <c r="C2" s="1294"/>
      <c r="D2" s="1294"/>
      <c r="E2" s="1294"/>
      <c r="F2" s="1294"/>
      <c r="G2" s="1294"/>
      <c r="H2" s="1294"/>
    </row>
    <row r="3" spans="1:9" x14ac:dyDescent="0.25">
      <c r="B3" s="1294" t="s">
        <v>913</v>
      </c>
      <c r="C3" s="1294"/>
      <c r="D3" s="1294"/>
      <c r="E3" s="1294"/>
      <c r="F3" s="1294"/>
      <c r="G3" s="1294"/>
      <c r="H3" s="1294"/>
    </row>
    <row r="4" spans="1:9" x14ac:dyDescent="0.25">
      <c r="B4" s="1294" t="s">
        <v>899</v>
      </c>
      <c r="C4" s="1294"/>
      <c r="D4" s="1294"/>
      <c r="E4" s="1294"/>
      <c r="F4" s="1294"/>
      <c r="G4" s="1294"/>
      <c r="H4" s="1294"/>
    </row>
    <row r="5" spans="1:9" x14ac:dyDescent="0.25">
      <c r="B5" s="1294" t="str">
        <f>'AR-1'!B5</f>
        <v>BASE PERIOD 12 MONTHS ENDING DECEMBER 31, 2023</v>
      </c>
      <c r="C5" s="1294"/>
      <c r="D5" s="1294"/>
      <c r="E5" s="1294"/>
      <c r="F5" s="1294"/>
      <c r="G5" s="1294"/>
      <c r="H5" s="1294"/>
    </row>
    <row r="6" spans="1:9" ht="15.75" customHeight="1" x14ac:dyDescent="0.25">
      <c r="B6" s="1299" t="s">
        <v>4</v>
      </c>
      <c r="C6" s="1299"/>
      <c r="D6" s="1299"/>
      <c r="E6" s="1299"/>
      <c r="F6" s="1299"/>
      <c r="G6" s="1299"/>
      <c r="H6" s="1299"/>
    </row>
    <row r="8" spans="1:9" x14ac:dyDescent="0.25">
      <c r="B8" s="1"/>
      <c r="C8" s="262" t="s">
        <v>184</v>
      </c>
      <c r="D8" s="262"/>
      <c r="E8" s="262" t="s">
        <v>185</v>
      </c>
      <c r="F8" s="262"/>
      <c r="G8" s="262" t="s">
        <v>900</v>
      </c>
      <c r="H8" s="262"/>
    </row>
    <row r="9" spans="1:9" ht="18.75" x14ac:dyDescent="0.25">
      <c r="A9" s="4" t="s">
        <v>5</v>
      </c>
      <c r="B9" s="1"/>
      <c r="C9" s="262" t="s">
        <v>914</v>
      </c>
      <c r="D9" s="262"/>
      <c r="E9" s="262" t="s">
        <v>915</v>
      </c>
      <c r="F9" s="262"/>
      <c r="G9" s="262"/>
      <c r="H9" s="262"/>
      <c r="I9" s="4" t="s">
        <v>5</v>
      </c>
    </row>
    <row r="10" spans="1:9" x14ac:dyDescent="0.25">
      <c r="A10" s="4" t="s">
        <v>6</v>
      </c>
      <c r="B10" s="930" t="s">
        <v>306</v>
      </c>
      <c r="C10" s="728" t="s">
        <v>415</v>
      </c>
      <c r="D10" s="728"/>
      <c r="E10" s="728" t="s">
        <v>416</v>
      </c>
      <c r="F10" s="728"/>
      <c r="G10" s="930" t="s">
        <v>177</v>
      </c>
      <c r="H10" s="930" t="s">
        <v>8</v>
      </c>
      <c r="I10" s="4" t="s">
        <v>6</v>
      </c>
    </row>
    <row r="11" spans="1:9" x14ac:dyDescent="0.25">
      <c r="B11" s="1"/>
      <c r="C11" s="339"/>
      <c r="D11" s="339"/>
      <c r="E11" s="339"/>
      <c r="F11" s="339"/>
      <c r="G11" s="91"/>
      <c r="H11" s="91"/>
    </row>
    <row r="12" spans="1:9" x14ac:dyDescent="0.25">
      <c r="A12" s="4">
        <v>1</v>
      </c>
      <c r="B12" s="32" t="s">
        <v>417</v>
      </c>
      <c r="C12" s="90"/>
      <c r="D12" s="90"/>
      <c r="E12" s="90"/>
      <c r="F12" s="90"/>
      <c r="G12" s="91"/>
      <c r="H12" s="44"/>
      <c r="I12" s="4">
        <f>A12</f>
        <v>1</v>
      </c>
    </row>
    <row r="13" spans="1:9" x14ac:dyDescent="0.25">
      <c r="A13" s="4">
        <f>A12+1</f>
        <v>2</v>
      </c>
      <c r="B13" s="32" t="s">
        <v>418</v>
      </c>
      <c r="C13" s="35">
        <v>0</v>
      </c>
      <c r="D13" s="35"/>
      <c r="E13" s="35">
        <v>0</v>
      </c>
      <c r="F13" s="88"/>
      <c r="G13" s="35">
        <f>SUM(C13:E13)</f>
        <v>0</v>
      </c>
      <c r="H13" s="44" t="s">
        <v>1487</v>
      </c>
      <c r="I13" s="4">
        <f>I12+1</f>
        <v>2</v>
      </c>
    </row>
    <row r="14" spans="1:9" x14ac:dyDescent="0.25">
      <c r="A14" s="4">
        <f>A13+1</f>
        <v>3</v>
      </c>
      <c r="B14" s="32" t="s">
        <v>419</v>
      </c>
      <c r="C14" s="6">
        <v>0</v>
      </c>
      <c r="D14" s="6"/>
      <c r="E14" s="6">
        <v>0</v>
      </c>
      <c r="F14" s="6"/>
      <c r="G14" s="6">
        <f>SUM(C14:E14)</f>
        <v>0</v>
      </c>
      <c r="H14" s="44" t="str">
        <f>H13</f>
        <v>Not Applicable to 2023 Base Period</v>
      </c>
      <c r="I14" s="4">
        <f>I13+1</f>
        <v>3</v>
      </c>
    </row>
    <row r="15" spans="1:9" x14ac:dyDescent="0.25">
      <c r="A15" s="4">
        <f>A14+1</f>
        <v>4</v>
      </c>
      <c r="B15" s="810"/>
      <c r="C15" s="6">
        <v>0</v>
      </c>
      <c r="D15" s="6"/>
      <c r="E15" s="6">
        <v>0</v>
      </c>
      <c r="F15" s="6"/>
      <c r="G15" s="6">
        <f>SUM(C15:E15)</f>
        <v>0</v>
      </c>
      <c r="H15" s="809"/>
      <c r="I15" s="4">
        <f>I14+1</f>
        <v>4</v>
      </c>
    </row>
    <row r="16" spans="1:9" x14ac:dyDescent="0.25">
      <c r="A16" s="4">
        <f>A15+1</f>
        <v>5</v>
      </c>
      <c r="B16" s="32"/>
      <c r="C16" s="6">
        <v>0</v>
      </c>
      <c r="D16" s="6"/>
      <c r="E16" s="6">
        <v>0</v>
      </c>
      <c r="F16" s="6"/>
      <c r="G16" s="6">
        <f>SUM(C16:E16)</f>
        <v>0</v>
      </c>
      <c r="H16" s="44"/>
      <c r="I16" s="4">
        <f>I15+1</f>
        <v>5</v>
      </c>
    </row>
    <row r="17" spans="1:9" x14ac:dyDescent="0.25">
      <c r="A17" s="4">
        <f t="shared" ref="A17:A35" si="0">A16+1</f>
        <v>6</v>
      </c>
      <c r="C17" s="6">
        <v>0</v>
      </c>
      <c r="D17" s="6"/>
      <c r="E17" s="6">
        <v>0</v>
      </c>
      <c r="F17" s="6"/>
      <c r="G17" s="6">
        <f>SUM(C17:E17)</f>
        <v>0</v>
      </c>
      <c r="H17" s="44"/>
      <c r="I17" s="4">
        <f t="shared" ref="I17:I35" si="1">I16+1</f>
        <v>6</v>
      </c>
    </row>
    <row r="18" spans="1:9" ht="16.5" thickBot="1" x14ac:dyDescent="0.3">
      <c r="A18" s="4">
        <f t="shared" si="0"/>
        <v>7</v>
      </c>
      <c r="B18" s="340" t="s">
        <v>420</v>
      </c>
      <c r="C18" s="89">
        <f>SUM(C13:C17)</f>
        <v>0</v>
      </c>
      <c r="D18" s="43"/>
      <c r="E18" s="89">
        <f>SUM(E13:E17)</f>
        <v>0</v>
      </c>
      <c r="F18" s="6"/>
      <c r="G18" s="89">
        <f>SUM(G13:G17)</f>
        <v>0</v>
      </c>
      <c r="H18" s="44" t="s">
        <v>421</v>
      </c>
      <c r="I18" s="4">
        <f t="shared" si="1"/>
        <v>7</v>
      </c>
    </row>
    <row r="19" spans="1:9" ht="16.5" thickTop="1" x14ac:dyDescent="0.25">
      <c r="A19" s="4">
        <f t="shared" si="0"/>
        <v>8</v>
      </c>
      <c r="C19" s="85"/>
      <c r="D19" s="85"/>
      <c r="E19" s="85"/>
      <c r="F19" s="85"/>
      <c r="G19" s="85"/>
      <c r="H19" s="44"/>
      <c r="I19" s="4">
        <f t="shared" si="1"/>
        <v>8</v>
      </c>
    </row>
    <row r="20" spans="1:9" x14ac:dyDescent="0.25">
      <c r="A20" s="4">
        <f t="shared" si="0"/>
        <v>9</v>
      </c>
      <c r="B20" s="32" t="s">
        <v>422</v>
      </c>
      <c r="C20" s="90"/>
      <c r="D20" s="90"/>
      <c r="E20" s="90"/>
      <c r="F20" s="90"/>
      <c r="G20" s="91"/>
      <c r="H20" s="44"/>
      <c r="I20" s="4">
        <f t="shared" si="1"/>
        <v>9</v>
      </c>
    </row>
    <row r="21" spans="1:9" x14ac:dyDescent="0.25">
      <c r="A21" s="4">
        <f t="shared" si="0"/>
        <v>10</v>
      </c>
      <c r="B21" s="724" t="s">
        <v>419</v>
      </c>
      <c r="C21" s="35">
        <v>0</v>
      </c>
      <c r="D21" s="35"/>
      <c r="E21" s="35">
        <v>0</v>
      </c>
      <c r="F21" s="35"/>
      <c r="G21" s="35">
        <f>SUM(C21:E21)</f>
        <v>0</v>
      </c>
      <c r="H21" s="44" t="str">
        <f>H13</f>
        <v>Not Applicable to 2023 Base Period</v>
      </c>
      <c r="I21" s="4">
        <f t="shared" si="1"/>
        <v>10</v>
      </c>
    </row>
    <row r="22" spans="1:9" x14ac:dyDescent="0.25">
      <c r="A22" s="4">
        <f t="shared" si="0"/>
        <v>11</v>
      </c>
      <c r="C22" s="6">
        <v>0</v>
      </c>
      <c r="D22" s="6"/>
      <c r="E22" s="6">
        <v>0</v>
      </c>
      <c r="F22" s="6"/>
      <c r="G22" s="6">
        <f>SUM(C22:E22)</f>
        <v>0</v>
      </c>
      <c r="H22" s="44"/>
      <c r="I22" s="4">
        <f t="shared" si="1"/>
        <v>11</v>
      </c>
    </row>
    <row r="23" spans="1:9" x14ac:dyDescent="0.25">
      <c r="A23" s="4">
        <f t="shared" si="0"/>
        <v>12</v>
      </c>
      <c r="C23" s="6">
        <v>0</v>
      </c>
      <c r="D23" s="6"/>
      <c r="E23" s="6">
        <v>0</v>
      </c>
      <c r="F23" s="6"/>
      <c r="G23" s="6">
        <f>SUM(C23:E23)</f>
        <v>0</v>
      </c>
      <c r="H23" s="44"/>
      <c r="I23" s="4">
        <f t="shared" si="1"/>
        <v>12</v>
      </c>
    </row>
    <row r="24" spans="1:9" x14ac:dyDescent="0.25">
      <c r="A24" s="4">
        <f t="shared" si="0"/>
        <v>13</v>
      </c>
      <c r="C24" s="6">
        <v>0</v>
      </c>
      <c r="D24" s="6"/>
      <c r="E24" s="6">
        <v>0</v>
      </c>
      <c r="F24" s="6"/>
      <c r="G24" s="6">
        <f>SUM(C24:E24)</f>
        <v>0</v>
      </c>
      <c r="H24" s="44"/>
      <c r="I24" s="4">
        <f t="shared" si="1"/>
        <v>13</v>
      </c>
    </row>
    <row r="25" spans="1:9" ht="16.5" thickBot="1" x14ac:dyDescent="0.3">
      <c r="A25" s="4">
        <f t="shared" si="0"/>
        <v>14</v>
      </c>
      <c r="B25" s="340" t="s">
        <v>423</v>
      </c>
      <c r="C25" s="89">
        <f>SUM(C21:C24)</f>
        <v>0</v>
      </c>
      <c r="D25" s="43"/>
      <c r="E25" s="89">
        <f>SUM(E21:E24)</f>
        <v>0</v>
      </c>
      <c r="F25" s="6"/>
      <c r="G25" s="89">
        <f>SUM(G21:G24)</f>
        <v>0</v>
      </c>
      <c r="H25" s="44" t="s">
        <v>424</v>
      </c>
      <c r="I25" s="4">
        <f t="shared" si="1"/>
        <v>14</v>
      </c>
    </row>
    <row r="26" spans="1:9" ht="16.5" thickTop="1" x14ac:dyDescent="0.25">
      <c r="A26" s="4">
        <f t="shared" si="0"/>
        <v>15</v>
      </c>
      <c r="H26" s="44"/>
      <c r="I26" s="4">
        <f t="shared" si="1"/>
        <v>15</v>
      </c>
    </row>
    <row r="27" spans="1:9" x14ac:dyDescent="0.25">
      <c r="A27" s="4">
        <f t="shared" si="0"/>
        <v>16</v>
      </c>
      <c r="B27" s="32" t="s">
        <v>425</v>
      </c>
      <c r="C27" s="90"/>
      <c r="D27" s="90"/>
      <c r="E27" s="90"/>
      <c r="F27" s="90"/>
      <c r="G27" s="91"/>
      <c r="H27" s="44"/>
      <c r="I27" s="4">
        <f t="shared" si="1"/>
        <v>16</v>
      </c>
    </row>
    <row r="28" spans="1:9" x14ac:dyDescent="0.25">
      <c r="A28" s="4">
        <f t="shared" si="0"/>
        <v>17</v>
      </c>
      <c r="B28" s="32" t="s">
        <v>418</v>
      </c>
      <c r="C28" s="35">
        <v>0</v>
      </c>
      <c r="D28" s="35"/>
      <c r="E28" s="35">
        <v>0</v>
      </c>
      <c r="F28" s="88"/>
      <c r="G28" s="35">
        <f>SUM(C28:E28)</f>
        <v>0</v>
      </c>
      <c r="H28" s="44" t="str">
        <f>H13</f>
        <v>Not Applicable to 2023 Base Period</v>
      </c>
      <c r="I28" s="4">
        <f t="shared" si="1"/>
        <v>17</v>
      </c>
    </row>
    <row r="29" spans="1:9" x14ac:dyDescent="0.25">
      <c r="A29" s="4">
        <f t="shared" si="0"/>
        <v>18</v>
      </c>
      <c r="B29" s="32"/>
      <c r="C29" s="6">
        <v>0</v>
      </c>
      <c r="D29" s="6"/>
      <c r="E29" s="6">
        <v>0</v>
      </c>
      <c r="F29" s="6"/>
      <c r="G29" s="6">
        <f>SUM(C29:E29)</f>
        <v>0</v>
      </c>
      <c r="H29" s="4"/>
      <c r="I29" s="4">
        <f t="shared" si="1"/>
        <v>18</v>
      </c>
    </row>
    <row r="30" spans="1:9" x14ac:dyDescent="0.25">
      <c r="A30" s="4">
        <f t="shared" si="0"/>
        <v>19</v>
      </c>
      <c r="B30" s="32"/>
      <c r="C30" s="6">
        <v>0</v>
      </c>
      <c r="D30" s="6"/>
      <c r="E30" s="6">
        <v>0</v>
      </c>
      <c r="F30" s="6"/>
      <c r="G30" s="6">
        <f>SUM(C30:E30)</f>
        <v>0</v>
      </c>
      <c r="H30" s="6"/>
      <c r="I30" s="4">
        <f t="shared" si="1"/>
        <v>19</v>
      </c>
    </row>
    <row r="31" spans="1:9" x14ac:dyDescent="0.25">
      <c r="A31" s="4">
        <f t="shared" si="0"/>
        <v>20</v>
      </c>
      <c r="B31" s="32"/>
      <c r="C31" s="6">
        <v>0</v>
      </c>
      <c r="D31" s="6"/>
      <c r="E31" s="6">
        <v>0</v>
      </c>
      <c r="F31" s="6"/>
      <c r="G31" s="6">
        <f>SUM(C31:E31)</f>
        <v>0</v>
      </c>
      <c r="H31" s="6"/>
      <c r="I31" s="4">
        <f t="shared" si="1"/>
        <v>20</v>
      </c>
    </row>
    <row r="32" spans="1:9" x14ac:dyDescent="0.25">
      <c r="A32" s="4">
        <f t="shared" si="0"/>
        <v>21</v>
      </c>
      <c r="B32" s="32"/>
      <c r="C32" s="6">
        <v>0</v>
      </c>
      <c r="D32" s="6"/>
      <c r="E32" s="6">
        <v>0</v>
      </c>
      <c r="F32" s="6"/>
      <c r="G32" s="6">
        <f>SUM(C32:E32)</f>
        <v>0</v>
      </c>
      <c r="H32" s="6"/>
      <c r="I32" s="4">
        <f t="shared" si="1"/>
        <v>21</v>
      </c>
    </row>
    <row r="33" spans="1:9" ht="16.5" thickBot="1" x14ac:dyDescent="0.3">
      <c r="A33" s="4">
        <f t="shared" si="0"/>
        <v>22</v>
      </c>
      <c r="B33" s="340" t="s">
        <v>426</v>
      </c>
      <c r="C33" s="89">
        <f>SUM(C28:C32)</f>
        <v>0</v>
      </c>
      <c r="D33" s="43"/>
      <c r="E33" s="89">
        <f>SUM(E28:E32)</f>
        <v>0</v>
      </c>
      <c r="F33" s="6"/>
      <c r="G33" s="89">
        <f>SUM(G28:G32)</f>
        <v>0</v>
      </c>
      <c r="H33" s="44" t="s">
        <v>427</v>
      </c>
      <c r="I33" s="4">
        <f t="shared" si="1"/>
        <v>22</v>
      </c>
    </row>
    <row r="34" spans="1:9" ht="16.5" thickTop="1" x14ac:dyDescent="0.25">
      <c r="A34" s="4">
        <f t="shared" si="0"/>
        <v>23</v>
      </c>
      <c r="H34" s="44"/>
      <c r="I34" s="4">
        <f t="shared" si="1"/>
        <v>23</v>
      </c>
    </row>
    <row r="35" spans="1:9" ht="16.5" thickBot="1" x14ac:dyDescent="0.3">
      <c r="A35" s="4">
        <f t="shared" si="0"/>
        <v>24</v>
      </c>
      <c r="B35" s="1" t="s">
        <v>916</v>
      </c>
      <c r="C35" s="89">
        <f>+C18+C25+C33</f>
        <v>0</v>
      </c>
      <c r="D35" s="43"/>
      <c r="E35" s="89">
        <f>+E18+E25+E33</f>
        <v>0</v>
      </c>
      <c r="G35" s="89">
        <f>+G18+G25+G33</f>
        <v>0</v>
      </c>
      <c r="H35" s="44" t="s">
        <v>429</v>
      </c>
      <c r="I35" s="4">
        <f t="shared" si="1"/>
        <v>24</v>
      </c>
    </row>
    <row r="36" spans="1:9" ht="16.5" thickTop="1" x14ac:dyDescent="0.25">
      <c r="B36" s="1"/>
      <c r="C36" s="43"/>
      <c r="D36" s="43"/>
      <c r="E36" s="43"/>
      <c r="G36" s="43"/>
      <c r="H36" s="44"/>
    </row>
    <row r="38" spans="1:9" ht="18.75" x14ac:dyDescent="0.25">
      <c r="A38" s="253">
        <v>1</v>
      </c>
      <c r="B38" s="31" t="s">
        <v>430</v>
      </c>
    </row>
    <row r="39" spans="1:9" ht="18.75" x14ac:dyDescent="0.25">
      <c r="A39" s="253"/>
    </row>
    <row r="40" spans="1:9" ht="18.75" x14ac:dyDescent="0.25">
      <c r="A40" s="253"/>
    </row>
  </sheetData>
  <mergeCells count="5">
    <mergeCell ref="B2:H2"/>
    <mergeCell ref="B3:H3"/>
    <mergeCell ref="B4:H4"/>
    <mergeCell ref="B5:H5"/>
    <mergeCell ref="B6:H6"/>
  </mergeCells>
  <printOptions horizontalCentered="1"/>
  <pageMargins left="0.5" right="0.5" top="0.5" bottom="0.5" header="0.25" footer="0.25"/>
  <pageSetup scale="67" orientation="landscape"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topLeftCell="A7" zoomScaleNormal="100" workbookViewId="0">
      <selection activeCell="E39" sqref="E39"/>
    </sheetView>
  </sheetViews>
  <sheetFormatPr defaultColWidth="8.7109375" defaultRowHeight="15.75" x14ac:dyDescent="0.25"/>
  <cols>
    <col min="1" max="1" width="5.28515625" style="4" customWidth="1"/>
    <col min="2" max="2" width="63.42578125" style="31" customWidth="1"/>
    <col min="3" max="3" width="25.5703125" style="31" bestFit="1" customWidth="1"/>
    <col min="4" max="4" width="1.5703125" style="31" customWidth="1"/>
    <col min="5" max="5" width="16.7109375" style="31" customWidth="1"/>
    <col min="6" max="6" width="1.5703125" style="31" customWidth="1"/>
    <col min="7" max="7" width="38.28515625" style="31" customWidth="1"/>
    <col min="8" max="8" width="5.28515625" style="31" customWidth="1"/>
    <col min="9" max="9" width="8.7109375" style="31"/>
    <col min="10" max="10" width="20.42578125" style="31" bestFit="1" customWidth="1"/>
    <col min="11" max="16384" width="8.7109375" style="31"/>
  </cols>
  <sheetData>
    <row r="1" spans="1:8" x14ac:dyDescent="0.25">
      <c r="E1" s="70"/>
      <c r="F1" s="70"/>
      <c r="G1" s="4"/>
      <c r="H1" s="4"/>
    </row>
    <row r="2" spans="1:8" x14ac:dyDescent="0.25">
      <c r="B2" s="1294" t="s">
        <v>0</v>
      </c>
      <c r="C2" s="1294"/>
      <c r="D2" s="1294"/>
      <c r="E2" s="1294"/>
      <c r="F2" s="1294"/>
      <c r="G2" s="1294"/>
      <c r="H2" s="4"/>
    </row>
    <row r="3" spans="1:8" x14ac:dyDescent="0.25">
      <c r="B3" s="1294" t="s">
        <v>917</v>
      </c>
      <c r="C3" s="1294"/>
      <c r="D3" s="1294"/>
      <c r="E3" s="1294"/>
      <c r="F3" s="1294"/>
      <c r="G3" s="1294"/>
      <c r="H3" s="4"/>
    </row>
    <row r="4" spans="1:8" x14ac:dyDescent="0.25">
      <c r="B4" s="1294" t="s">
        <v>918</v>
      </c>
      <c r="C4" s="1294"/>
      <c r="D4" s="1294"/>
      <c r="E4" s="1294"/>
      <c r="F4" s="1294"/>
      <c r="G4" s="1294"/>
      <c r="H4" s="4"/>
    </row>
    <row r="5" spans="1:8" x14ac:dyDescent="0.25">
      <c r="B5" s="1300" t="str">
        <f>'Stmt AD'!B5</f>
        <v>Base Period &amp; True-Up Period 12 - Months Ending December 31, 2023</v>
      </c>
      <c r="C5" s="1300"/>
      <c r="D5" s="1300"/>
      <c r="E5" s="1300"/>
      <c r="F5" s="1300"/>
      <c r="G5" s="1300"/>
      <c r="H5" s="4"/>
    </row>
    <row r="6" spans="1:8" x14ac:dyDescent="0.25">
      <c r="B6" s="1299" t="s">
        <v>4</v>
      </c>
      <c r="C6" s="1295"/>
      <c r="D6" s="1295"/>
      <c r="E6" s="1295"/>
      <c r="F6" s="1295"/>
      <c r="G6" s="1295"/>
      <c r="H6" s="4"/>
    </row>
    <row r="7" spans="1:8" x14ac:dyDescent="0.25">
      <c r="B7" s="4"/>
      <c r="C7" s="4"/>
      <c r="D7" s="4"/>
      <c r="E7" s="4"/>
      <c r="F7" s="4"/>
      <c r="G7" s="4"/>
      <c r="H7" s="4"/>
    </row>
    <row r="8" spans="1:8" x14ac:dyDescent="0.25">
      <c r="A8" s="4" t="s">
        <v>5</v>
      </c>
      <c r="B8" s="218"/>
      <c r="C8" s="4" t="s">
        <v>205</v>
      </c>
      <c r="D8" s="218"/>
      <c r="E8" s="218"/>
      <c r="F8" s="218"/>
      <c r="G8" s="4"/>
      <c r="H8" s="4" t="s">
        <v>5</v>
      </c>
    </row>
    <row r="9" spans="1:8" x14ac:dyDescent="0.25">
      <c r="A9" s="4" t="s">
        <v>6</v>
      </c>
      <c r="B9" s="218"/>
      <c r="C9" s="849" t="s">
        <v>207</v>
      </c>
      <c r="D9" s="218"/>
      <c r="E9" s="850" t="s">
        <v>7</v>
      </c>
      <c r="F9" s="218"/>
      <c r="G9" s="849" t="s">
        <v>8</v>
      </c>
      <c r="H9" s="4" t="s">
        <v>6</v>
      </c>
    </row>
    <row r="10" spans="1:8" x14ac:dyDescent="0.25">
      <c r="B10" s="4"/>
      <c r="C10" s="4"/>
      <c r="D10" s="4"/>
      <c r="E10" s="4"/>
      <c r="F10" s="4"/>
      <c r="G10" s="981"/>
      <c r="H10" s="4"/>
    </row>
    <row r="11" spans="1:8" ht="18.75" x14ac:dyDescent="0.25">
      <c r="A11" s="4">
        <v>1</v>
      </c>
      <c r="B11" s="31" t="s">
        <v>919</v>
      </c>
      <c r="C11" s="4" t="s">
        <v>920</v>
      </c>
      <c r="E11" s="40">
        <v>0</v>
      </c>
      <c r="F11" s="218"/>
      <c r="G11" s="4"/>
      <c r="H11" s="4">
        <f>A11</f>
        <v>1</v>
      </c>
    </row>
    <row r="12" spans="1:8" x14ac:dyDescent="0.25">
      <c r="A12" s="4">
        <f>+A11+1</f>
        <v>2</v>
      </c>
      <c r="E12" s="38"/>
      <c r="F12" s="218"/>
      <c r="G12" s="4"/>
      <c r="H12" s="4">
        <f>+H11+1</f>
        <v>2</v>
      </c>
    </row>
    <row r="13" spans="1:8" x14ac:dyDescent="0.25">
      <c r="A13" s="4">
        <f t="shared" ref="A13:A25" si="0">+A12+1</f>
        <v>3</v>
      </c>
      <c r="B13" s="31" t="s">
        <v>921</v>
      </c>
      <c r="C13" s="4" t="s">
        <v>922</v>
      </c>
      <c r="E13" s="42">
        <v>0</v>
      </c>
      <c r="F13" s="218"/>
      <c r="G13" s="4"/>
      <c r="H13" s="4">
        <f t="shared" ref="H13:H25" si="1">+H12+1</f>
        <v>3</v>
      </c>
    </row>
    <row r="14" spans="1:8" x14ac:dyDescent="0.25">
      <c r="A14" s="4">
        <f t="shared" si="0"/>
        <v>4</v>
      </c>
      <c r="E14" s="38"/>
      <c r="F14" s="218"/>
      <c r="G14" s="4"/>
      <c r="H14" s="4">
        <f t="shared" si="1"/>
        <v>4</v>
      </c>
    </row>
    <row r="15" spans="1:8" x14ac:dyDescent="0.25">
      <c r="A15" s="4">
        <f t="shared" si="0"/>
        <v>5</v>
      </c>
      <c r="B15" s="31" t="s">
        <v>923</v>
      </c>
      <c r="C15" s="4" t="s">
        <v>924</v>
      </c>
      <c r="E15" s="42">
        <f>'AU-1'!X15/1000</f>
        <v>-2115.2620000000002</v>
      </c>
      <c r="F15" s="218"/>
      <c r="G15" s="4" t="s">
        <v>1464</v>
      </c>
      <c r="H15" s="4">
        <f t="shared" si="1"/>
        <v>5</v>
      </c>
    </row>
    <row r="16" spans="1:8" x14ac:dyDescent="0.25">
      <c r="A16" s="4">
        <f t="shared" si="0"/>
        <v>6</v>
      </c>
      <c r="E16" s="38"/>
      <c r="F16" s="218"/>
      <c r="G16" s="4"/>
      <c r="H16" s="4">
        <f t="shared" si="1"/>
        <v>6</v>
      </c>
    </row>
    <row r="17" spans="1:8" x14ac:dyDescent="0.25">
      <c r="A17" s="4">
        <f t="shared" si="0"/>
        <v>7</v>
      </c>
      <c r="B17" s="31" t="s">
        <v>925</v>
      </c>
      <c r="C17" s="4" t="s">
        <v>926</v>
      </c>
      <c r="E17" s="42">
        <v>0</v>
      </c>
      <c r="F17" s="218"/>
      <c r="G17" s="4"/>
      <c r="H17" s="4">
        <f t="shared" si="1"/>
        <v>7</v>
      </c>
    </row>
    <row r="18" spans="1:8" x14ac:dyDescent="0.25">
      <c r="A18" s="4">
        <f t="shared" si="0"/>
        <v>8</v>
      </c>
      <c r="E18" s="38"/>
      <c r="F18" s="218"/>
      <c r="G18" s="4"/>
      <c r="H18" s="4">
        <f t="shared" si="1"/>
        <v>8</v>
      </c>
    </row>
    <row r="19" spans="1:8" x14ac:dyDescent="0.25">
      <c r="A19" s="4">
        <f t="shared" si="0"/>
        <v>9</v>
      </c>
      <c r="B19" s="31" t="s">
        <v>927</v>
      </c>
      <c r="C19" s="4" t="s">
        <v>928</v>
      </c>
      <c r="E19" s="42">
        <f>('AU-1'!X30/1000)</f>
        <v>-6640.652</v>
      </c>
      <c r="F19" s="218"/>
      <c r="G19" s="4" t="s">
        <v>1934</v>
      </c>
      <c r="H19" s="4">
        <f t="shared" si="1"/>
        <v>9</v>
      </c>
    </row>
    <row r="20" spans="1:8" x14ac:dyDescent="0.25">
      <c r="A20" s="4">
        <f t="shared" si="0"/>
        <v>10</v>
      </c>
      <c r="E20" s="38"/>
      <c r="F20" s="218"/>
      <c r="G20" s="4"/>
      <c r="H20" s="4">
        <f t="shared" si="1"/>
        <v>10</v>
      </c>
    </row>
    <row r="21" spans="1:8" x14ac:dyDescent="0.25">
      <c r="A21" s="4">
        <f t="shared" si="0"/>
        <v>11</v>
      </c>
      <c r="B21" s="31" t="s">
        <v>929</v>
      </c>
      <c r="E21" s="908">
        <f>'AU-1'!X35/1000</f>
        <v>-794.63599999999997</v>
      </c>
      <c r="F21" s="218"/>
      <c r="G21" s="4" t="s">
        <v>1935</v>
      </c>
      <c r="H21" s="4">
        <f t="shared" si="1"/>
        <v>11</v>
      </c>
    </row>
    <row r="22" spans="1:8" x14ac:dyDescent="0.25">
      <c r="A22" s="4">
        <f t="shared" si="0"/>
        <v>12</v>
      </c>
      <c r="E22" s="38"/>
      <c r="F22" s="218"/>
      <c r="G22" s="4"/>
      <c r="H22" s="4">
        <f t="shared" si="1"/>
        <v>12</v>
      </c>
    </row>
    <row r="23" spans="1:8" ht="16.5" thickBot="1" x14ac:dyDescent="0.3">
      <c r="A23" s="4">
        <f t="shared" si="0"/>
        <v>13</v>
      </c>
      <c r="B23" s="31" t="s">
        <v>930</v>
      </c>
      <c r="E23" s="119">
        <f>SUM(E11:E21)</f>
        <v>-9550.5500000000011</v>
      </c>
      <c r="F23" s="218"/>
      <c r="G23" s="4" t="s">
        <v>619</v>
      </c>
      <c r="H23" s="4">
        <f t="shared" si="1"/>
        <v>13</v>
      </c>
    </row>
    <row r="24" spans="1:8" ht="16.5" thickTop="1" x14ac:dyDescent="0.25">
      <c r="A24" s="4">
        <f t="shared" si="0"/>
        <v>14</v>
      </c>
      <c r="E24" s="70" t="s">
        <v>1</v>
      </c>
      <c r="F24" s="218"/>
      <c r="G24" s="4"/>
      <c r="H24" s="4">
        <f t="shared" si="1"/>
        <v>14</v>
      </c>
    </row>
    <row r="25" spans="1:8" ht="16.5" thickBot="1" x14ac:dyDescent="0.3">
      <c r="A25" s="4">
        <f t="shared" si="0"/>
        <v>15</v>
      </c>
      <c r="B25" s="31" t="s">
        <v>931</v>
      </c>
      <c r="E25" s="78">
        <v>0</v>
      </c>
      <c r="F25" s="218"/>
      <c r="G25" s="4" t="s">
        <v>932</v>
      </c>
      <c r="H25" s="4">
        <f t="shared" si="1"/>
        <v>15</v>
      </c>
    </row>
    <row r="26" spans="1:8" ht="16.5" thickTop="1" x14ac:dyDescent="0.25">
      <c r="F26" s="218"/>
    </row>
    <row r="27" spans="1:8" x14ac:dyDescent="0.25">
      <c r="F27" s="218"/>
    </row>
    <row r="28" spans="1:8" ht="18.75" x14ac:dyDescent="0.25">
      <c r="A28" s="266">
        <v>1</v>
      </c>
      <c r="B28" s="31" t="s">
        <v>933</v>
      </c>
    </row>
    <row r="29" spans="1:8" ht="18.75" x14ac:dyDescent="0.25">
      <c r="A29" s="266"/>
      <c r="B29" s="31" t="s">
        <v>934</v>
      </c>
    </row>
    <row r="30" spans="1:8" x14ac:dyDescent="0.25">
      <c r="B30" s="31" t="s">
        <v>935</v>
      </c>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I54"/>
  <sheetViews>
    <sheetView view="pageBreakPreview" zoomScale="60" zoomScaleNormal="100" workbookViewId="0"/>
  </sheetViews>
  <sheetFormatPr defaultColWidth="9.28515625" defaultRowHeight="15.75" x14ac:dyDescent="0.25"/>
  <cols>
    <col min="1" max="1" width="5.7109375" style="31" customWidth="1"/>
    <col min="2" max="2" width="5.28515625" style="4" customWidth="1"/>
    <col min="3" max="4" width="11.42578125" style="31" customWidth="1"/>
    <col min="5" max="5" width="50.28515625" style="31" customWidth="1"/>
    <col min="6" max="12" width="15.5703125" style="31" customWidth="1"/>
    <col min="13" max="15" width="5.28515625" style="4" customWidth="1"/>
    <col min="16" max="17" width="11.42578125" style="31" customWidth="1"/>
    <col min="18" max="18" width="51.5703125" style="31" customWidth="1"/>
    <col min="19" max="23" width="15.5703125" style="31" customWidth="1"/>
    <col min="24" max="24" width="18.5703125" style="31" customWidth="1"/>
    <col min="25" max="25" width="5.28515625" style="4" customWidth="1"/>
    <col min="26" max="26" width="5.7109375" style="31" customWidth="1"/>
    <col min="27" max="34" width="9.28515625" style="31"/>
    <col min="35" max="35" width="9.7109375" style="31" bestFit="1" customWidth="1"/>
    <col min="36" max="16384" width="9.28515625" style="31"/>
  </cols>
  <sheetData>
    <row r="2" spans="2:25" s="1" customFormat="1" x14ac:dyDescent="0.25">
      <c r="B2" s="218"/>
      <c r="C2" s="1294" t="s">
        <v>0</v>
      </c>
      <c r="D2" s="1294"/>
      <c r="E2" s="1294"/>
      <c r="F2" s="1294"/>
      <c r="G2" s="1294"/>
      <c r="H2" s="1294"/>
      <c r="I2" s="1294"/>
      <c r="J2" s="1294"/>
      <c r="K2" s="1294"/>
      <c r="L2" s="1294"/>
      <c r="M2" s="218"/>
      <c r="N2" s="218"/>
      <c r="O2" s="218"/>
      <c r="P2" s="1294" t="str">
        <f>C2</f>
        <v>SAN DIEGO GAS &amp; ELECTRIC COMPANY</v>
      </c>
      <c r="Q2" s="1294"/>
      <c r="R2" s="1294"/>
      <c r="S2" s="1294"/>
      <c r="T2" s="1294"/>
      <c r="U2" s="1294"/>
      <c r="V2" s="1294"/>
      <c r="W2" s="1294"/>
      <c r="X2" s="1294"/>
      <c r="Y2" s="218"/>
    </row>
    <row r="3" spans="2:25" s="1" customFormat="1" x14ac:dyDescent="0.25">
      <c r="B3" s="218"/>
      <c r="C3" s="1294" t="s">
        <v>917</v>
      </c>
      <c r="D3" s="1294"/>
      <c r="E3" s="1294"/>
      <c r="F3" s="1294"/>
      <c r="G3" s="1294"/>
      <c r="H3" s="1294"/>
      <c r="I3" s="1294"/>
      <c r="J3" s="1294"/>
      <c r="K3" s="1294"/>
      <c r="L3" s="1294"/>
      <c r="M3" s="218"/>
      <c r="N3" s="218"/>
      <c r="O3" s="218"/>
      <c r="P3" s="1294" t="str">
        <f>C3</f>
        <v>Statement AU</v>
      </c>
      <c r="Q3" s="1294"/>
      <c r="R3" s="1294"/>
      <c r="S3" s="1294"/>
      <c r="T3" s="1294"/>
      <c r="U3" s="1294"/>
      <c r="V3" s="1294"/>
      <c r="W3" s="1294"/>
      <c r="X3" s="1294"/>
      <c r="Y3" s="218"/>
    </row>
    <row r="4" spans="2:25" s="1" customFormat="1" x14ac:dyDescent="0.25">
      <c r="B4" s="218"/>
      <c r="C4" s="1294" t="s">
        <v>918</v>
      </c>
      <c r="D4" s="1294"/>
      <c r="E4" s="1294"/>
      <c r="F4" s="1294"/>
      <c r="G4" s="1294"/>
      <c r="H4" s="1294"/>
      <c r="I4" s="1294"/>
      <c r="J4" s="1294"/>
      <c r="K4" s="1294"/>
      <c r="L4" s="1294"/>
      <c r="M4" s="218"/>
      <c r="N4" s="218"/>
      <c r="O4" s="218"/>
      <c r="P4" s="1294" t="str">
        <f>C4</f>
        <v>Revenue Credits</v>
      </c>
      <c r="Q4" s="1294"/>
      <c r="R4" s="1294"/>
      <c r="S4" s="1294"/>
      <c r="T4" s="1294"/>
      <c r="U4" s="1294"/>
      <c r="V4" s="1294"/>
      <c r="W4" s="1294"/>
      <c r="X4" s="1294"/>
      <c r="Y4" s="218"/>
    </row>
    <row r="5" spans="2:25" s="1" customFormat="1" x14ac:dyDescent="0.25">
      <c r="B5" s="218"/>
      <c r="C5" s="1294" t="s">
        <v>1572</v>
      </c>
      <c r="D5" s="1294"/>
      <c r="E5" s="1294"/>
      <c r="F5" s="1294"/>
      <c r="G5" s="1294"/>
      <c r="H5" s="1294"/>
      <c r="I5" s="1294"/>
      <c r="J5" s="1294"/>
      <c r="K5" s="1294"/>
      <c r="L5" s="1294"/>
      <c r="M5" s="218"/>
      <c r="N5" s="218"/>
      <c r="O5" s="218"/>
      <c r="P5" s="1294" t="str">
        <f>C5</f>
        <v>12 Months Ending December 31, 2023</v>
      </c>
      <c r="Q5" s="1294"/>
      <c r="R5" s="1294"/>
      <c r="S5" s="1294"/>
      <c r="T5" s="1294"/>
      <c r="U5" s="1294"/>
      <c r="V5" s="1294"/>
      <c r="W5" s="1294"/>
      <c r="X5" s="1294"/>
      <c r="Y5" s="218"/>
    </row>
    <row r="6" spans="2:25" ht="16.5" thickBot="1" x14ac:dyDescent="0.3">
      <c r="X6" s="4"/>
    </row>
    <row r="7" spans="2:25" s="1" customFormat="1" x14ac:dyDescent="0.25">
      <c r="B7" s="4" t="s">
        <v>5</v>
      </c>
      <c r="C7" s="455" t="s">
        <v>936</v>
      </c>
      <c r="D7" s="456" t="s">
        <v>449</v>
      </c>
      <c r="E7" s="457"/>
      <c r="F7" s="456" t="s">
        <v>184</v>
      </c>
      <c r="G7" s="458" t="s">
        <v>185</v>
      </c>
      <c r="H7" s="458" t="s">
        <v>186</v>
      </c>
      <c r="I7" s="458" t="s">
        <v>937</v>
      </c>
      <c r="J7" s="458" t="s">
        <v>938</v>
      </c>
      <c r="K7" s="458" t="s">
        <v>939</v>
      </c>
      <c r="L7" s="459" t="s">
        <v>940</v>
      </c>
      <c r="M7" s="4" t="s">
        <v>5</v>
      </c>
      <c r="N7" s="4"/>
      <c r="O7" s="4" t="str">
        <f t="shared" ref="O7:Q8" si="0">B7</f>
        <v>Line</v>
      </c>
      <c r="P7" s="455" t="str">
        <f t="shared" si="0"/>
        <v>SAP</v>
      </c>
      <c r="Q7" s="456" t="str">
        <f t="shared" si="0"/>
        <v>FERC</v>
      </c>
      <c r="R7" s="457"/>
      <c r="S7" s="458" t="s">
        <v>941</v>
      </c>
      <c r="T7" s="458" t="s">
        <v>942</v>
      </c>
      <c r="U7" s="458" t="s">
        <v>943</v>
      </c>
      <c r="V7" s="458" t="s">
        <v>944</v>
      </c>
      <c r="W7" s="458" t="s">
        <v>945</v>
      </c>
      <c r="X7" s="460" t="s">
        <v>946</v>
      </c>
      <c r="Y7" s="4" t="str">
        <f>M7</f>
        <v>Line</v>
      </c>
    </row>
    <row r="8" spans="2:25" s="1" customFormat="1" ht="16.5" thickBot="1" x14ac:dyDescent="0.3">
      <c r="B8" s="4" t="s">
        <v>6</v>
      </c>
      <c r="C8" s="596" t="s">
        <v>947</v>
      </c>
      <c r="D8" s="891" t="s">
        <v>947</v>
      </c>
      <c r="E8" s="597" t="s">
        <v>948</v>
      </c>
      <c r="F8" s="637" t="s">
        <v>1466</v>
      </c>
      <c r="G8" s="1053" t="s">
        <v>1471</v>
      </c>
      <c r="H8" s="637" t="s">
        <v>1472</v>
      </c>
      <c r="I8" s="637" t="s">
        <v>1473</v>
      </c>
      <c r="J8" s="637" t="s">
        <v>1474</v>
      </c>
      <c r="K8" s="637" t="s">
        <v>1475</v>
      </c>
      <c r="L8" s="638" t="s">
        <v>1476</v>
      </c>
      <c r="M8" s="4" t="s">
        <v>949</v>
      </c>
      <c r="N8" s="4"/>
      <c r="O8" s="4" t="str">
        <f t="shared" si="0"/>
        <v>No.</v>
      </c>
      <c r="P8" s="596" t="str">
        <f t="shared" si="0"/>
        <v>Account #</v>
      </c>
      <c r="Q8" s="891" t="str">
        <f t="shared" si="0"/>
        <v>Account #</v>
      </c>
      <c r="R8" s="597" t="str">
        <f>E8</f>
        <v>SAP Account Description</v>
      </c>
      <c r="S8" s="637" t="s">
        <v>1477</v>
      </c>
      <c r="T8" s="637" t="s">
        <v>1478</v>
      </c>
      <c r="U8" s="637" t="s">
        <v>1479</v>
      </c>
      <c r="V8" s="637" t="s">
        <v>1480</v>
      </c>
      <c r="W8" s="637" t="s">
        <v>1467</v>
      </c>
      <c r="X8" s="599" t="s">
        <v>177</v>
      </c>
      <c r="Y8" s="4" t="str">
        <f t="shared" ref="Y8" si="1">M8</f>
        <v>No</v>
      </c>
    </row>
    <row r="9" spans="2:25" x14ac:dyDescent="0.25">
      <c r="C9" s="461"/>
      <c r="D9" s="385"/>
      <c r="E9" s="462"/>
      <c r="F9" s="2"/>
      <c r="G9" s="892"/>
      <c r="H9" s="2"/>
      <c r="I9" s="892"/>
      <c r="J9" s="2"/>
      <c r="K9" s="892"/>
      <c r="L9" s="573"/>
      <c r="P9" s="461"/>
      <c r="Q9" s="385"/>
      <c r="R9" s="462"/>
      <c r="S9" s="892"/>
      <c r="T9" s="2"/>
      <c r="U9" s="892"/>
      <c r="V9" s="2"/>
      <c r="W9" s="892"/>
      <c r="X9" s="639"/>
    </row>
    <row r="10" spans="2:25" x14ac:dyDescent="0.25">
      <c r="B10" s="4">
        <v>1</v>
      </c>
      <c r="C10" s="375">
        <v>4370119</v>
      </c>
      <c r="D10" s="385" t="s">
        <v>1461</v>
      </c>
      <c r="E10" s="645" t="s">
        <v>1463</v>
      </c>
      <c r="F10" s="120">
        <v>0</v>
      </c>
      <c r="G10" s="120">
        <v>0</v>
      </c>
      <c r="H10" s="120">
        <v>0</v>
      </c>
      <c r="I10" s="120">
        <v>0</v>
      </c>
      <c r="J10" s="120">
        <v>0</v>
      </c>
      <c r="K10" s="120">
        <v>0</v>
      </c>
      <c r="L10" s="593">
        <v>-2200</v>
      </c>
      <c r="M10" s="107">
        <v>1</v>
      </c>
      <c r="N10" s="107"/>
      <c r="O10" s="107">
        <v>1</v>
      </c>
      <c r="P10" s="375">
        <v>4370119</v>
      </c>
      <c r="Q10" s="385" t="s">
        <v>1461</v>
      </c>
      <c r="R10" s="645" t="s">
        <v>1463</v>
      </c>
      <c r="S10" s="120">
        <v>0</v>
      </c>
      <c r="T10" s="120">
        <v>0</v>
      </c>
      <c r="U10" s="120">
        <v>0</v>
      </c>
      <c r="V10" s="120">
        <v>0</v>
      </c>
      <c r="W10" s="120">
        <v>0</v>
      </c>
      <c r="X10" s="593">
        <f>SUM(F10:L10,S10:W10)</f>
        <v>-2200</v>
      </c>
      <c r="Y10" s="491">
        <v>1</v>
      </c>
    </row>
    <row r="11" spans="2:25" s="2" customFormat="1" x14ac:dyDescent="0.25">
      <c r="B11" s="107">
        <f>B10+1</f>
        <v>2</v>
      </c>
      <c r="C11" s="375" t="s">
        <v>950</v>
      </c>
      <c r="D11" s="385">
        <v>454</v>
      </c>
      <c r="E11" s="875" t="s">
        <v>528</v>
      </c>
      <c r="F11" s="125">
        <v>-3361</v>
      </c>
      <c r="G11" s="125">
        <v>-21408</v>
      </c>
      <c r="H11" s="125">
        <v>-13991</v>
      </c>
      <c r="I11" s="125">
        <v>-26817</v>
      </c>
      <c r="J11" s="125">
        <v>-16437</v>
      </c>
      <c r="K11" s="125">
        <v>-18316</v>
      </c>
      <c r="L11" s="574">
        <v>-17390</v>
      </c>
      <c r="M11" s="107">
        <f>B11</f>
        <v>2</v>
      </c>
      <c r="N11" s="107"/>
      <c r="O11" s="107">
        <f t="shared" ref="O11:O39" si="2">B11</f>
        <v>2</v>
      </c>
      <c r="P11" s="375" t="s">
        <v>950</v>
      </c>
      <c r="Q11" s="385">
        <v>454</v>
      </c>
      <c r="R11" s="875" t="s">
        <v>528</v>
      </c>
      <c r="S11" s="125">
        <v>-76008</v>
      </c>
      <c r="T11" s="125">
        <v>-21448</v>
      </c>
      <c r="U11" s="125">
        <v>-21448</v>
      </c>
      <c r="V11" s="125">
        <v>-21448</v>
      </c>
      <c r="W11" s="125">
        <v>-62613</v>
      </c>
      <c r="X11" s="574">
        <f>SUM(F11:L11,S11:W11)</f>
        <v>-320685</v>
      </c>
      <c r="Y11" s="107">
        <f>Y10+1</f>
        <v>2</v>
      </c>
    </row>
    <row r="12" spans="2:25" s="2" customFormat="1" x14ac:dyDescent="0.25">
      <c r="B12" s="107">
        <f>B11+1</f>
        <v>3</v>
      </c>
      <c r="C12" s="375" t="s">
        <v>951</v>
      </c>
      <c r="D12" s="385">
        <v>454</v>
      </c>
      <c r="E12" s="875" t="s">
        <v>952</v>
      </c>
      <c r="F12" s="125">
        <v>-3333</v>
      </c>
      <c r="G12" s="125">
        <v>-3334</v>
      </c>
      <c r="H12" s="125">
        <v>-3333</v>
      </c>
      <c r="I12" s="125">
        <v>-3333</v>
      </c>
      <c r="J12" s="125">
        <v>-3334</v>
      </c>
      <c r="K12" s="125">
        <v>-3333</v>
      </c>
      <c r="L12" s="574">
        <v>-3333</v>
      </c>
      <c r="M12" s="107">
        <f t="shared" ref="M12:M39" si="3">B12</f>
        <v>3</v>
      </c>
      <c r="N12" s="107"/>
      <c r="O12" s="107">
        <f t="shared" si="2"/>
        <v>3</v>
      </c>
      <c r="P12" s="375" t="s">
        <v>951</v>
      </c>
      <c r="Q12" s="385">
        <v>454</v>
      </c>
      <c r="R12" s="875" t="s">
        <v>952</v>
      </c>
      <c r="S12" s="125">
        <v>-4787</v>
      </c>
      <c r="T12" s="125">
        <v>-9708</v>
      </c>
      <c r="U12" s="125">
        <v>-3334</v>
      </c>
      <c r="V12" s="125">
        <v>-3333</v>
      </c>
      <c r="W12" s="125">
        <v>-3333</v>
      </c>
      <c r="X12" s="574">
        <f>SUM(F12:L12,S12:W12)</f>
        <v>-47828</v>
      </c>
      <c r="Y12" s="107">
        <f t="shared" ref="Y12:Y17" si="4">Y11+1</f>
        <v>3</v>
      </c>
    </row>
    <row r="13" spans="2:25" s="2" customFormat="1" x14ac:dyDescent="0.25">
      <c r="B13" s="107">
        <f t="shared" ref="B13:B39" si="5">B12+1</f>
        <v>4</v>
      </c>
      <c r="C13" s="375">
        <v>4371080</v>
      </c>
      <c r="D13" s="385" t="s">
        <v>1461</v>
      </c>
      <c r="E13" s="875" t="s">
        <v>1462</v>
      </c>
      <c r="F13" s="900">
        <v>-51462</v>
      </c>
      <c r="G13" s="900">
        <v>-49987</v>
      </c>
      <c r="H13" s="900">
        <v>-52453</v>
      </c>
      <c r="I13" s="900">
        <v>-49698</v>
      </c>
      <c r="J13" s="900">
        <v>-50728</v>
      </c>
      <c r="K13" s="900">
        <v>-60012</v>
      </c>
      <c r="L13" s="121">
        <v>-50965</v>
      </c>
      <c r="M13" s="107">
        <f t="shared" si="3"/>
        <v>4</v>
      </c>
      <c r="N13" s="107"/>
      <c r="O13" s="107">
        <f t="shared" si="2"/>
        <v>4</v>
      </c>
      <c r="P13" s="375">
        <v>4371080</v>
      </c>
      <c r="Q13" s="385" t="s">
        <v>1461</v>
      </c>
      <c r="R13" s="875" t="s">
        <v>1462</v>
      </c>
      <c r="S13" s="900">
        <v>-50702</v>
      </c>
      <c r="T13" s="900">
        <v>-648064</v>
      </c>
      <c r="U13" s="900">
        <v>-76282</v>
      </c>
      <c r="V13" s="900">
        <v>-50203</v>
      </c>
      <c r="W13" s="900">
        <v>-553993</v>
      </c>
      <c r="X13" s="121">
        <f>SUM(F13:L13,S13:W13)</f>
        <v>-1744549</v>
      </c>
      <c r="Y13" s="107">
        <f t="shared" si="4"/>
        <v>4</v>
      </c>
    </row>
    <row r="14" spans="2:25" s="2" customFormat="1" x14ac:dyDescent="0.25">
      <c r="B14" s="107">
        <f t="shared" si="5"/>
        <v>5</v>
      </c>
      <c r="C14" s="640"/>
      <c r="D14" s="385"/>
      <c r="E14" s="875"/>
      <c r="F14" s="6"/>
      <c r="G14" s="233"/>
      <c r="H14" s="233"/>
      <c r="I14" s="233"/>
      <c r="J14" s="233"/>
      <c r="K14" s="233"/>
      <c r="L14" s="574"/>
      <c r="M14" s="107">
        <f t="shared" si="3"/>
        <v>5</v>
      </c>
      <c r="N14" s="107"/>
      <c r="O14" s="107">
        <f t="shared" si="2"/>
        <v>5</v>
      </c>
      <c r="P14" s="640"/>
      <c r="Q14" s="385"/>
      <c r="R14" s="875"/>
      <c r="S14" s="233"/>
      <c r="T14" s="233"/>
      <c r="U14" s="233"/>
      <c r="V14" s="233"/>
      <c r="W14" s="233"/>
      <c r="X14" s="128"/>
      <c r="Y14" s="107">
        <f t="shared" si="4"/>
        <v>5</v>
      </c>
    </row>
    <row r="15" spans="2:25" s="2" customFormat="1" ht="18.75" x14ac:dyDescent="0.25">
      <c r="B15" s="107">
        <f t="shared" si="5"/>
        <v>6</v>
      </c>
      <c r="C15" s="640"/>
      <c r="D15" s="385"/>
      <c r="E15" s="273" t="s">
        <v>953</v>
      </c>
      <c r="F15" s="93">
        <f>SUM(F10:F13)</f>
        <v>-58156</v>
      </c>
      <c r="G15" s="93">
        <f t="shared" ref="G15:K15" si="6">SUM(G10:G13)</f>
        <v>-74729</v>
      </c>
      <c r="H15" s="93">
        <f t="shared" si="6"/>
        <v>-69777</v>
      </c>
      <c r="I15" s="93">
        <f t="shared" si="6"/>
        <v>-79848</v>
      </c>
      <c r="J15" s="93">
        <f t="shared" si="6"/>
        <v>-70499</v>
      </c>
      <c r="K15" s="93">
        <f t="shared" si="6"/>
        <v>-81661</v>
      </c>
      <c r="L15" s="122">
        <f>SUM(L10:L13)</f>
        <v>-73888</v>
      </c>
      <c r="M15" s="107">
        <f t="shared" si="3"/>
        <v>6</v>
      </c>
      <c r="N15" s="107"/>
      <c r="O15" s="107">
        <f t="shared" si="2"/>
        <v>6</v>
      </c>
      <c r="P15" s="640"/>
      <c r="Q15" s="385"/>
      <c r="R15" s="273" t="s">
        <v>953</v>
      </c>
      <c r="S15" s="61">
        <f>SUM(S10:S13)</f>
        <v>-131497</v>
      </c>
      <c r="T15" s="61">
        <f t="shared" ref="T15:W15" si="7">SUM(T10:T13)</f>
        <v>-679220</v>
      </c>
      <c r="U15" s="61">
        <f t="shared" si="7"/>
        <v>-101064</v>
      </c>
      <c r="V15" s="61">
        <f t="shared" si="7"/>
        <v>-74984</v>
      </c>
      <c r="W15" s="61">
        <f t="shared" si="7"/>
        <v>-619939</v>
      </c>
      <c r="X15" s="122">
        <f>SUM(X10:X13)</f>
        <v>-2115262</v>
      </c>
      <c r="Y15" s="107">
        <f t="shared" si="4"/>
        <v>6</v>
      </c>
    </row>
    <row r="16" spans="2:25" s="2" customFormat="1" ht="16.5" thickBot="1" x14ac:dyDescent="0.3">
      <c r="B16" s="107">
        <f t="shared" si="5"/>
        <v>7</v>
      </c>
      <c r="C16" s="641"/>
      <c r="D16" s="893"/>
      <c r="E16" s="642"/>
      <c r="F16" s="894"/>
      <c r="G16" s="182"/>
      <c r="H16" s="894"/>
      <c r="I16" s="182"/>
      <c r="J16" s="894"/>
      <c r="K16" s="182"/>
      <c r="L16" s="183"/>
      <c r="M16" s="107">
        <f t="shared" si="3"/>
        <v>7</v>
      </c>
      <c r="N16" s="107"/>
      <c r="O16" s="107">
        <f t="shared" si="2"/>
        <v>7</v>
      </c>
      <c r="P16" s="641"/>
      <c r="Q16" s="893"/>
      <c r="R16" s="642"/>
      <c r="S16" s="182"/>
      <c r="T16" s="894"/>
      <c r="U16" s="182"/>
      <c r="V16" s="894"/>
      <c r="W16" s="182"/>
      <c r="X16" s="213"/>
      <c r="Y16" s="107">
        <f t="shared" si="4"/>
        <v>7</v>
      </c>
    </row>
    <row r="17" spans="1:35" s="2" customFormat="1" x14ac:dyDescent="0.25">
      <c r="B17" s="107">
        <f t="shared" si="5"/>
        <v>8</v>
      </c>
      <c r="C17" s="643" t="s">
        <v>954</v>
      </c>
      <c r="D17" s="385">
        <v>456</v>
      </c>
      <c r="E17" s="875" t="s">
        <v>955</v>
      </c>
      <c r="F17" s="123">
        <v>-761270</v>
      </c>
      <c r="G17" s="123">
        <v>-301988</v>
      </c>
      <c r="H17" s="123">
        <v>-194030</v>
      </c>
      <c r="I17" s="123">
        <v>-196603</v>
      </c>
      <c r="J17" s="123">
        <v>-194030</v>
      </c>
      <c r="K17" s="123">
        <v>-290817</v>
      </c>
      <c r="L17" s="124">
        <v>-202872</v>
      </c>
      <c r="M17" s="107">
        <f t="shared" si="3"/>
        <v>8</v>
      </c>
      <c r="N17" s="107"/>
      <c r="O17" s="107">
        <f t="shared" si="2"/>
        <v>8</v>
      </c>
      <c r="P17" s="643" t="str">
        <f>C17</f>
        <v>4371016</v>
      </c>
      <c r="Q17" s="385">
        <f>D17</f>
        <v>456</v>
      </c>
      <c r="R17" s="875" t="str">
        <f>E17</f>
        <v>Generation Interconnection</v>
      </c>
      <c r="S17" s="123">
        <v>-203709</v>
      </c>
      <c r="T17" s="123">
        <v>-203708</v>
      </c>
      <c r="U17" s="123">
        <v>-203709</v>
      </c>
      <c r="V17" s="123">
        <v>-203709</v>
      </c>
      <c r="W17" s="129">
        <v>-203709</v>
      </c>
      <c r="X17" s="574">
        <f t="shared" ref="X17:X28" si="8">SUM(F17:L17,S17:W17)</f>
        <v>-3160154</v>
      </c>
      <c r="Y17" s="107">
        <f t="shared" si="4"/>
        <v>8</v>
      </c>
    </row>
    <row r="18" spans="1:35" s="2" customFormat="1" x14ac:dyDescent="0.25">
      <c r="A18" s="1209"/>
      <c r="B18" s="107">
        <f t="shared" si="5"/>
        <v>9</v>
      </c>
      <c r="C18" s="640" t="s">
        <v>1864</v>
      </c>
      <c r="D18" s="385" t="s">
        <v>1865</v>
      </c>
      <c r="E18" s="875" t="s">
        <v>1866</v>
      </c>
      <c r="F18" s="6"/>
      <c r="G18" s="125"/>
      <c r="H18" s="125"/>
      <c r="I18" s="125"/>
      <c r="J18" s="125"/>
      <c r="K18" s="125"/>
      <c r="L18" s="574"/>
      <c r="M18" s="107">
        <f t="shared" si="3"/>
        <v>9</v>
      </c>
      <c r="N18" s="1209"/>
      <c r="O18" s="107">
        <f t="shared" si="2"/>
        <v>9</v>
      </c>
      <c r="P18" s="640" t="s">
        <v>1864</v>
      </c>
      <c r="Q18" s="385" t="s">
        <v>1865</v>
      </c>
      <c r="R18" s="875" t="s">
        <v>1866</v>
      </c>
      <c r="S18" s="125"/>
      <c r="T18" s="125"/>
      <c r="U18" s="125">
        <v>-29250</v>
      </c>
      <c r="V18" s="125">
        <v>-20650</v>
      </c>
      <c r="W18" s="125"/>
      <c r="X18" s="574">
        <f t="shared" si="8"/>
        <v>-49900</v>
      </c>
      <c r="Y18" s="107">
        <f t="shared" ref="Y18" si="9">Y17+1</f>
        <v>9</v>
      </c>
      <c r="Z18" s="1209"/>
    </row>
    <row r="19" spans="1:35" s="2" customFormat="1" x14ac:dyDescent="0.25">
      <c r="A19" s="1209"/>
      <c r="B19" s="107">
        <f t="shared" si="5"/>
        <v>10</v>
      </c>
      <c r="C19" s="640" t="s">
        <v>956</v>
      </c>
      <c r="D19" s="385">
        <v>456</v>
      </c>
      <c r="E19" s="875" t="s">
        <v>957</v>
      </c>
      <c r="F19" s="6">
        <v>-275242</v>
      </c>
      <c r="G19" s="125">
        <v>-33200</v>
      </c>
      <c r="H19" s="125">
        <v>-39332</v>
      </c>
      <c r="I19" s="125">
        <v>-5000</v>
      </c>
      <c r="J19" s="125">
        <v>-12690</v>
      </c>
      <c r="K19" s="125">
        <v>0</v>
      </c>
      <c r="L19" s="574">
        <v>-17652</v>
      </c>
      <c r="M19" s="107">
        <f t="shared" si="3"/>
        <v>10</v>
      </c>
      <c r="N19" s="1209"/>
      <c r="O19" s="107">
        <f t="shared" si="2"/>
        <v>10</v>
      </c>
      <c r="P19" s="640" t="str">
        <f t="shared" ref="P19:R25" si="10">C19</f>
        <v>4371040</v>
      </c>
      <c r="Q19" s="385">
        <f t="shared" si="10"/>
        <v>456</v>
      </c>
      <c r="R19" s="875" t="str">
        <f t="shared" si="10"/>
        <v xml:space="preserve">Revenue Enhancement </v>
      </c>
      <c r="S19" s="125">
        <v>-7853</v>
      </c>
      <c r="T19" s="125">
        <v>-8325</v>
      </c>
      <c r="U19" s="125">
        <v>0</v>
      </c>
      <c r="V19" s="125">
        <v>-3986</v>
      </c>
      <c r="W19" s="125">
        <v>0</v>
      </c>
      <c r="X19" s="574">
        <f t="shared" si="8"/>
        <v>-403280</v>
      </c>
      <c r="Y19" s="107">
        <f t="shared" ref="Y19" si="11">Y18+1</f>
        <v>10</v>
      </c>
      <c r="Z19" s="1209"/>
    </row>
    <row r="20" spans="1:35" s="2" customFormat="1" x14ac:dyDescent="0.25">
      <c r="A20" s="1209"/>
      <c r="B20" s="107">
        <f t="shared" si="5"/>
        <v>11</v>
      </c>
      <c r="C20" s="644" t="s">
        <v>958</v>
      </c>
      <c r="D20" s="385">
        <v>456</v>
      </c>
      <c r="E20" s="645" t="s">
        <v>959</v>
      </c>
      <c r="F20" s="901">
        <v>-200972</v>
      </c>
      <c r="G20" s="125">
        <v>-203892</v>
      </c>
      <c r="H20" s="125">
        <v>-215511</v>
      </c>
      <c r="I20" s="125">
        <v>-220273</v>
      </c>
      <c r="J20" s="125">
        <v>-226873</v>
      </c>
      <c r="K20" s="125">
        <v>-237504</v>
      </c>
      <c r="L20" s="574">
        <v>-252397</v>
      </c>
      <c r="M20" s="107">
        <f t="shared" si="3"/>
        <v>11</v>
      </c>
      <c r="N20" s="1209"/>
      <c r="O20" s="107">
        <f t="shared" si="2"/>
        <v>11</v>
      </c>
      <c r="P20" s="644" t="str">
        <f t="shared" si="10"/>
        <v>4371055</v>
      </c>
      <c r="Q20" s="385">
        <f t="shared" si="10"/>
        <v>456</v>
      </c>
      <c r="R20" s="645" t="str">
        <f t="shared" si="10"/>
        <v>Shared Asset Revenue</v>
      </c>
      <c r="S20" s="125">
        <v>-258051</v>
      </c>
      <c r="T20" s="125">
        <v>-256733</v>
      </c>
      <c r="U20" s="125">
        <v>-255044</v>
      </c>
      <c r="V20" s="125">
        <v>-253437</v>
      </c>
      <c r="W20" s="125">
        <v>-252422</v>
      </c>
      <c r="X20" s="574">
        <f t="shared" si="8"/>
        <v>-2833109</v>
      </c>
      <c r="Y20" s="107">
        <f t="shared" ref="Y20" si="12">Y19+1</f>
        <v>11</v>
      </c>
      <c r="Z20" s="1209"/>
    </row>
    <row r="21" spans="1:35" s="2" customFormat="1" x14ac:dyDescent="0.25">
      <c r="A21" s="1209"/>
      <c r="B21" s="107">
        <f t="shared" si="5"/>
        <v>12</v>
      </c>
      <c r="C21" s="644" t="s">
        <v>960</v>
      </c>
      <c r="D21" s="895">
        <v>456</v>
      </c>
      <c r="E21" s="646" t="s">
        <v>961</v>
      </c>
      <c r="F21" s="125">
        <v>0</v>
      </c>
      <c r="G21" s="125">
        <v>-672</v>
      </c>
      <c r="H21" s="125">
        <v>0</v>
      </c>
      <c r="I21" s="125">
        <v>0</v>
      </c>
      <c r="J21" s="125">
        <v>0</v>
      </c>
      <c r="K21" s="125">
        <v>0</v>
      </c>
      <c r="L21" s="574">
        <v>-29244</v>
      </c>
      <c r="M21" s="107">
        <f t="shared" si="3"/>
        <v>12</v>
      </c>
      <c r="N21" s="1209"/>
      <c r="O21" s="107">
        <f t="shared" si="2"/>
        <v>12</v>
      </c>
      <c r="P21" s="644" t="str">
        <f t="shared" si="10"/>
        <v>4371058</v>
      </c>
      <c r="Q21" s="895">
        <f t="shared" si="10"/>
        <v>456</v>
      </c>
      <c r="R21" s="646" t="str">
        <f t="shared" si="10"/>
        <v>Elec Trans Joint Pole Activity</v>
      </c>
      <c r="S21" s="125">
        <v>-4177</v>
      </c>
      <c r="T21" s="125">
        <v>-3506</v>
      </c>
      <c r="U21" s="125">
        <v>-13137</v>
      </c>
      <c r="V21" s="125">
        <v>4228</v>
      </c>
      <c r="W21" s="125">
        <v>-4228</v>
      </c>
      <c r="X21" s="574">
        <f t="shared" si="8"/>
        <v>-50736</v>
      </c>
      <c r="Y21" s="107">
        <f t="shared" ref="Y21" si="13">Y20+1</f>
        <v>12</v>
      </c>
      <c r="Z21" s="1209"/>
    </row>
    <row r="22" spans="1:35" s="2" customFormat="1" x14ac:dyDescent="0.25">
      <c r="A22" s="1209"/>
      <c r="B22" s="107">
        <f t="shared" si="5"/>
        <v>13</v>
      </c>
      <c r="C22" s="644" t="s">
        <v>962</v>
      </c>
      <c r="D22" s="895">
        <v>456</v>
      </c>
      <c r="E22" s="646" t="s">
        <v>963</v>
      </c>
      <c r="F22" s="125">
        <v>-1439</v>
      </c>
      <c r="G22" s="125">
        <v>-1438</v>
      </c>
      <c r="H22" s="125">
        <v>-1439</v>
      </c>
      <c r="I22" s="125">
        <v>-1438</v>
      </c>
      <c r="J22" s="125">
        <v>-1439</v>
      </c>
      <c r="K22" s="125">
        <v>-1438</v>
      </c>
      <c r="L22" s="574">
        <v>-1439</v>
      </c>
      <c r="M22" s="107">
        <f t="shared" si="3"/>
        <v>13</v>
      </c>
      <c r="N22" s="1209"/>
      <c r="O22" s="107">
        <f t="shared" si="2"/>
        <v>13</v>
      </c>
      <c r="P22" s="644" t="str">
        <f t="shared" si="10"/>
        <v>4371061</v>
      </c>
      <c r="Q22" s="895">
        <f t="shared" si="10"/>
        <v>456</v>
      </c>
      <c r="R22" s="646" t="str">
        <f t="shared" si="10"/>
        <v>Excess Microwave Capacity - Elec Trans</v>
      </c>
      <c r="S22" s="125">
        <v>-1438</v>
      </c>
      <c r="T22" s="125">
        <v>-1439</v>
      </c>
      <c r="U22" s="125">
        <v>-1438</v>
      </c>
      <c r="V22" s="125">
        <v>-1439</v>
      </c>
      <c r="W22" s="125">
        <v>-1438</v>
      </c>
      <c r="X22" s="574">
        <f t="shared" si="8"/>
        <v>-17262</v>
      </c>
      <c r="Y22" s="107">
        <f t="shared" ref="Y22" si="14">Y21+1</f>
        <v>13</v>
      </c>
      <c r="Z22" s="1209"/>
    </row>
    <row r="23" spans="1:35" s="2" customFormat="1" x14ac:dyDescent="0.25">
      <c r="A23" s="1209"/>
      <c r="B23" s="107">
        <f t="shared" si="5"/>
        <v>14</v>
      </c>
      <c r="C23" s="644" t="s">
        <v>964</v>
      </c>
      <c r="D23" s="895">
        <v>456</v>
      </c>
      <c r="E23" s="646" t="s">
        <v>965</v>
      </c>
      <c r="F23" s="125">
        <v>0</v>
      </c>
      <c r="G23" s="125">
        <v>0</v>
      </c>
      <c r="H23" s="125">
        <v>0</v>
      </c>
      <c r="I23" s="125">
        <v>0</v>
      </c>
      <c r="J23" s="125">
        <v>0</v>
      </c>
      <c r="K23" s="125">
        <v>0</v>
      </c>
      <c r="L23" s="574">
        <v>0</v>
      </c>
      <c r="M23" s="107">
        <f t="shared" si="3"/>
        <v>14</v>
      </c>
      <c r="N23" s="1209"/>
      <c r="O23" s="107">
        <f t="shared" si="2"/>
        <v>14</v>
      </c>
      <c r="P23" s="644" t="str">
        <f t="shared" si="10"/>
        <v>4371065</v>
      </c>
      <c r="Q23" s="895">
        <f t="shared" si="10"/>
        <v>456</v>
      </c>
      <c r="R23" s="646" t="str">
        <f t="shared" si="10"/>
        <v>Trans Revenue Trsfr to Gen</v>
      </c>
      <c r="S23" s="125">
        <v>0</v>
      </c>
      <c r="T23" s="125">
        <v>0</v>
      </c>
      <c r="U23" s="125">
        <v>0</v>
      </c>
      <c r="V23" s="125">
        <v>0</v>
      </c>
      <c r="W23" s="125">
        <v>-33000</v>
      </c>
      <c r="X23" s="574">
        <f t="shared" si="8"/>
        <v>-33000</v>
      </c>
      <c r="Y23" s="107">
        <f t="shared" ref="Y23" si="15">Y22+1</f>
        <v>14</v>
      </c>
      <c r="Z23" s="1209"/>
      <c r="AI23" s="6"/>
    </row>
    <row r="24" spans="1:35" s="2" customFormat="1" x14ac:dyDescent="0.25">
      <c r="A24" s="1209"/>
      <c r="B24" s="107">
        <f t="shared" si="5"/>
        <v>15</v>
      </c>
      <c r="C24" s="644" t="s">
        <v>966</v>
      </c>
      <c r="D24" s="895">
        <v>456</v>
      </c>
      <c r="E24" s="646" t="s">
        <v>967</v>
      </c>
      <c r="F24" s="125">
        <v>0</v>
      </c>
      <c r="G24" s="125">
        <v>0</v>
      </c>
      <c r="H24" s="125">
        <v>0</v>
      </c>
      <c r="I24" s="125">
        <v>0</v>
      </c>
      <c r="J24" s="125">
        <v>0</v>
      </c>
      <c r="K24" s="125">
        <v>0</v>
      </c>
      <c r="L24" s="574">
        <v>0</v>
      </c>
      <c r="M24" s="107">
        <f t="shared" si="3"/>
        <v>15</v>
      </c>
      <c r="N24" s="1209"/>
      <c r="O24" s="107">
        <f t="shared" si="2"/>
        <v>15</v>
      </c>
      <c r="P24" s="644" t="str">
        <f t="shared" si="10"/>
        <v>4371067</v>
      </c>
      <c r="Q24" s="895">
        <f t="shared" si="10"/>
        <v>456</v>
      </c>
      <c r="R24" s="646" t="str">
        <f t="shared" si="10"/>
        <v>Trans Revenue Trsfr to Dist</v>
      </c>
      <c r="S24" s="125">
        <v>0</v>
      </c>
      <c r="T24" s="125">
        <v>0</v>
      </c>
      <c r="U24" s="125">
        <v>0</v>
      </c>
      <c r="V24" s="125">
        <v>0</v>
      </c>
      <c r="W24" s="125">
        <v>270000</v>
      </c>
      <c r="X24" s="574">
        <f t="shared" si="8"/>
        <v>270000</v>
      </c>
      <c r="Y24" s="107">
        <f t="shared" ref="Y24" si="16">Y23+1</f>
        <v>15</v>
      </c>
      <c r="Z24" s="1209"/>
      <c r="AI24" s="6"/>
    </row>
    <row r="25" spans="1:35" s="2" customFormat="1" x14ac:dyDescent="0.25">
      <c r="A25" s="1209"/>
      <c r="B25" s="107">
        <f t="shared" si="5"/>
        <v>16</v>
      </c>
      <c r="C25" s="644" t="s">
        <v>968</v>
      </c>
      <c r="D25" s="895">
        <v>456</v>
      </c>
      <c r="E25" s="646" t="s">
        <v>969</v>
      </c>
      <c r="F25" s="125">
        <v>0</v>
      </c>
      <c r="G25" s="125">
        <v>0</v>
      </c>
      <c r="H25" s="125">
        <v>0</v>
      </c>
      <c r="I25" s="125">
        <v>0</v>
      </c>
      <c r="J25" s="125">
        <v>0</v>
      </c>
      <c r="K25" s="125">
        <v>0</v>
      </c>
      <c r="L25" s="574">
        <v>0</v>
      </c>
      <c r="M25" s="107">
        <f t="shared" si="3"/>
        <v>16</v>
      </c>
      <c r="N25" s="1209"/>
      <c r="O25" s="107">
        <f t="shared" si="2"/>
        <v>16</v>
      </c>
      <c r="P25" s="644" t="str">
        <f t="shared" si="10"/>
        <v>4371070</v>
      </c>
      <c r="Q25" s="895">
        <f t="shared" si="10"/>
        <v>456</v>
      </c>
      <c r="R25" s="646" t="str">
        <f t="shared" si="10"/>
        <v>Trans Revenue Trsfr from Dist</v>
      </c>
      <c r="S25" s="125">
        <v>0</v>
      </c>
      <c r="T25" s="125">
        <v>0</v>
      </c>
      <c r="U25" s="125">
        <v>0</v>
      </c>
      <c r="V25" s="125">
        <v>0</v>
      </c>
      <c r="W25" s="125">
        <v>25000</v>
      </c>
      <c r="X25" s="574">
        <f t="shared" si="8"/>
        <v>25000</v>
      </c>
      <c r="Y25" s="107">
        <f t="shared" ref="Y25" si="17">Y24+1</f>
        <v>16</v>
      </c>
      <c r="Z25" s="1209"/>
      <c r="AI25" s="6"/>
    </row>
    <row r="26" spans="1:35" s="2" customFormat="1" x14ac:dyDescent="0.25">
      <c r="A26" s="1209"/>
      <c r="B26" s="107">
        <f t="shared" si="5"/>
        <v>17</v>
      </c>
      <c r="C26" s="644" t="s">
        <v>970</v>
      </c>
      <c r="D26" s="895">
        <v>456</v>
      </c>
      <c r="E26" s="646" t="s">
        <v>971</v>
      </c>
      <c r="F26" s="125">
        <v>0</v>
      </c>
      <c r="G26" s="125">
        <v>0</v>
      </c>
      <c r="H26" s="125">
        <v>0</v>
      </c>
      <c r="I26" s="125">
        <v>0</v>
      </c>
      <c r="J26" s="125">
        <v>0</v>
      </c>
      <c r="K26" s="125">
        <v>0</v>
      </c>
      <c r="L26" s="574">
        <v>0</v>
      </c>
      <c r="M26" s="107">
        <f t="shared" si="3"/>
        <v>17</v>
      </c>
      <c r="N26" s="1209"/>
      <c r="O26" s="107">
        <f t="shared" si="2"/>
        <v>17</v>
      </c>
      <c r="P26" s="644" t="s">
        <v>970</v>
      </c>
      <c r="Q26" s="895">
        <v>456</v>
      </c>
      <c r="R26" s="646" t="s">
        <v>971</v>
      </c>
      <c r="S26" s="125">
        <v>0</v>
      </c>
      <c r="T26" s="125">
        <v>0</v>
      </c>
      <c r="U26" s="125">
        <v>0</v>
      </c>
      <c r="V26" s="125">
        <v>0</v>
      </c>
      <c r="W26" s="125">
        <v>0</v>
      </c>
      <c r="X26" s="574">
        <f t="shared" si="8"/>
        <v>0</v>
      </c>
      <c r="Y26" s="107">
        <f t="shared" ref="Y26" si="18">Y25+1</f>
        <v>17</v>
      </c>
      <c r="Z26" s="1209"/>
      <c r="AI26" s="6"/>
    </row>
    <row r="27" spans="1:35" s="2" customFormat="1" x14ac:dyDescent="0.25">
      <c r="A27" s="1209"/>
      <c r="B27" s="107">
        <f t="shared" si="5"/>
        <v>18</v>
      </c>
      <c r="C27" s="644" t="s">
        <v>972</v>
      </c>
      <c r="D27" s="895">
        <v>456</v>
      </c>
      <c r="E27" s="647" t="s">
        <v>973</v>
      </c>
      <c r="F27" s="125">
        <v>-20244</v>
      </c>
      <c r="G27" s="125">
        <v>-20245</v>
      </c>
      <c r="H27" s="125">
        <v>-23807</v>
      </c>
      <c r="I27" s="125">
        <v>-26379</v>
      </c>
      <c r="J27" s="125">
        <v>-26380</v>
      </c>
      <c r="K27" s="125">
        <v>-26379</v>
      </c>
      <c r="L27" s="574">
        <v>-26380</v>
      </c>
      <c r="M27" s="107">
        <f t="shared" si="3"/>
        <v>18</v>
      </c>
      <c r="N27" s="1209"/>
      <c r="O27" s="107">
        <f t="shared" si="2"/>
        <v>18</v>
      </c>
      <c r="P27" s="644" t="str">
        <f t="shared" ref="P27:R28" si="19">C27</f>
        <v>4371082</v>
      </c>
      <c r="Q27" s="895">
        <f t="shared" si="19"/>
        <v>456</v>
      </c>
      <c r="R27" s="647" t="str">
        <f t="shared" si="19"/>
        <v>Other Elec Rev-SDGE Gen</v>
      </c>
      <c r="S27" s="125">
        <v>-26379</v>
      </c>
      <c r="T27" s="125">
        <v>-26379</v>
      </c>
      <c r="U27" s="125">
        <v>-26380</v>
      </c>
      <c r="V27" s="125">
        <v>-26379</v>
      </c>
      <c r="W27" s="125">
        <v>-26380</v>
      </c>
      <c r="X27" s="574">
        <f t="shared" si="8"/>
        <v>-301711</v>
      </c>
      <c r="Y27" s="107">
        <f t="shared" ref="Y27" si="20">Y26+1</f>
        <v>18</v>
      </c>
      <c r="Z27" s="1209"/>
      <c r="AI27" s="6"/>
    </row>
    <row r="28" spans="1:35" s="2" customFormat="1" x14ac:dyDescent="0.25">
      <c r="A28" s="1209"/>
      <c r="B28" s="107">
        <f t="shared" si="5"/>
        <v>19</v>
      </c>
      <c r="C28" s="644" t="s">
        <v>974</v>
      </c>
      <c r="D28" s="895">
        <v>456</v>
      </c>
      <c r="E28" s="875" t="s">
        <v>975</v>
      </c>
      <c r="F28" s="900">
        <v>0</v>
      </c>
      <c r="G28" s="900">
        <v>-40000</v>
      </c>
      <c r="H28" s="900">
        <v>-22500</v>
      </c>
      <c r="I28" s="900">
        <v>0</v>
      </c>
      <c r="J28" s="900">
        <v>0</v>
      </c>
      <c r="K28" s="900">
        <v>-20000</v>
      </c>
      <c r="L28" s="121">
        <v>0</v>
      </c>
      <c r="M28" s="107">
        <f t="shared" si="3"/>
        <v>19</v>
      </c>
      <c r="N28" s="1209"/>
      <c r="O28" s="107">
        <f t="shared" si="2"/>
        <v>19</v>
      </c>
      <c r="P28" s="644" t="str">
        <f t="shared" si="19"/>
        <v>4371806</v>
      </c>
      <c r="Q28" s="895">
        <f t="shared" si="19"/>
        <v>456</v>
      </c>
      <c r="R28" s="875" t="str">
        <f t="shared" si="19"/>
        <v>Elec-Trans Fees/Rev</v>
      </c>
      <c r="S28" s="900">
        <v>0</v>
      </c>
      <c r="T28" s="900">
        <v>0</v>
      </c>
      <c r="U28" s="900">
        <v>0</v>
      </c>
      <c r="V28" s="900">
        <v>0</v>
      </c>
      <c r="W28" s="900">
        <v>-4000</v>
      </c>
      <c r="X28" s="121">
        <f t="shared" si="8"/>
        <v>-86500</v>
      </c>
      <c r="Y28" s="107">
        <f t="shared" ref="Y28" si="21">Y27+1</f>
        <v>19</v>
      </c>
      <c r="Z28" s="1209"/>
      <c r="AI28" s="6"/>
    </row>
    <row r="29" spans="1:35" s="2" customFormat="1" x14ac:dyDescent="0.25">
      <c r="A29" s="1209"/>
      <c r="B29" s="107">
        <f t="shared" si="5"/>
        <v>20</v>
      </c>
      <c r="C29" s="644"/>
      <c r="D29" s="895"/>
      <c r="E29" s="875"/>
      <c r="F29" s="233"/>
      <c r="G29" s="6"/>
      <c r="H29" s="233"/>
      <c r="I29" s="6"/>
      <c r="J29" s="233"/>
      <c r="K29" s="6"/>
      <c r="L29" s="574"/>
      <c r="M29" s="107">
        <f t="shared" si="3"/>
        <v>20</v>
      </c>
      <c r="N29" s="1209"/>
      <c r="O29" s="107">
        <f t="shared" si="2"/>
        <v>20</v>
      </c>
      <c r="P29" s="644"/>
      <c r="Q29" s="895"/>
      <c r="R29" s="875"/>
      <c r="S29" s="6"/>
      <c r="T29" s="233"/>
      <c r="U29" s="6"/>
      <c r="V29" s="233"/>
      <c r="W29" s="6"/>
      <c r="X29" s="574"/>
      <c r="Y29" s="107">
        <f t="shared" ref="Y29" si="22">Y28+1</f>
        <v>20</v>
      </c>
      <c r="Z29" s="1209"/>
      <c r="AI29" s="6"/>
    </row>
    <row r="30" spans="1:35" s="2" customFormat="1" ht="18.75" x14ac:dyDescent="0.25">
      <c r="A30" s="1209"/>
      <c r="B30" s="107">
        <f t="shared" si="5"/>
        <v>21</v>
      </c>
      <c r="C30" s="644"/>
      <c r="D30" s="895"/>
      <c r="E30" s="273" t="s">
        <v>976</v>
      </c>
      <c r="F30" s="354">
        <f t="shared" ref="F30:L30" si="23">SUM(F17:F29)</f>
        <v>-1259167</v>
      </c>
      <c r="G30" s="594">
        <f t="shared" si="23"/>
        <v>-601435</v>
      </c>
      <c r="H30" s="594">
        <f t="shared" si="23"/>
        <v>-496619</v>
      </c>
      <c r="I30" s="594">
        <f t="shared" si="23"/>
        <v>-449693</v>
      </c>
      <c r="J30" s="594">
        <f t="shared" si="23"/>
        <v>-461412</v>
      </c>
      <c r="K30" s="594">
        <f t="shared" si="23"/>
        <v>-576138</v>
      </c>
      <c r="L30" s="648">
        <f t="shared" si="23"/>
        <v>-529984</v>
      </c>
      <c r="M30" s="107">
        <f t="shared" si="3"/>
        <v>21</v>
      </c>
      <c r="N30" s="1209"/>
      <c r="O30" s="107">
        <f t="shared" si="2"/>
        <v>21</v>
      </c>
      <c r="P30" s="644"/>
      <c r="Q30" s="895"/>
      <c r="R30" s="273" t="s">
        <v>976</v>
      </c>
      <c r="S30" s="594">
        <f>SUM(S17:S29)</f>
        <v>-501607</v>
      </c>
      <c r="T30" s="594">
        <f>SUM(T17:T29)</f>
        <v>-500090</v>
      </c>
      <c r="U30" s="594">
        <f>SUM(U17:U29)</f>
        <v>-528958</v>
      </c>
      <c r="V30" s="594">
        <f>SUM(V17:V29)</f>
        <v>-505372</v>
      </c>
      <c r="W30" s="594">
        <f>SUM(W17:W29)</f>
        <v>-230177</v>
      </c>
      <c r="X30" s="648">
        <f>SUM(X17:X28)</f>
        <v>-6640652</v>
      </c>
      <c r="Y30" s="107">
        <f t="shared" ref="Y30" si="24">Y29+1</f>
        <v>21</v>
      </c>
      <c r="Z30" s="1209"/>
      <c r="AI30" s="6"/>
    </row>
    <row r="31" spans="1:35" s="2" customFormat="1" ht="16.5" thickBot="1" x14ac:dyDescent="0.3">
      <c r="A31" s="1209"/>
      <c r="B31" s="107">
        <f t="shared" si="5"/>
        <v>22</v>
      </c>
      <c r="C31" s="649"/>
      <c r="D31" s="650"/>
      <c r="E31" s="642"/>
      <c r="F31" s="182"/>
      <c r="G31" s="894"/>
      <c r="H31" s="182"/>
      <c r="I31" s="894"/>
      <c r="J31" s="182"/>
      <c r="K31" s="894"/>
      <c r="L31" s="183"/>
      <c r="M31" s="107">
        <f t="shared" si="3"/>
        <v>22</v>
      </c>
      <c r="N31" s="1209"/>
      <c r="O31" s="107">
        <f t="shared" si="2"/>
        <v>22</v>
      </c>
      <c r="P31" s="649"/>
      <c r="Q31" s="650"/>
      <c r="R31" s="642"/>
      <c r="S31" s="894"/>
      <c r="T31" s="182"/>
      <c r="U31" s="894"/>
      <c r="V31" s="182"/>
      <c r="W31" s="894"/>
      <c r="X31" s="183"/>
      <c r="Y31" s="107">
        <f t="shared" ref="Y31" si="25">Y30+1</f>
        <v>22</v>
      </c>
      <c r="Z31" s="1209"/>
      <c r="AI31" s="6"/>
    </row>
    <row r="32" spans="1:35" s="2" customFormat="1" ht="18.75" x14ac:dyDescent="0.25">
      <c r="A32" s="1209"/>
      <c r="B32" s="107">
        <f t="shared" si="5"/>
        <v>23</v>
      </c>
      <c r="C32" s="644"/>
      <c r="D32" s="895" t="s">
        <v>977</v>
      </c>
      <c r="E32" s="595" t="s">
        <v>978</v>
      </c>
      <c r="F32" s="123">
        <v>-50635</v>
      </c>
      <c r="G32" s="125">
        <v>-50636</v>
      </c>
      <c r="H32" s="233">
        <v>-50635</v>
      </c>
      <c r="I32" s="6">
        <v>-50636</v>
      </c>
      <c r="J32" s="233">
        <v>-50635</v>
      </c>
      <c r="K32" s="6">
        <v>-50636</v>
      </c>
      <c r="L32" s="574">
        <v>-50635</v>
      </c>
      <c r="M32" s="107">
        <f t="shared" si="3"/>
        <v>23</v>
      </c>
      <c r="N32" s="1209"/>
      <c r="O32" s="107">
        <f t="shared" si="2"/>
        <v>23</v>
      </c>
      <c r="P32" s="644"/>
      <c r="Q32" s="895" t="str">
        <f>D32</f>
        <v>Various</v>
      </c>
      <c r="R32" s="595" t="s">
        <v>978</v>
      </c>
      <c r="S32" s="123">
        <v>-50636</v>
      </c>
      <c r="T32" s="123">
        <v>-50635</v>
      </c>
      <c r="U32" s="123">
        <v>-50636</v>
      </c>
      <c r="V32" s="123">
        <v>-50635</v>
      </c>
      <c r="W32" s="129">
        <v>-50636</v>
      </c>
      <c r="X32" s="574">
        <f>SUM(F32:L32,S32:W32)</f>
        <v>-607626</v>
      </c>
      <c r="Y32" s="107">
        <f t="shared" ref="Y32" si="26">Y31+1</f>
        <v>23</v>
      </c>
      <c r="Z32" s="1209"/>
      <c r="AI32" s="6"/>
    </row>
    <row r="33" spans="1:35" s="2" customFormat="1" ht="18.75" x14ac:dyDescent="0.25">
      <c r="A33" s="1209"/>
      <c r="B33" s="107">
        <f t="shared" si="5"/>
        <v>24</v>
      </c>
      <c r="C33" s="651"/>
      <c r="D33" s="826" t="s">
        <v>977</v>
      </c>
      <c r="E33" s="827" t="s">
        <v>979</v>
      </c>
      <c r="F33" s="900">
        <v>-15584</v>
      </c>
      <c r="G33" s="900">
        <v>-15584</v>
      </c>
      <c r="H33" s="900">
        <v>-15585</v>
      </c>
      <c r="I33" s="900">
        <v>-15584</v>
      </c>
      <c r="J33" s="900">
        <v>-15584</v>
      </c>
      <c r="K33" s="900">
        <v>-15584</v>
      </c>
      <c r="L33" s="121">
        <v>-15584</v>
      </c>
      <c r="M33" s="107">
        <f t="shared" si="3"/>
        <v>24</v>
      </c>
      <c r="N33" s="1209"/>
      <c r="O33" s="107">
        <f t="shared" si="2"/>
        <v>24</v>
      </c>
      <c r="P33" s="651"/>
      <c r="Q33" s="826" t="s">
        <v>977</v>
      </c>
      <c r="R33" s="827" t="s">
        <v>979</v>
      </c>
      <c r="S33" s="900">
        <v>-15585</v>
      </c>
      <c r="T33" s="900">
        <v>-15584</v>
      </c>
      <c r="U33" s="900">
        <v>-15584</v>
      </c>
      <c r="V33" s="900">
        <v>-15584</v>
      </c>
      <c r="W33" s="900">
        <v>-15584</v>
      </c>
      <c r="X33" s="121">
        <f>SUM(F33:L33,S33:W33)</f>
        <v>-187010</v>
      </c>
      <c r="Y33" s="107">
        <f t="shared" ref="Y33" si="27">Y32+1</f>
        <v>24</v>
      </c>
      <c r="Z33" s="1209"/>
      <c r="AI33" s="6"/>
    </row>
    <row r="34" spans="1:35" s="2" customFormat="1" x14ac:dyDescent="0.25">
      <c r="A34" s="1209"/>
      <c r="B34" s="107">
        <f t="shared" si="5"/>
        <v>25</v>
      </c>
      <c r="C34" s="652"/>
      <c r="D34" s="233"/>
      <c r="E34" s="646"/>
      <c r="F34" s="125"/>
      <c r="G34" s="125"/>
      <c r="H34" s="125"/>
      <c r="I34" s="125"/>
      <c r="J34" s="125"/>
      <c r="K34" s="125"/>
      <c r="L34" s="574"/>
      <c r="M34" s="107">
        <f t="shared" si="3"/>
        <v>25</v>
      </c>
      <c r="N34" s="1209"/>
      <c r="O34" s="107">
        <f t="shared" si="2"/>
        <v>25</v>
      </c>
      <c r="P34" s="652"/>
      <c r="Q34" s="233"/>
      <c r="R34" s="646"/>
      <c r="S34" s="125"/>
      <c r="T34" s="125"/>
      <c r="U34" s="125"/>
      <c r="V34" s="125"/>
      <c r="W34" s="125"/>
      <c r="X34" s="574"/>
      <c r="Y34" s="107">
        <f t="shared" ref="Y34" si="28">Y33+1</f>
        <v>25</v>
      </c>
      <c r="Z34" s="1209"/>
    </row>
    <row r="35" spans="1:35" s="2" customFormat="1" x14ac:dyDescent="0.25">
      <c r="A35" s="1209"/>
      <c r="B35" s="107">
        <f t="shared" si="5"/>
        <v>26</v>
      </c>
      <c r="C35" s="653"/>
      <c r="D35" s="896"/>
      <c r="E35" s="340" t="s">
        <v>929</v>
      </c>
      <c r="F35" s="600">
        <f>SUM(F32:F34)</f>
        <v>-66219</v>
      </c>
      <c r="G35" s="600">
        <f t="shared" ref="G35:L35" si="29">SUM(G32:G34)</f>
        <v>-66220</v>
      </c>
      <c r="H35" s="600">
        <f t="shared" si="29"/>
        <v>-66220</v>
      </c>
      <c r="I35" s="600">
        <f t="shared" si="29"/>
        <v>-66220</v>
      </c>
      <c r="J35" s="600">
        <f t="shared" si="29"/>
        <v>-66219</v>
      </c>
      <c r="K35" s="600">
        <f t="shared" si="29"/>
        <v>-66220</v>
      </c>
      <c r="L35" s="126">
        <f t="shared" si="29"/>
        <v>-66219</v>
      </c>
      <c r="M35" s="107">
        <f t="shared" si="3"/>
        <v>26</v>
      </c>
      <c r="N35" s="1209"/>
      <c r="O35" s="107">
        <f t="shared" si="2"/>
        <v>26</v>
      </c>
      <c r="P35" s="653"/>
      <c r="Q35" s="896"/>
      <c r="R35" s="654" t="str">
        <f t="shared" ref="R35" si="30">E35</f>
        <v>Electric Transmission Revenues from Citizens</v>
      </c>
      <c r="S35" s="600">
        <f>SUM(S32:S34)</f>
        <v>-66221</v>
      </c>
      <c r="T35" s="600">
        <f t="shared" ref="T35:W35" si="31">SUM(T32:T34)</f>
        <v>-66219</v>
      </c>
      <c r="U35" s="600">
        <f t="shared" si="31"/>
        <v>-66220</v>
      </c>
      <c r="V35" s="600">
        <f t="shared" si="31"/>
        <v>-66219</v>
      </c>
      <c r="W35" s="600">
        <f t="shared" si="31"/>
        <v>-66220</v>
      </c>
      <c r="X35" s="126">
        <f>SUM(X32:X34)</f>
        <v>-794636</v>
      </c>
      <c r="Y35" s="107">
        <f t="shared" ref="Y35" si="32">Y34+1</f>
        <v>26</v>
      </c>
      <c r="Z35" s="1209"/>
    </row>
    <row r="36" spans="1:35" s="2" customFormat="1" x14ac:dyDescent="0.25">
      <c r="A36" s="1209"/>
      <c r="B36" s="107">
        <f t="shared" si="5"/>
        <v>27</v>
      </c>
      <c r="C36" s="653"/>
      <c r="D36" s="896"/>
      <c r="E36" s="340"/>
      <c r="F36" s="594"/>
      <c r="G36" s="594"/>
      <c r="H36" s="594"/>
      <c r="I36" s="354"/>
      <c r="J36" s="87"/>
      <c r="K36" s="594"/>
      <c r="L36" s="648"/>
      <c r="M36" s="107">
        <f t="shared" si="3"/>
        <v>27</v>
      </c>
      <c r="N36" s="1209"/>
      <c r="O36" s="107">
        <f t="shared" si="2"/>
        <v>27</v>
      </c>
      <c r="P36" s="653"/>
      <c r="Q36" s="896"/>
      <c r="R36" s="654"/>
      <c r="S36" s="60"/>
      <c r="T36" s="87"/>
      <c r="U36" s="354"/>
      <c r="V36" s="87"/>
      <c r="W36" s="354"/>
      <c r="X36" s="658"/>
      <c r="Y36" s="107">
        <f t="shared" ref="Y36" si="33">Y35+1</f>
        <v>27</v>
      </c>
      <c r="Z36" s="1209"/>
    </row>
    <row r="37" spans="1:35" s="2" customFormat="1" x14ac:dyDescent="0.25">
      <c r="A37" s="1209"/>
      <c r="B37" s="107">
        <f t="shared" si="5"/>
        <v>28</v>
      </c>
      <c r="C37" s="653"/>
      <c r="D37" s="896"/>
      <c r="E37" s="655"/>
      <c r="F37" s="87"/>
      <c r="G37" s="354"/>
      <c r="H37" s="87"/>
      <c r="I37" s="354"/>
      <c r="J37" s="87"/>
      <c r="K37" s="594"/>
      <c r="L37" s="648"/>
      <c r="M37" s="107">
        <f t="shared" si="3"/>
        <v>28</v>
      </c>
      <c r="N37" s="1209"/>
      <c r="O37" s="107">
        <f t="shared" si="2"/>
        <v>28</v>
      </c>
      <c r="P37" s="656"/>
      <c r="Q37" s="657"/>
      <c r="R37" s="892"/>
      <c r="S37" s="60"/>
      <c r="T37" s="87"/>
      <c r="U37" s="354"/>
      <c r="V37" s="87"/>
      <c r="W37" s="354"/>
      <c r="X37" s="658"/>
      <c r="Y37" s="107">
        <f t="shared" ref="Y37" si="34">Y36+1</f>
        <v>28</v>
      </c>
      <c r="Z37" s="1209"/>
    </row>
    <row r="38" spans="1:35" s="3" customFormat="1" ht="16.5" thickBot="1" x14ac:dyDescent="0.3">
      <c r="A38" s="1209"/>
      <c r="B38" s="107">
        <f t="shared" si="5"/>
        <v>29</v>
      </c>
      <c r="C38" s="659" t="s">
        <v>980</v>
      </c>
      <c r="E38" s="897"/>
      <c r="F38" s="102">
        <f t="shared" ref="F38:L38" si="35">F15+F30+F35</f>
        <v>-1383542</v>
      </c>
      <c r="G38" s="99">
        <f t="shared" si="35"/>
        <v>-742384</v>
      </c>
      <c r="H38" s="102">
        <f t="shared" si="35"/>
        <v>-632616</v>
      </c>
      <c r="I38" s="99">
        <f t="shared" si="35"/>
        <v>-595761</v>
      </c>
      <c r="J38" s="102">
        <f t="shared" si="35"/>
        <v>-598130</v>
      </c>
      <c r="K38" s="99">
        <f t="shared" si="35"/>
        <v>-724019</v>
      </c>
      <c r="L38" s="127">
        <f t="shared" si="35"/>
        <v>-670091</v>
      </c>
      <c r="M38" s="107">
        <f t="shared" si="3"/>
        <v>29</v>
      </c>
      <c r="N38" s="1209"/>
      <c r="O38" s="107">
        <f t="shared" si="2"/>
        <v>29</v>
      </c>
      <c r="P38" s="659" t="str">
        <f>C38</f>
        <v>Total Miscellaneous Revenue</v>
      </c>
      <c r="R38" s="897"/>
      <c r="S38" s="99">
        <f t="shared" ref="S38:X38" si="36">S15+S30+S35</f>
        <v>-699325</v>
      </c>
      <c r="T38" s="102">
        <f t="shared" si="36"/>
        <v>-1245529</v>
      </c>
      <c r="U38" s="99">
        <f t="shared" si="36"/>
        <v>-696242</v>
      </c>
      <c r="V38" s="102">
        <f t="shared" si="36"/>
        <v>-646575</v>
      </c>
      <c r="W38" s="99">
        <f t="shared" si="36"/>
        <v>-916336</v>
      </c>
      <c r="X38" s="127">
        <f t="shared" si="36"/>
        <v>-9550550</v>
      </c>
      <c r="Y38" s="107">
        <f t="shared" ref="Y38" si="37">Y37+1</f>
        <v>29</v>
      </c>
      <c r="Z38" s="1209"/>
    </row>
    <row r="39" spans="1:35" ht="17.25" thickTop="1" thickBot="1" x14ac:dyDescent="0.3">
      <c r="A39" s="1209"/>
      <c r="B39" s="107">
        <f t="shared" si="5"/>
        <v>30</v>
      </c>
      <c r="C39" s="206"/>
      <c r="D39" s="863"/>
      <c r="E39" s="207"/>
      <c r="F39" s="863"/>
      <c r="G39" s="207"/>
      <c r="H39" s="863"/>
      <c r="I39" s="207"/>
      <c r="J39" s="863"/>
      <c r="K39" s="207"/>
      <c r="L39" s="598"/>
      <c r="M39" s="107">
        <f t="shared" si="3"/>
        <v>30</v>
      </c>
      <c r="N39" s="1209"/>
      <c r="O39" s="107">
        <f t="shared" si="2"/>
        <v>30</v>
      </c>
      <c r="P39" s="206"/>
      <c r="Q39" s="863"/>
      <c r="R39" s="207"/>
      <c r="S39" s="207"/>
      <c r="T39" s="863"/>
      <c r="U39" s="207"/>
      <c r="V39" s="863"/>
      <c r="W39" s="130"/>
      <c r="X39" s="131"/>
      <c r="Y39" s="107">
        <f t="shared" ref="Y39" si="38">Y38+1</f>
        <v>30</v>
      </c>
      <c r="Z39" s="1209"/>
    </row>
    <row r="40" spans="1:35" x14ac:dyDescent="0.25">
      <c r="B40" s="107"/>
      <c r="M40" s="107"/>
      <c r="N40" s="107"/>
      <c r="O40" s="107"/>
      <c r="Y40" s="107"/>
    </row>
    <row r="41" spans="1:35" x14ac:dyDescent="0.25">
      <c r="B41" s="218"/>
      <c r="C41" s="1"/>
    </row>
    <row r="42" spans="1:35" ht="18.75" x14ac:dyDescent="0.25">
      <c r="B42" s="266">
        <v>1</v>
      </c>
      <c r="C42" s="31" t="s">
        <v>981</v>
      </c>
      <c r="O42" s="266">
        <f>B42</f>
        <v>1</v>
      </c>
      <c r="P42" s="31" t="str">
        <f>C42</f>
        <v>The total Rent from Electric Property in FERC Form 1; Page 300-301; Line 19; Col. b includes both Distribution and Transmission rents. The Total Transmission-related Rents from Electric</v>
      </c>
    </row>
    <row r="43" spans="1:35" x14ac:dyDescent="0.25">
      <c r="C43" s="31" t="s">
        <v>1488</v>
      </c>
      <c r="P43" s="31" t="str">
        <f>C43</f>
        <v xml:space="preserve">Property is reflected in Col. (m) of this schedule. </v>
      </c>
    </row>
    <row r="44" spans="1:35" ht="18.75" x14ac:dyDescent="0.25">
      <c r="B44" s="266">
        <v>2</v>
      </c>
      <c r="C44" s="31" t="s">
        <v>982</v>
      </c>
      <c r="O44" s="266">
        <f>B44</f>
        <v>2</v>
      </c>
      <c r="P44" s="31" t="str">
        <f>C44</f>
        <v>The total Other Electric Revenues in FERC Form 1; Page 300-301; Line 21; Col. b includes other revenues for both Distribution and Transmission. The Total Transmission-related piece of Other</v>
      </c>
    </row>
    <row r="45" spans="1:35" x14ac:dyDescent="0.25">
      <c r="C45" s="31" t="s">
        <v>983</v>
      </c>
      <c r="P45" s="31" t="str">
        <f>C45</f>
        <v>Revenues is reflected in Col. (m) of this schedule and ties to the footnotes on FERC Form 1; Page 300-301; Footnote Data (c).</v>
      </c>
    </row>
    <row r="46" spans="1:35" ht="18.75" x14ac:dyDescent="0.25">
      <c r="B46" s="266">
        <v>3</v>
      </c>
      <c r="C46" s="31" t="s">
        <v>984</v>
      </c>
      <c r="O46" s="266">
        <f>B46</f>
        <v>3</v>
      </c>
      <c r="P46" s="31" t="str">
        <f>C46</f>
        <v>The Electric Transmission Revenue for Citizens in this statement is to provide ratepayers a credit for Citizens' share of Transmission-related Common and General Plant, Transmission-related</v>
      </c>
    </row>
    <row r="47" spans="1:35" x14ac:dyDescent="0.25">
      <c r="C47" s="31" t="s">
        <v>985</v>
      </c>
      <c r="P47" s="31" t="str">
        <f>C47</f>
        <v>Working Capital Revenue, and Franchise Fees.</v>
      </c>
    </row>
    <row r="52" spans="3:6" x14ac:dyDescent="0.25">
      <c r="C52" s="825"/>
      <c r="F52" s="218"/>
    </row>
    <row r="53" spans="3:6" x14ac:dyDescent="0.25">
      <c r="C53" s="825"/>
      <c r="F53" s="218"/>
    </row>
    <row r="54" spans="3:6" x14ac:dyDescent="0.25">
      <c r="C54" s="825"/>
      <c r="F54" s="218"/>
    </row>
  </sheetData>
  <mergeCells count="8">
    <mergeCell ref="C2:L2"/>
    <mergeCell ref="C3:L3"/>
    <mergeCell ref="C4:L4"/>
    <mergeCell ref="C5:L5"/>
    <mergeCell ref="P2:X2"/>
    <mergeCell ref="P3:X3"/>
    <mergeCell ref="P4:X4"/>
    <mergeCell ref="P5:X5"/>
  </mergeCells>
  <phoneticPr fontId="56" type="noConversion"/>
  <printOptions horizontalCentered="1"/>
  <pageMargins left="0.25" right="0.25" top="0.5" bottom="0.5" header="0.25" footer="0.25"/>
  <pageSetup scale="68"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3" max="1048575" man="1"/>
  </colBreaks>
  <customProperties>
    <customPr name="_pios_id" r:id="rId2"/>
  </customProperties>
  <ignoredErrors>
    <ignoredError sqref="X10" formulaRange="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K277"/>
  <sheetViews>
    <sheetView topLeftCell="A4" zoomScaleNormal="100" workbookViewId="0">
      <selection activeCell="K21" sqref="K21"/>
    </sheetView>
  </sheetViews>
  <sheetFormatPr defaultColWidth="8.7109375" defaultRowHeight="15.75" x14ac:dyDescent="0.25"/>
  <cols>
    <col min="1" max="1" width="5.28515625" style="4" customWidth="1"/>
    <col min="2" max="2" width="55.42578125" style="31" customWidth="1"/>
    <col min="3" max="4" width="15.5703125" style="31" customWidth="1"/>
    <col min="5" max="5" width="1.5703125" style="31" customWidth="1"/>
    <col min="6" max="6" width="16.7109375" style="31" customWidth="1"/>
    <col min="7" max="7" width="1.5703125" style="31" customWidth="1"/>
    <col min="8" max="8" width="38.7109375" style="256" customWidth="1"/>
    <col min="9" max="9" width="5.28515625" style="31" customWidth="1"/>
    <col min="10" max="10" width="16.28515625" style="31" bestFit="1" customWidth="1"/>
    <col min="11" max="11" width="10.42578125" style="31" bestFit="1" customWidth="1"/>
    <col min="12" max="16384" width="8.7109375" style="31"/>
  </cols>
  <sheetData>
    <row r="2" spans="1:11" x14ac:dyDescent="0.25">
      <c r="B2" s="1294" t="s">
        <v>0</v>
      </c>
      <c r="C2" s="1294"/>
      <c r="D2" s="1294"/>
      <c r="E2" s="1294"/>
      <c r="F2" s="1294"/>
      <c r="G2" s="1294"/>
      <c r="H2" s="1294"/>
      <c r="I2" s="4"/>
    </row>
    <row r="3" spans="1:11" x14ac:dyDescent="0.25">
      <c r="B3" s="1294" t="s">
        <v>986</v>
      </c>
      <c r="C3" s="1294"/>
      <c r="D3" s="1294"/>
      <c r="E3" s="1294"/>
      <c r="F3" s="1294"/>
      <c r="G3" s="1294"/>
      <c r="H3" s="1294"/>
      <c r="I3" s="4"/>
    </row>
    <row r="4" spans="1:11" x14ac:dyDescent="0.25">
      <c r="B4" s="1294" t="s">
        <v>987</v>
      </c>
      <c r="C4" s="1294"/>
      <c r="D4" s="1294"/>
      <c r="E4" s="1294"/>
      <c r="F4" s="1294"/>
      <c r="G4" s="1294"/>
      <c r="H4" s="1294"/>
      <c r="I4" s="4"/>
    </row>
    <row r="5" spans="1:11" x14ac:dyDescent="0.25">
      <c r="B5" s="1300" t="str">
        <f>'Stmt AD'!B5</f>
        <v>Base Period &amp; True-Up Period 12 - Months Ending December 31, 2023</v>
      </c>
      <c r="C5" s="1300"/>
      <c r="D5" s="1300"/>
      <c r="E5" s="1300"/>
      <c r="F5" s="1300"/>
      <c r="G5" s="1300"/>
      <c r="H5" s="1300"/>
      <c r="I5" s="4"/>
    </row>
    <row r="6" spans="1:11" x14ac:dyDescent="0.25">
      <c r="B6" s="1299" t="s">
        <v>4</v>
      </c>
      <c r="C6" s="1295"/>
      <c r="D6" s="1295"/>
      <c r="E6" s="1295"/>
      <c r="F6" s="1295"/>
      <c r="G6" s="1295"/>
      <c r="H6" s="1295"/>
      <c r="I6" s="4"/>
    </row>
    <row r="7" spans="1:11" x14ac:dyDescent="0.25">
      <c r="B7" s="4"/>
      <c r="C7" s="4"/>
      <c r="D7" s="4"/>
      <c r="E7" s="4"/>
      <c r="F7" s="4"/>
      <c r="G7" s="4"/>
      <c r="H7" s="91"/>
      <c r="I7" s="4"/>
    </row>
    <row r="8" spans="1:11" x14ac:dyDescent="0.25">
      <c r="A8" s="4" t="s">
        <v>5</v>
      </c>
      <c r="B8" s="218"/>
      <c r="C8" s="218"/>
      <c r="D8" s="4" t="s">
        <v>205</v>
      </c>
      <c r="E8" s="218"/>
      <c r="F8" s="218"/>
      <c r="G8" s="218"/>
      <c r="H8" s="91"/>
      <c r="I8" s="4" t="s">
        <v>5</v>
      </c>
    </row>
    <row r="9" spans="1:11" x14ac:dyDescent="0.25">
      <c r="A9" s="4" t="s">
        <v>6</v>
      </c>
      <c r="B9" s="4"/>
      <c r="C9" s="4"/>
      <c r="D9" s="849" t="s">
        <v>207</v>
      </c>
      <c r="E9" s="4"/>
      <c r="F9" s="850" t="s">
        <v>7</v>
      </c>
      <c r="G9" s="218"/>
      <c r="H9" s="851" t="s">
        <v>8</v>
      </c>
      <c r="I9" s="4" t="s">
        <v>6</v>
      </c>
    </row>
    <row r="10" spans="1:11" x14ac:dyDescent="0.25">
      <c r="B10" s="4"/>
      <c r="C10" s="4"/>
      <c r="D10" s="4"/>
      <c r="E10" s="4"/>
      <c r="F10" s="4"/>
      <c r="G10" s="4"/>
      <c r="H10" s="91"/>
      <c r="I10" s="4"/>
    </row>
    <row r="11" spans="1:11" x14ac:dyDescent="0.25">
      <c r="A11" s="4">
        <v>1</v>
      </c>
      <c r="B11" s="251" t="s">
        <v>988</v>
      </c>
      <c r="H11" s="91"/>
      <c r="I11" s="4">
        <f>A11</f>
        <v>1</v>
      </c>
    </row>
    <row r="12" spans="1:11" x14ac:dyDescent="0.25">
      <c r="A12" s="4">
        <f>A11+1</f>
        <v>2</v>
      </c>
      <c r="B12" s="31" t="s">
        <v>989</v>
      </c>
      <c r="D12" s="4" t="s">
        <v>990</v>
      </c>
      <c r="F12" s="40">
        <v>8350000</v>
      </c>
      <c r="G12" s="218"/>
      <c r="H12" s="463"/>
      <c r="I12" s="4">
        <f>I11+1</f>
        <v>2</v>
      </c>
    </row>
    <row r="13" spans="1:11" x14ac:dyDescent="0.25">
      <c r="A13" s="4">
        <f t="shared" ref="A13:A77" si="0">A12+1</f>
        <v>3</v>
      </c>
      <c r="B13" s="31" t="s">
        <v>991</v>
      </c>
      <c r="D13" s="4" t="s">
        <v>992</v>
      </c>
      <c r="F13" s="42">
        <v>0</v>
      </c>
      <c r="G13" s="218"/>
      <c r="H13" s="463"/>
      <c r="I13" s="4">
        <f t="shared" ref="I13:I77" si="1">I12+1</f>
        <v>3</v>
      </c>
    </row>
    <row r="14" spans="1:11" x14ac:dyDescent="0.25">
      <c r="A14" s="4">
        <f t="shared" si="0"/>
        <v>4</v>
      </c>
      <c r="B14" s="31" t="s">
        <v>993</v>
      </c>
      <c r="D14" s="4" t="s">
        <v>994</v>
      </c>
      <c r="F14" s="908">
        <v>400000</v>
      </c>
      <c r="G14" s="218"/>
      <c r="H14" s="463"/>
      <c r="I14" s="4">
        <f t="shared" si="1"/>
        <v>4</v>
      </c>
    </row>
    <row r="15" spans="1:11" x14ac:dyDescent="0.25">
      <c r="A15" s="4">
        <f t="shared" si="0"/>
        <v>5</v>
      </c>
      <c r="B15" s="31" t="s">
        <v>1862</v>
      </c>
      <c r="D15" s="4"/>
      <c r="F15" s="1265">
        <f>SUM(F12:F14)</f>
        <v>8750000</v>
      </c>
      <c r="G15" s="218"/>
      <c r="H15" s="91" t="s">
        <v>1552</v>
      </c>
      <c r="I15" s="4">
        <f t="shared" ref="I15" si="2">I14+1</f>
        <v>5</v>
      </c>
      <c r="J15" s="358"/>
      <c r="K15" s="277"/>
    </row>
    <row r="16" spans="1:11" x14ac:dyDescent="0.25">
      <c r="A16" s="4">
        <f t="shared" si="0"/>
        <v>6</v>
      </c>
      <c r="B16" s="31" t="s">
        <v>995</v>
      </c>
      <c r="D16" s="4" t="s">
        <v>996</v>
      </c>
      <c r="F16" s="42">
        <v>0</v>
      </c>
      <c r="G16" s="218"/>
      <c r="H16" s="463"/>
      <c r="I16" s="4">
        <f t="shared" ref="I16" si="3">I15+1</f>
        <v>6</v>
      </c>
      <c r="J16" s="358"/>
    </row>
    <row r="17" spans="1:11" x14ac:dyDescent="0.25">
      <c r="A17" s="4">
        <f t="shared" si="0"/>
        <v>7</v>
      </c>
      <c r="B17" s="31" t="s">
        <v>997</v>
      </c>
      <c r="D17" s="4" t="s">
        <v>998</v>
      </c>
      <c r="F17" s="908">
        <v>-29212.842000000001</v>
      </c>
      <c r="G17" s="218"/>
      <c r="H17" s="463"/>
      <c r="I17" s="4">
        <f t="shared" ref="I17" si="4">I16+1</f>
        <v>7</v>
      </c>
      <c r="J17" s="358"/>
    </row>
    <row r="18" spans="1:11" x14ac:dyDescent="0.25">
      <c r="A18" s="4">
        <f t="shared" si="0"/>
        <v>8</v>
      </c>
      <c r="B18" s="31" t="s">
        <v>1982</v>
      </c>
      <c r="F18" s="1118">
        <f>SUM(F15:F17)</f>
        <v>8720787.1579999998</v>
      </c>
      <c r="G18" s="35"/>
      <c r="H18" s="91" t="s">
        <v>1983</v>
      </c>
      <c r="I18" s="4">
        <f t="shared" ref="I18" si="5">I17+1</f>
        <v>8</v>
      </c>
      <c r="J18" s="358"/>
      <c r="K18" s="277"/>
    </row>
    <row r="19" spans="1:11" x14ac:dyDescent="0.25">
      <c r="A19" s="4">
        <f t="shared" si="0"/>
        <v>9</v>
      </c>
      <c r="H19" s="91"/>
      <c r="I19" s="4">
        <f t="shared" ref="I19" si="6">I18+1</f>
        <v>9</v>
      </c>
      <c r="J19" s="358"/>
    </row>
    <row r="20" spans="1:11" x14ac:dyDescent="0.25">
      <c r="A20" s="4">
        <f t="shared" si="0"/>
        <v>10</v>
      </c>
      <c r="B20" s="251" t="s">
        <v>999</v>
      </c>
      <c r="F20" s="6"/>
      <c r="G20" s="6"/>
      <c r="H20" s="91"/>
      <c r="I20" s="4">
        <f t="shared" si="1"/>
        <v>10</v>
      </c>
      <c r="J20" s="358"/>
    </row>
    <row r="21" spans="1:11" x14ac:dyDescent="0.25">
      <c r="A21" s="4">
        <f t="shared" si="0"/>
        <v>11</v>
      </c>
      <c r="B21" s="31" t="s">
        <v>1000</v>
      </c>
      <c r="D21" s="4" t="s">
        <v>1001</v>
      </c>
      <c r="F21" s="40">
        <v>340601.527</v>
      </c>
      <c r="G21" s="218"/>
      <c r="H21" s="463"/>
      <c r="I21" s="4">
        <f t="shared" si="1"/>
        <v>11</v>
      </c>
      <c r="J21" s="358"/>
    </row>
    <row r="22" spans="1:11" x14ac:dyDescent="0.25">
      <c r="A22" s="4">
        <f t="shared" si="0"/>
        <v>12</v>
      </c>
      <c r="B22" s="31" t="s">
        <v>1002</v>
      </c>
      <c r="D22" s="4" t="s">
        <v>1003</v>
      </c>
      <c r="F22" s="42">
        <v>6103.5349999999999</v>
      </c>
      <c r="G22" s="218"/>
      <c r="H22" s="463"/>
      <c r="I22" s="4">
        <f t="shared" si="1"/>
        <v>12</v>
      </c>
      <c r="J22" s="358"/>
    </row>
    <row r="23" spans="1:11" x14ac:dyDescent="0.25">
      <c r="A23" s="4">
        <f t="shared" si="0"/>
        <v>13</v>
      </c>
      <c r="B23" s="31" t="s">
        <v>1004</v>
      </c>
      <c r="D23" s="4" t="s">
        <v>1005</v>
      </c>
      <c r="F23" s="42">
        <v>689.16499999999996</v>
      </c>
      <c r="G23" s="218"/>
      <c r="H23" s="463"/>
      <c r="I23" s="4">
        <f t="shared" si="1"/>
        <v>13</v>
      </c>
      <c r="J23" s="358"/>
    </row>
    <row r="24" spans="1:11" x14ac:dyDescent="0.25">
      <c r="A24" s="4">
        <f t="shared" si="0"/>
        <v>14</v>
      </c>
      <c r="B24" s="31" t="s">
        <v>1006</v>
      </c>
      <c r="D24" s="4" t="s">
        <v>1007</v>
      </c>
      <c r="F24" s="42">
        <v>0</v>
      </c>
      <c r="G24" s="218"/>
      <c r="H24" s="463"/>
      <c r="I24" s="4">
        <f t="shared" si="1"/>
        <v>14</v>
      </c>
      <c r="J24" s="358"/>
    </row>
    <row r="25" spans="1:11" x14ac:dyDescent="0.25">
      <c r="A25" s="4">
        <f t="shared" si="0"/>
        <v>15</v>
      </c>
      <c r="B25" s="31" t="s">
        <v>1008</v>
      </c>
      <c r="D25" s="4" t="s">
        <v>1009</v>
      </c>
      <c r="F25" s="908">
        <v>0</v>
      </c>
      <c r="G25" s="218"/>
      <c r="H25" s="463"/>
      <c r="I25" s="4">
        <f t="shared" si="1"/>
        <v>15</v>
      </c>
      <c r="J25" s="358"/>
    </row>
    <row r="26" spans="1:11" x14ac:dyDescent="0.25">
      <c r="A26" s="4">
        <f t="shared" si="0"/>
        <v>16</v>
      </c>
      <c r="B26" s="31" t="s">
        <v>1010</v>
      </c>
      <c r="F26" s="1054">
        <f>SUM(F21:F25)</f>
        <v>347394.22699999996</v>
      </c>
      <c r="G26" s="48"/>
      <c r="H26" s="91" t="s">
        <v>1984</v>
      </c>
      <c r="I26" s="4">
        <f t="shared" si="1"/>
        <v>16</v>
      </c>
      <c r="J26" s="358"/>
    </row>
    <row r="27" spans="1:11" x14ac:dyDescent="0.25">
      <c r="A27" s="4">
        <f t="shared" si="0"/>
        <v>17</v>
      </c>
      <c r="H27" s="91"/>
      <c r="I27" s="4">
        <f t="shared" si="1"/>
        <v>17</v>
      </c>
      <c r="J27" s="358"/>
    </row>
    <row r="28" spans="1:11" ht="16.5" thickBot="1" x14ac:dyDescent="0.3">
      <c r="A28" s="4">
        <f t="shared" si="0"/>
        <v>18</v>
      </c>
      <c r="B28" s="251" t="s">
        <v>1012</v>
      </c>
      <c r="F28" s="51">
        <f>IFERROR(F26/F18,0)</f>
        <v>3.9835191560812083E-2</v>
      </c>
      <c r="G28" s="27"/>
      <c r="H28" s="91" t="s">
        <v>1985</v>
      </c>
      <c r="I28" s="4">
        <f t="shared" si="1"/>
        <v>18</v>
      </c>
      <c r="J28" s="358"/>
      <c r="K28" s="277"/>
    </row>
    <row r="29" spans="1:11" ht="17.25" thickTop="1" thickBot="1" x14ac:dyDescent="0.3">
      <c r="A29" s="862">
        <f>A28+1</f>
        <v>19</v>
      </c>
      <c r="B29" s="863"/>
      <c r="C29" s="863"/>
      <c r="D29" s="863"/>
      <c r="E29" s="863"/>
      <c r="F29" s="863"/>
      <c r="G29" s="863"/>
      <c r="H29" s="864"/>
      <c r="I29" s="862">
        <f>I28+1</f>
        <v>19</v>
      </c>
      <c r="J29" s="358"/>
    </row>
    <row r="30" spans="1:11" x14ac:dyDescent="0.25">
      <c r="A30" s="4">
        <f>A29+1</f>
        <v>20</v>
      </c>
      <c r="H30" s="91"/>
      <c r="I30" s="4">
        <f>I29+1</f>
        <v>20</v>
      </c>
      <c r="J30" s="358"/>
    </row>
    <row r="31" spans="1:11" ht="16.5" thickBot="1" x14ac:dyDescent="0.3">
      <c r="A31" s="4">
        <f>A30+1</f>
        <v>21</v>
      </c>
      <c r="B31" s="251" t="s">
        <v>1346</v>
      </c>
      <c r="C31" s="255"/>
      <c r="D31" s="255"/>
      <c r="E31" s="255"/>
      <c r="F31" s="1286">
        <v>0.1028</v>
      </c>
      <c r="G31" s="218"/>
      <c r="H31" s="4" t="s">
        <v>2027</v>
      </c>
      <c r="I31" s="4">
        <f>I30+1</f>
        <v>21</v>
      </c>
      <c r="J31" s="358"/>
      <c r="K31" s="277"/>
    </row>
    <row r="32" spans="1:11" ht="16.5" thickTop="1" x14ac:dyDescent="0.25">
      <c r="A32" s="4">
        <f t="shared" si="0"/>
        <v>22</v>
      </c>
      <c r="C32" s="34" t="s">
        <v>184</v>
      </c>
      <c r="D32" s="34" t="s">
        <v>185</v>
      </c>
      <c r="E32" s="34"/>
      <c r="F32" s="34" t="s">
        <v>2021</v>
      </c>
      <c r="G32" s="34"/>
      <c r="H32" s="91"/>
      <c r="I32" s="4">
        <f t="shared" si="1"/>
        <v>22</v>
      </c>
      <c r="J32" s="358"/>
      <c r="K32" s="277"/>
    </row>
    <row r="33" spans="1:11" x14ac:dyDescent="0.25">
      <c r="A33" s="4">
        <f t="shared" si="0"/>
        <v>23</v>
      </c>
      <c r="C33" s="4" t="s">
        <v>1030</v>
      </c>
      <c r="D33" s="4" t="s">
        <v>1031</v>
      </c>
      <c r="E33" s="4"/>
      <c r="F33" s="4" t="s">
        <v>1032</v>
      </c>
      <c r="G33" s="4"/>
      <c r="H33" s="91"/>
      <c r="I33" s="4">
        <f t="shared" si="1"/>
        <v>23</v>
      </c>
      <c r="J33" s="358"/>
    </row>
    <row r="34" spans="1:11" ht="18.75" x14ac:dyDescent="0.25">
      <c r="A34" s="4">
        <f t="shared" si="0"/>
        <v>24</v>
      </c>
      <c r="B34" s="251" t="s">
        <v>1033</v>
      </c>
      <c r="C34" s="849" t="s">
        <v>2025</v>
      </c>
      <c r="D34" s="849" t="s">
        <v>1036</v>
      </c>
      <c r="E34" s="849"/>
      <c r="F34" s="849" t="s">
        <v>1037</v>
      </c>
      <c r="G34" s="4"/>
      <c r="H34" s="91"/>
      <c r="I34" s="4">
        <f t="shared" si="1"/>
        <v>24</v>
      </c>
      <c r="J34" s="358"/>
    </row>
    <row r="35" spans="1:11" x14ac:dyDescent="0.25">
      <c r="A35" s="4">
        <f t="shared" si="0"/>
        <v>25</v>
      </c>
      <c r="H35" s="91"/>
      <c r="I35" s="4">
        <f t="shared" si="1"/>
        <v>25</v>
      </c>
      <c r="J35" s="358"/>
    </row>
    <row r="36" spans="1:11" x14ac:dyDescent="0.25">
      <c r="A36" s="4">
        <f t="shared" si="0"/>
        <v>26</v>
      </c>
      <c r="B36" s="31" t="s">
        <v>1986</v>
      </c>
      <c r="C36" s="27">
        <v>0.46</v>
      </c>
      <c r="D36" s="133">
        <f>F28</f>
        <v>3.9835191560812083E-2</v>
      </c>
      <c r="F36" s="27">
        <f>C36*D36</f>
        <v>1.832418811797356E-2</v>
      </c>
      <c r="G36" s="27"/>
      <c r="H36" s="91" t="s">
        <v>2029</v>
      </c>
      <c r="I36" s="4">
        <f t="shared" si="1"/>
        <v>26</v>
      </c>
      <c r="J36" s="358"/>
      <c r="K36" s="277"/>
    </row>
    <row r="37" spans="1:11" x14ac:dyDescent="0.25">
      <c r="A37" s="4">
        <f t="shared" si="0"/>
        <v>27</v>
      </c>
      <c r="B37" s="31" t="s">
        <v>1042</v>
      </c>
      <c r="C37" s="1055">
        <v>0.54</v>
      </c>
      <c r="D37" s="1193">
        <f>F31</f>
        <v>0.1028</v>
      </c>
      <c r="F37" s="1055">
        <f>C37*D37</f>
        <v>5.5512000000000006E-2</v>
      </c>
      <c r="G37" s="27"/>
      <c r="H37" s="91" t="s">
        <v>2030</v>
      </c>
      <c r="I37" s="4">
        <f t="shared" si="1"/>
        <v>27</v>
      </c>
      <c r="J37" s="358"/>
      <c r="K37" s="277"/>
    </row>
    <row r="38" spans="1:11" ht="16.5" thickBot="1" x14ac:dyDescent="0.3">
      <c r="A38" s="4">
        <f t="shared" si="0"/>
        <v>28</v>
      </c>
      <c r="B38" s="31" t="s">
        <v>1044</v>
      </c>
      <c r="C38" s="51">
        <f>SUM(C36:C37)</f>
        <v>1</v>
      </c>
      <c r="F38" s="51">
        <f>SUM(F36:F37)</f>
        <v>7.3836188117973572E-2</v>
      </c>
      <c r="G38" s="27"/>
      <c r="H38" s="91" t="s">
        <v>2023</v>
      </c>
      <c r="I38" s="4">
        <f t="shared" si="1"/>
        <v>28</v>
      </c>
      <c r="J38" s="358"/>
    </row>
    <row r="39" spans="1:11" ht="16.5" thickTop="1" x14ac:dyDescent="0.25">
      <c r="A39" s="4">
        <f t="shared" si="0"/>
        <v>29</v>
      </c>
      <c r="H39" s="91"/>
      <c r="I39" s="4">
        <f t="shared" si="1"/>
        <v>29</v>
      </c>
      <c r="J39" s="358"/>
    </row>
    <row r="40" spans="1:11" ht="16.5" thickBot="1" x14ac:dyDescent="0.3">
      <c r="A40" s="4">
        <f t="shared" si="0"/>
        <v>30</v>
      </c>
      <c r="B40" s="31" t="s">
        <v>2051</v>
      </c>
      <c r="F40" s="51">
        <f>F37</f>
        <v>5.5512000000000006E-2</v>
      </c>
      <c r="G40" s="27"/>
      <c r="H40" s="91" t="s">
        <v>2031</v>
      </c>
      <c r="I40" s="4">
        <f t="shared" si="1"/>
        <v>30</v>
      </c>
      <c r="J40" s="358"/>
    </row>
    <row r="41" spans="1:11" ht="17.25" thickTop="1" thickBot="1" x14ac:dyDescent="0.3">
      <c r="A41" s="862">
        <f t="shared" si="0"/>
        <v>31</v>
      </c>
      <c r="B41" s="863"/>
      <c r="C41" s="863"/>
      <c r="D41" s="863"/>
      <c r="E41" s="863"/>
      <c r="F41" s="863"/>
      <c r="G41" s="863"/>
      <c r="H41" s="864"/>
      <c r="I41" s="862">
        <f t="shared" si="1"/>
        <v>31</v>
      </c>
      <c r="J41" s="358"/>
    </row>
    <row r="42" spans="1:11" x14ac:dyDescent="0.25">
      <c r="A42" s="4">
        <f t="shared" si="0"/>
        <v>32</v>
      </c>
      <c r="H42" s="91"/>
      <c r="I42" s="4">
        <f t="shared" si="1"/>
        <v>32</v>
      </c>
      <c r="J42" s="358"/>
    </row>
    <row r="43" spans="1:11" ht="19.5" thickBot="1" x14ac:dyDescent="0.3">
      <c r="A43" s="4">
        <f t="shared" si="0"/>
        <v>33</v>
      </c>
      <c r="B43" s="251" t="s">
        <v>2073</v>
      </c>
      <c r="F43" s="132">
        <v>0</v>
      </c>
      <c r="H43" s="4" t="s">
        <v>2027</v>
      </c>
      <c r="I43" s="4">
        <f t="shared" si="1"/>
        <v>33</v>
      </c>
      <c r="J43" s="358"/>
      <c r="K43" s="277"/>
    </row>
    <row r="44" spans="1:11" ht="16.5" thickTop="1" x14ac:dyDescent="0.25">
      <c r="A44" s="4">
        <f t="shared" si="0"/>
        <v>34</v>
      </c>
      <c r="C44" s="34" t="s">
        <v>184</v>
      </c>
      <c r="D44" s="34" t="s">
        <v>185</v>
      </c>
      <c r="E44" s="34"/>
      <c r="F44" s="34" t="s">
        <v>2021</v>
      </c>
      <c r="H44" s="91"/>
      <c r="I44" s="4">
        <f t="shared" si="1"/>
        <v>34</v>
      </c>
      <c r="J44" s="358"/>
      <c r="K44" s="277"/>
    </row>
    <row r="45" spans="1:11" x14ac:dyDescent="0.25">
      <c r="A45" s="4">
        <f t="shared" si="0"/>
        <v>35</v>
      </c>
      <c r="C45" s="4" t="s">
        <v>1030</v>
      </c>
      <c r="D45" s="4" t="s">
        <v>1031</v>
      </c>
      <c r="E45" s="4"/>
      <c r="F45" s="4" t="s">
        <v>1032</v>
      </c>
      <c r="H45" s="91"/>
      <c r="I45" s="4">
        <f t="shared" si="1"/>
        <v>35</v>
      </c>
      <c r="J45" s="358"/>
    </row>
    <row r="46" spans="1:11" ht="18.75" x14ac:dyDescent="0.25">
      <c r="A46" s="4">
        <f t="shared" si="0"/>
        <v>36</v>
      </c>
      <c r="B46" s="251" t="s">
        <v>1033</v>
      </c>
      <c r="C46" s="849" t="s">
        <v>2025</v>
      </c>
      <c r="D46" s="849" t="s">
        <v>1036</v>
      </c>
      <c r="E46" s="849"/>
      <c r="F46" s="849" t="s">
        <v>1037</v>
      </c>
      <c r="H46" s="91"/>
      <c r="I46" s="4">
        <f t="shared" si="1"/>
        <v>36</v>
      </c>
      <c r="J46" s="358"/>
    </row>
    <row r="47" spans="1:11" x14ac:dyDescent="0.25">
      <c r="A47" s="4">
        <f t="shared" si="0"/>
        <v>37</v>
      </c>
      <c r="H47" s="91"/>
      <c r="I47" s="4">
        <f t="shared" si="1"/>
        <v>37</v>
      </c>
      <c r="J47" s="358"/>
    </row>
    <row r="48" spans="1:11" x14ac:dyDescent="0.25">
      <c r="A48" s="4">
        <f t="shared" si="0"/>
        <v>38</v>
      </c>
      <c r="B48" s="31" t="s">
        <v>1986</v>
      </c>
      <c r="C48" s="27">
        <v>0.46</v>
      </c>
      <c r="D48" s="1127">
        <v>0</v>
      </c>
      <c r="F48" s="27">
        <f>C48*D48</f>
        <v>0</v>
      </c>
      <c r="H48" s="91" t="s">
        <v>1597</v>
      </c>
      <c r="I48" s="4">
        <f t="shared" si="1"/>
        <v>38</v>
      </c>
      <c r="J48" s="358"/>
    </row>
    <row r="49" spans="1:11" x14ac:dyDescent="0.25">
      <c r="A49" s="4">
        <f t="shared" si="0"/>
        <v>39</v>
      </c>
      <c r="B49" s="31" t="s">
        <v>1042</v>
      </c>
      <c r="C49" s="1055">
        <v>0.54</v>
      </c>
      <c r="D49" s="1193">
        <f>F43</f>
        <v>0</v>
      </c>
      <c r="F49" s="1055">
        <f>C49*D49</f>
        <v>0</v>
      </c>
      <c r="H49" s="91" t="s">
        <v>2032</v>
      </c>
      <c r="I49" s="4">
        <f t="shared" si="1"/>
        <v>39</v>
      </c>
      <c r="J49" s="358"/>
      <c r="K49" s="255"/>
    </row>
    <row r="50" spans="1:11" ht="16.5" thickBot="1" x14ac:dyDescent="0.3">
      <c r="A50" s="4">
        <f t="shared" si="0"/>
        <v>40</v>
      </c>
      <c r="B50" s="31" t="s">
        <v>1044</v>
      </c>
      <c r="C50" s="51">
        <f>SUM(C48:C49)</f>
        <v>1</v>
      </c>
      <c r="F50" s="51">
        <f>SUM(F48:F49)</f>
        <v>0</v>
      </c>
      <c r="H50" s="91" t="s">
        <v>2033</v>
      </c>
      <c r="I50" s="4">
        <f t="shared" si="1"/>
        <v>40</v>
      </c>
      <c r="J50" s="358"/>
      <c r="K50" s="255"/>
    </row>
    <row r="51" spans="1:11" ht="16.5" thickTop="1" x14ac:dyDescent="0.25">
      <c r="A51" s="4">
        <f t="shared" si="0"/>
        <v>41</v>
      </c>
      <c r="H51" s="91"/>
      <c r="I51" s="4">
        <f t="shared" si="1"/>
        <v>41</v>
      </c>
      <c r="J51" s="358"/>
    </row>
    <row r="52" spans="1:11" ht="16.5" thickBot="1" x14ac:dyDescent="0.3">
      <c r="A52" s="4">
        <f t="shared" si="0"/>
        <v>42</v>
      </c>
      <c r="B52" s="251" t="s">
        <v>1612</v>
      </c>
      <c r="F52" s="1194">
        <f>F49</f>
        <v>0</v>
      </c>
      <c r="H52" s="91" t="s">
        <v>2040</v>
      </c>
      <c r="I52" s="4">
        <f t="shared" si="1"/>
        <v>42</v>
      </c>
      <c r="J52" s="358"/>
      <c r="K52" s="255"/>
    </row>
    <row r="53" spans="1:11" ht="16.5" thickTop="1" x14ac:dyDescent="0.25">
      <c r="B53" s="251"/>
      <c r="F53" s="27"/>
      <c r="H53" s="91"/>
      <c r="I53" s="4"/>
    </row>
    <row r="54" spans="1:11" x14ac:dyDescent="0.25">
      <c r="F54" s="27"/>
      <c r="G54" s="27"/>
      <c r="H54" s="91"/>
      <c r="I54" s="4"/>
    </row>
    <row r="55" spans="1:11" ht="18.75" x14ac:dyDescent="0.25">
      <c r="A55" s="266">
        <v>1</v>
      </c>
      <c r="B55" s="31" t="s">
        <v>2022</v>
      </c>
      <c r="F55" s="27"/>
      <c r="G55" s="27"/>
      <c r="H55" s="91"/>
      <c r="I55" s="4"/>
    </row>
    <row r="56" spans="1:11" ht="18.75" x14ac:dyDescent="0.25">
      <c r="A56" s="266">
        <v>2</v>
      </c>
      <c r="B56" s="1324" t="s">
        <v>2075</v>
      </c>
      <c r="C56" s="1324"/>
      <c r="D56" s="1324"/>
      <c r="E56" s="1324"/>
      <c r="F56" s="1324"/>
      <c r="G56" s="1324"/>
      <c r="H56" s="1324"/>
      <c r="I56" s="4"/>
    </row>
    <row r="57" spans="1:11" ht="18.75" x14ac:dyDescent="0.25">
      <c r="A57" s="1288"/>
      <c r="B57" s="1324"/>
      <c r="C57" s="1324"/>
      <c r="D57" s="1324"/>
      <c r="E57" s="1324"/>
      <c r="F57" s="1324"/>
      <c r="G57" s="1324"/>
      <c r="H57" s="1324"/>
      <c r="I57" s="4"/>
    </row>
    <row r="58" spans="1:11" ht="18.75" x14ac:dyDescent="0.25">
      <c r="A58" s="1288"/>
      <c r="B58" s="724"/>
      <c r="C58" s="724"/>
      <c r="D58" s="724"/>
      <c r="E58" s="724"/>
      <c r="F58" s="724"/>
      <c r="G58" s="724"/>
      <c r="H58" s="724"/>
      <c r="I58" s="4"/>
    </row>
    <row r="59" spans="1:11" x14ac:dyDescent="0.25">
      <c r="B59" s="1294" t="s">
        <v>0</v>
      </c>
      <c r="C59" s="1294"/>
      <c r="D59" s="1294"/>
      <c r="E59" s="1294"/>
      <c r="F59" s="1294"/>
      <c r="G59" s="1294"/>
      <c r="H59" s="1294"/>
      <c r="I59" s="4"/>
    </row>
    <row r="60" spans="1:11" x14ac:dyDescent="0.25">
      <c r="B60" s="1294" t="s">
        <v>986</v>
      </c>
      <c r="C60" s="1294"/>
      <c r="D60" s="1294"/>
      <c r="E60" s="1294"/>
      <c r="F60" s="1294"/>
      <c r="G60" s="1294"/>
      <c r="H60" s="1294"/>
      <c r="I60" s="4"/>
    </row>
    <row r="61" spans="1:11" x14ac:dyDescent="0.25">
      <c r="B61" s="1294" t="s">
        <v>987</v>
      </c>
      <c r="C61" s="1294"/>
      <c r="D61" s="1294"/>
      <c r="E61" s="1294"/>
      <c r="F61" s="1294"/>
      <c r="G61" s="1294"/>
      <c r="H61" s="1294"/>
      <c r="I61" s="4"/>
    </row>
    <row r="62" spans="1:11" x14ac:dyDescent="0.25">
      <c r="B62" s="1300" t="str">
        <f>B5</f>
        <v>Base Period &amp; True-Up Period 12 - Months Ending December 31, 2023</v>
      </c>
      <c r="C62" s="1300"/>
      <c r="D62" s="1300"/>
      <c r="E62" s="1300"/>
      <c r="F62" s="1300"/>
      <c r="G62" s="1300"/>
      <c r="H62" s="1300"/>
      <c r="I62" s="4"/>
    </row>
    <row r="63" spans="1:11" x14ac:dyDescent="0.25">
      <c r="B63" s="1299" t="s">
        <v>4</v>
      </c>
      <c r="C63" s="1295"/>
      <c r="D63" s="1295"/>
      <c r="E63" s="1295"/>
      <c r="F63" s="1295"/>
      <c r="G63" s="1295"/>
      <c r="H63" s="1295"/>
      <c r="I63" s="4"/>
    </row>
    <row r="64" spans="1:11" x14ac:dyDescent="0.25">
      <c r="B64" s="4"/>
      <c r="C64" s="4"/>
      <c r="D64" s="4"/>
      <c r="E64" s="4"/>
      <c r="F64" s="4"/>
      <c r="G64" s="4"/>
      <c r="H64" s="91"/>
      <c r="I64" s="4"/>
    </row>
    <row r="65" spans="1:9" x14ac:dyDescent="0.25">
      <c r="A65" s="4" t="s">
        <v>5</v>
      </c>
      <c r="B65" s="218"/>
      <c r="C65" s="218"/>
      <c r="D65" s="4" t="s">
        <v>205</v>
      </c>
      <c r="E65" s="218"/>
      <c r="F65" s="218"/>
      <c r="G65" s="218"/>
      <c r="H65" s="91"/>
      <c r="I65" s="4" t="s">
        <v>5</v>
      </c>
    </row>
    <row r="66" spans="1:9" x14ac:dyDescent="0.25">
      <c r="A66" s="4" t="s">
        <v>6</v>
      </c>
      <c r="B66" s="4"/>
      <c r="C66" s="4"/>
      <c r="D66" s="849" t="s">
        <v>207</v>
      </c>
      <c r="E66" s="4"/>
      <c r="F66" s="850" t="s">
        <v>7</v>
      </c>
      <c r="G66" s="218"/>
      <c r="H66" s="851" t="s">
        <v>8</v>
      </c>
      <c r="I66" s="4" t="s">
        <v>6</v>
      </c>
    </row>
    <row r="67" spans="1:9" x14ac:dyDescent="0.25">
      <c r="F67" s="27"/>
      <c r="G67" s="27"/>
      <c r="H67" s="91"/>
      <c r="I67" s="4"/>
    </row>
    <row r="68" spans="1:9" ht="19.5" thickBot="1" x14ac:dyDescent="0.3">
      <c r="A68" s="4">
        <v>1</v>
      </c>
      <c r="B68" s="251" t="s">
        <v>1602</v>
      </c>
      <c r="F68" s="132">
        <v>0</v>
      </c>
      <c r="G68" s="218"/>
      <c r="H68" s="421"/>
      <c r="I68" s="4">
        <v>1</v>
      </c>
    </row>
    <row r="69" spans="1:9" ht="16.5" thickTop="1" x14ac:dyDescent="0.25">
      <c r="A69" s="4">
        <f t="shared" si="0"/>
        <v>2</v>
      </c>
      <c r="C69" s="34" t="s">
        <v>184</v>
      </c>
      <c r="D69" s="34" t="s">
        <v>185</v>
      </c>
      <c r="E69" s="34"/>
      <c r="F69" s="34" t="s">
        <v>2021</v>
      </c>
      <c r="G69" s="34"/>
      <c r="H69" s="91"/>
      <c r="I69" s="4">
        <f t="shared" si="1"/>
        <v>2</v>
      </c>
    </row>
    <row r="70" spans="1:9" x14ac:dyDescent="0.25">
      <c r="A70" s="4">
        <f t="shared" si="0"/>
        <v>3</v>
      </c>
      <c r="C70" s="4" t="s">
        <v>1030</v>
      </c>
      <c r="D70" s="4" t="s">
        <v>1031</v>
      </c>
      <c r="E70" s="4"/>
      <c r="F70" s="4" t="s">
        <v>1032</v>
      </c>
      <c r="G70" s="4"/>
      <c r="H70" s="91"/>
      <c r="I70" s="4">
        <f t="shared" si="1"/>
        <v>3</v>
      </c>
    </row>
    <row r="71" spans="1:9" ht="18.75" x14ac:dyDescent="0.25">
      <c r="A71" s="4">
        <f t="shared" si="0"/>
        <v>4</v>
      </c>
      <c r="B71" s="251" t="s">
        <v>1048</v>
      </c>
      <c r="C71" s="849" t="s">
        <v>1987</v>
      </c>
      <c r="D71" s="849" t="s">
        <v>1036</v>
      </c>
      <c r="E71" s="849"/>
      <c r="F71" s="849" t="s">
        <v>1037</v>
      </c>
      <c r="G71" s="4"/>
      <c r="H71" s="91"/>
      <c r="I71" s="4">
        <f t="shared" si="1"/>
        <v>4</v>
      </c>
    </row>
    <row r="72" spans="1:9" x14ac:dyDescent="0.25">
      <c r="A72" s="4">
        <f t="shared" si="0"/>
        <v>5</v>
      </c>
      <c r="H72" s="91"/>
      <c r="I72" s="4">
        <f t="shared" si="1"/>
        <v>5</v>
      </c>
    </row>
    <row r="73" spans="1:9" x14ac:dyDescent="0.25">
      <c r="A73" s="4">
        <f t="shared" si="0"/>
        <v>6</v>
      </c>
      <c r="B73" s="31" t="s">
        <v>1986</v>
      </c>
      <c r="C73" s="27">
        <v>0.46</v>
      </c>
      <c r="D73" s="133">
        <f>F28</f>
        <v>3.9835191560812083E-2</v>
      </c>
      <c r="F73" s="27">
        <f>C73*D73</f>
        <v>1.832418811797356E-2</v>
      </c>
      <c r="G73" s="27"/>
      <c r="H73" s="91" t="s">
        <v>2034</v>
      </c>
      <c r="I73" s="4">
        <f t="shared" si="1"/>
        <v>6</v>
      </c>
    </row>
    <row r="74" spans="1:9" x14ac:dyDescent="0.25">
      <c r="A74" s="4">
        <f t="shared" si="0"/>
        <v>7</v>
      </c>
      <c r="B74" s="31" t="s">
        <v>1042</v>
      </c>
      <c r="C74" s="1055">
        <v>0.54</v>
      </c>
      <c r="D74" s="1193">
        <f>F68</f>
        <v>0</v>
      </c>
      <c r="F74" s="1055">
        <f>C74*D74</f>
        <v>0</v>
      </c>
      <c r="G74" s="27"/>
      <c r="H74" s="91" t="s">
        <v>2035</v>
      </c>
      <c r="I74" s="4">
        <f t="shared" si="1"/>
        <v>7</v>
      </c>
    </row>
    <row r="75" spans="1:9" ht="16.5" thickBot="1" x14ac:dyDescent="0.3">
      <c r="A75" s="4">
        <f t="shared" si="0"/>
        <v>8</v>
      </c>
      <c r="B75" s="31" t="s">
        <v>1044</v>
      </c>
      <c r="C75" s="51">
        <f>SUM(C73:C74)</f>
        <v>1</v>
      </c>
      <c r="F75" s="51">
        <f>SUM(F73:F74)</f>
        <v>1.832418811797356E-2</v>
      </c>
      <c r="G75" s="27"/>
      <c r="H75" s="91" t="s">
        <v>2060</v>
      </c>
      <c r="I75" s="4">
        <f t="shared" si="1"/>
        <v>8</v>
      </c>
    </row>
    <row r="76" spans="1:9" ht="16.5" thickTop="1" x14ac:dyDescent="0.25">
      <c r="A76" s="4">
        <f t="shared" si="0"/>
        <v>9</v>
      </c>
      <c r="H76" s="91"/>
      <c r="I76" s="4">
        <f t="shared" si="1"/>
        <v>9</v>
      </c>
    </row>
    <row r="77" spans="1:9" ht="16.5" thickBot="1" x14ac:dyDescent="0.3">
      <c r="A77" s="4">
        <f t="shared" si="0"/>
        <v>10</v>
      </c>
      <c r="B77" s="31" t="s">
        <v>2050</v>
      </c>
      <c r="F77" s="51">
        <f>F74</f>
        <v>0</v>
      </c>
      <c r="G77" s="27"/>
      <c r="H77" s="91" t="s">
        <v>2039</v>
      </c>
      <c r="I77" s="4">
        <f t="shared" si="1"/>
        <v>10</v>
      </c>
    </row>
    <row r="78" spans="1:9" ht="17.25" thickTop="1" thickBot="1" x14ac:dyDescent="0.3">
      <c r="A78" s="862">
        <f t="shared" ref="A78:A89" si="7">A77+1</f>
        <v>11</v>
      </c>
      <c r="B78" s="863"/>
      <c r="C78" s="863"/>
      <c r="D78" s="863"/>
      <c r="E78" s="863"/>
      <c r="F78" s="863"/>
      <c r="G78" s="863"/>
      <c r="H78" s="864"/>
      <c r="I78" s="862">
        <f t="shared" ref="I78:I89" si="8">I77+1</f>
        <v>11</v>
      </c>
    </row>
    <row r="79" spans="1:9" x14ac:dyDescent="0.25">
      <c r="A79" s="4">
        <f t="shared" si="7"/>
        <v>12</v>
      </c>
      <c r="H79" s="91"/>
      <c r="I79" s="4">
        <f t="shared" si="8"/>
        <v>12</v>
      </c>
    </row>
    <row r="80" spans="1:9" ht="19.5" thickBot="1" x14ac:dyDescent="0.3">
      <c r="A80" s="4">
        <f t="shared" si="7"/>
        <v>13</v>
      </c>
      <c r="B80" s="251" t="s">
        <v>2074</v>
      </c>
      <c r="F80" s="1289">
        <f>+F43</f>
        <v>0</v>
      </c>
      <c r="H80" s="4" t="s">
        <v>2076</v>
      </c>
      <c r="I80" s="4">
        <f t="shared" si="8"/>
        <v>13</v>
      </c>
    </row>
    <row r="81" spans="1:9" ht="16.5" thickTop="1" x14ac:dyDescent="0.25">
      <c r="A81" s="4">
        <f t="shared" si="7"/>
        <v>14</v>
      </c>
      <c r="C81" s="34" t="s">
        <v>184</v>
      </c>
      <c r="D81" s="34" t="s">
        <v>185</v>
      </c>
      <c r="E81" s="34"/>
      <c r="F81" s="34" t="s">
        <v>2021</v>
      </c>
      <c r="H81" s="91"/>
      <c r="I81" s="4">
        <f t="shared" si="8"/>
        <v>14</v>
      </c>
    </row>
    <row r="82" spans="1:9" x14ac:dyDescent="0.25">
      <c r="A82" s="4">
        <f t="shared" si="7"/>
        <v>15</v>
      </c>
      <c r="C82" s="4" t="s">
        <v>1030</v>
      </c>
      <c r="D82" s="4" t="s">
        <v>1031</v>
      </c>
      <c r="E82" s="4"/>
      <c r="F82" s="4" t="s">
        <v>1032</v>
      </c>
      <c r="H82" s="91"/>
      <c r="I82" s="4">
        <f t="shared" si="8"/>
        <v>15</v>
      </c>
    </row>
    <row r="83" spans="1:9" ht="18.75" x14ac:dyDescent="0.25">
      <c r="A83" s="4">
        <f t="shared" si="7"/>
        <v>16</v>
      </c>
      <c r="B83" s="251" t="s">
        <v>1033</v>
      </c>
      <c r="C83" s="849" t="s">
        <v>1987</v>
      </c>
      <c r="D83" s="849" t="s">
        <v>1036</v>
      </c>
      <c r="E83" s="849"/>
      <c r="F83" s="849" t="s">
        <v>1037</v>
      </c>
      <c r="H83" s="91"/>
      <c r="I83" s="4">
        <f t="shared" si="8"/>
        <v>16</v>
      </c>
    </row>
    <row r="84" spans="1:9" x14ac:dyDescent="0.25">
      <c r="A84" s="4">
        <f t="shared" si="7"/>
        <v>17</v>
      </c>
      <c r="H84" s="91"/>
      <c r="I84" s="4">
        <f t="shared" si="8"/>
        <v>17</v>
      </c>
    </row>
    <row r="85" spans="1:9" x14ac:dyDescent="0.25">
      <c r="A85" s="4">
        <f t="shared" si="7"/>
        <v>18</v>
      </c>
      <c r="B85" s="31" t="s">
        <v>1986</v>
      </c>
      <c r="C85" s="27">
        <v>0.46</v>
      </c>
      <c r="D85" s="1127">
        <v>0</v>
      </c>
      <c r="F85" s="27">
        <f>C85*D85</f>
        <v>0</v>
      </c>
      <c r="H85" s="91" t="s">
        <v>1597</v>
      </c>
      <c r="I85" s="4">
        <f t="shared" si="8"/>
        <v>18</v>
      </c>
    </row>
    <row r="86" spans="1:9" x14ac:dyDescent="0.25">
      <c r="A86" s="4">
        <f t="shared" si="7"/>
        <v>19</v>
      </c>
      <c r="B86" s="31" t="s">
        <v>1042</v>
      </c>
      <c r="C86" s="1055">
        <v>0.54</v>
      </c>
      <c r="D86" s="1193">
        <f>F80</f>
        <v>0</v>
      </c>
      <c r="F86" s="1055">
        <f>C86*D86</f>
        <v>0</v>
      </c>
      <c r="H86" s="91" t="s">
        <v>2036</v>
      </c>
      <c r="I86" s="4">
        <f t="shared" si="8"/>
        <v>19</v>
      </c>
    </row>
    <row r="87" spans="1:9" ht="16.5" thickBot="1" x14ac:dyDescent="0.3">
      <c r="A87" s="4">
        <f t="shared" si="7"/>
        <v>20</v>
      </c>
      <c r="B87" s="31" t="s">
        <v>1044</v>
      </c>
      <c r="C87" s="51">
        <f>SUM(C85:C86)</f>
        <v>1</v>
      </c>
      <c r="F87" s="51">
        <f>SUM(F85:F86)</f>
        <v>0</v>
      </c>
      <c r="H87" s="91" t="s">
        <v>2037</v>
      </c>
      <c r="I87" s="4">
        <f t="shared" si="8"/>
        <v>20</v>
      </c>
    </row>
    <row r="88" spans="1:9" ht="16.5" thickTop="1" x14ac:dyDescent="0.25">
      <c r="A88" s="4">
        <f t="shared" si="7"/>
        <v>21</v>
      </c>
      <c r="H88" s="91"/>
      <c r="I88" s="4">
        <f t="shared" si="8"/>
        <v>21</v>
      </c>
    </row>
    <row r="89" spans="1:9" ht="16.5" thickBot="1" x14ac:dyDescent="0.3">
      <c r="A89" s="4">
        <f t="shared" si="7"/>
        <v>22</v>
      </c>
      <c r="B89" s="251" t="s">
        <v>1612</v>
      </c>
      <c r="F89" s="1194">
        <f>F86</f>
        <v>0</v>
      </c>
      <c r="H89" s="91" t="s">
        <v>2038</v>
      </c>
      <c r="I89" s="4">
        <f t="shared" si="8"/>
        <v>22</v>
      </c>
    </row>
    <row r="90" spans="1:9" ht="16.5" thickTop="1" x14ac:dyDescent="0.25">
      <c r="B90" s="251"/>
      <c r="F90" s="27"/>
      <c r="H90" s="91"/>
      <c r="I90" s="4"/>
    </row>
    <row r="91" spans="1:9" x14ac:dyDescent="0.25">
      <c r="B91" s="251"/>
      <c r="F91" s="27"/>
      <c r="H91" s="91"/>
      <c r="I91" s="4"/>
    </row>
    <row r="92" spans="1:9" ht="18.75" x14ac:dyDescent="0.25">
      <c r="A92" s="266">
        <v>1</v>
      </c>
      <c r="B92" s="31" t="s">
        <v>1614</v>
      </c>
      <c r="F92" s="27"/>
      <c r="H92" s="91"/>
      <c r="I92" s="4"/>
    </row>
    <row r="93" spans="1:9" ht="18.75" x14ac:dyDescent="0.25">
      <c r="A93" s="266">
        <v>2</v>
      </c>
      <c r="B93" s="31" t="s">
        <v>2022</v>
      </c>
      <c r="F93" s="70"/>
      <c r="G93" s="70"/>
      <c r="I93" s="4"/>
    </row>
    <row r="94" spans="1:9" ht="18.75" x14ac:dyDescent="0.25">
      <c r="A94" s="266">
        <v>3</v>
      </c>
      <c r="B94" s="1324" t="s">
        <v>2075</v>
      </c>
      <c r="C94" s="1324"/>
      <c r="D94" s="1324"/>
      <c r="E94" s="1324"/>
      <c r="F94" s="1324"/>
      <c r="G94" s="1324"/>
      <c r="H94" s="1324"/>
      <c r="I94" s="4"/>
    </row>
    <row r="95" spans="1:9" ht="18.75" x14ac:dyDescent="0.25">
      <c r="A95" s="1288"/>
      <c r="B95" s="1324"/>
      <c r="C95" s="1324"/>
      <c r="D95" s="1324"/>
      <c r="E95" s="1324"/>
      <c r="F95" s="1324"/>
      <c r="G95" s="1324"/>
      <c r="H95" s="1324"/>
      <c r="I95" s="4"/>
    </row>
    <row r="96" spans="1:9" ht="18.75" x14ac:dyDescent="0.25">
      <c r="A96" s="266"/>
      <c r="F96" s="70"/>
      <c r="G96" s="70"/>
      <c r="I96" s="4"/>
    </row>
    <row r="97" spans="1:10" x14ac:dyDescent="0.25">
      <c r="B97" s="1294" t="s">
        <v>0</v>
      </c>
      <c r="C97" s="1294"/>
      <c r="D97" s="1294"/>
      <c r="E97" s="1294"/>
      <c r="F97" s="1294"/>
      <c r="G97" s="1294"/>
      <c r="H97" s="1294"/>
      <c r="I97" s="4"/>
    </row>
    <row r="98" spans="1:10" x14ac:dyDescent="0.25">
      <c r="B98" s="1294" t="s">
        <v>986</v>
      </c>
      <c r="C98" s="1294"/>
      <c r="D98" s="1294"/>
      <c r="E98" s="1294"/>
      <c r="F98" s="1294"/>
      <c r="G98" s="1294"/>
      <c r="H98" s="1294"/>
      <c r="I98" s="4"/>
    </row>
    <row r="99" spans="1:10" x14ac:dyDescent="0.25">
      <c r="B99" s="1294" t="s">
        <v>987</v>
      </c>
      <c r="C99" s="1294"/>
      <c r="D99" s="1294"/>
      <c r="E99" s="1294"/>
      <c r="F99" s="1294"/>
      <c r="G99" s="1294"/>
      <c r="H99" s="1294"/>
      <c r="I99" s="4"/>
    </row>
    <row r="100" spans="1:10" x14ac:dyDescent="0.25">
      <c r="B100" s="1300" t="str">
        <f>B5</f>
        <v>Base Period &amp; True-Up Period 12 - Months Ending December 31, 2023</v>
      </c>
      <c r="C100" s="1300"/>
      <c r="D100" s="1300"/>
      <c r="E100" s="1300"/>
      <c r="F100" s="1300"/>
      <c r="G100" s="1300"/>
      <c r="H100" s="1300"/>
      <c r="I100" s="4"/>
    </row>
    <row r="101" spans="1:10" x14ac:dyDescent="0.25">
      <c r="B101" s="1299" t="s">
        <v>4</v>
      </c>
      <c r="C101" s="1295"/>
      <c r="D101" s="1295"/>
      <c r="E101" s="1295"/>
      <c r="F101" s="1295"/>
      <c r="G101" s="1295"/>
      <c r="H101" s="1295"/>
      <c r="I101" s="4"/>
    </row>
    <row r="102" spans="1:10" x14ac:dyDescent="0.25">
      <c r="B102" s="4"/>
      <c r="C102" s="4"/>
      <c r="D102" s="4"/>
      <c r="E102" s="4"/>
      <c r="F102" s="4"/>
      <c r="G102" s="4"/>
      <c r="H102" s="91"/>
      <c r="I102" s="4"/>
    </row>
    <row r="103" spans="1:10" x14ac:dyDescent="0.25">
      <c r="A103" s="4" t="s">
        <v>5</v>
      </c>
      <c r="B103" s="218"/>
      <c r="C103" s="218"/>
      <c r="D103" s="218"/>
      <c r="E103" s="218"/>
      <c r="F103" s="218"/>
      <c r="G103" s="218"/>
      <c r="H103" s="91"/>
      <c r="I103" s="4" t="s">
        <v>5</v>
      </c>
    </row>
    <row r="104" spans="1:10" x14ac:dyDescent="0.25">
      <c r="A104" s="4" t="s">
        <v>6</v>
      </c>
      <c r="B104" s="4"/>
      <c r="C104" s="4"/>
      <c r="D104" s="4"/>
      <c r="E104" s="4"/>
      <c r="F104" s="849" t="s">
        <v>7</v>
      </c>
      <c r="G104" s="218"/>
      <c r="H104" s="851" t="s">
        <v>8</v>
      </c>
      <c r="I104" s="4" t="s">
        <v>6</v>
      </c>
    </row>
    <row r="105" spans="1:10" x14ac:dyDescent="0.25">
      <c r="F105" s="4"/>
      <c r="G105" s="4"/>
      <c r="H105" s="91"/>
      <c r="I105" s="4"/>
    </row>
    <row r="106" spans="1:10" ht="18.75" x14ac:dyDescent="0.25">
      <c r="A106" s="4">
        <v>1</v>
      </c>
      <c r="B106" s="251" t="s">
        <v>1615</v>
      </c>
      <c r="D106" s="218"/>
      <c r="E106" s="218"/>
      <c r="F106" s="41"/>
      <c r="G106" s="41"/>
      <c r="H106" s="91"/>
      <c r="I106" s="4">
        <v>1</v>
      </c>
    </row>
    <row r="107" spans="1:10" x14ac:dyDescent="0.25">
      <c r="A107" s="4">
        <f>A106+1</f>
        <v>2</v>
      </c>
      <c r="B107" s="33"/>
      <c r="D107" s="218"/>
      <c r="E107" s="218"/>
      <c r="F107" s="41"/>
      <c r="G107" s="41"/>
      <c r="H107" s="91"/>
      <c r="I107" s="4">
        <f>I106+1</f>
        <v>2</v>
      </c>
    </row>
    <row r="108" spans="1:10" x14ac:dyDescent="0.25">
      <c r="A108" s="4">
        <f>A107+1</f>
        <v>3</v>
      </c>
      <c r="B108" s="251" t="s">
        <v>1049</v>
      </c>
      <c r="D108" s="218"/>
      <c r="E108" s="218"/>
      <c r="F108" s="41"/>
      <c r="G108" s="41"/>
      <c r="H108" s="91"/>
      <c r="I108" s="4">
        <f>I107+1</f>
        <v>3</v>
      </c>
    </row>
    <row r="109" spans="1:10" x14ac:dyDescent="0.25">
      <c r="A109" s="4">
        <f>A108+1</f>
        <v>4</v>
      </c>
      <c r="B109" s="218"/>
      <c r="C109" s="218"/>
      <c r="D109" s="218"/>
      <c r="E109" s="218"/>
      <c r="F109" s="41"/>
      <c r="G109" s="41"/>
      <c r="H109" s="91"/>
      <c r="I109" s="4">
        <f>I108+1</f>
        <v>4</v>
      </c>
    </row>
    <row r="110" spans="1:10" x14ac:dyDescent="0.25">
      <c r="A110" s="4">
        <f t="shared" ref="A110:A174" si="9">A109+1</f>
        <v>5</v>
      </c>
      <c r="B110" s="32" t="s">
        <v>1050</v>
      </c>
      <c r="C110" s="218"/>
      <c r="D110" s="218"/>
      <c r="E110" s="218"/>
      <c r="F110" s="41"/>
      <c r="G110" s="41"/>
      <c r="H110" s="464"/>
      <c r="I110" s="4">
        <f t="shared" ref="I110:I174" si="10">I109+1</f>
        <v>5</v>
      </c>
    </row>
    <row r="111" spans="1:10" x14ac:dyDescent="0.25">
      <c r="A111" s="4">
        <f t="shared" si="9"/>
        <v>6</v>
      </c>
      <c r="B111" s="31" t="s">
        <v>2052</v>
      </c>
      <c r="C111" s="218"/>
      <c r="D111" s="218"/>
      <c r="E111" s="218"/>
      <c r="F111" s="133">
        <f>F40</f>
        <v>5.5512000000000006E-2</v>
      </c>
      <c r="G111" s="218"/>
      <c r="H111" s="91" t="s">
        <v>2024</v>
      </c>
      <c r="I111" s="4">
        <f t="shared" si="10"/>
        <v>6</v>
      </c>
      <c r="J111" s="4"/>
    </row>
    <row r="112" spans="1:10" x14ac:dyDescent="0.25">
      <c r="A112" s="4">
        <f t="shared" si="9"/>
        <v>7</v>
      </c>
      <c r="B112" s="31" t="s">
        <v>1052</v>
      </c>
      <c r="C112" s="218"/>
      <c r="D112" s="218"/>
      <c r="E112" s="218"/>
      <c r="F112" s="22">
        <f>-'Stmt AR'!E19</f>
        <v>3917.7441587128469</v>
      </c>
      <c r="G112" s="218"/>
      <c r="H112" s="91" t="s">
        <v>1053</v>
      </c>
      <c r="I112" s="4">
        <f t="shared" si="10"/>
        <v>7</v>
      </c>
      <c r="J112" s="4"/>
    </row>
    <row r="113" spans="1:11" x14ac:dyDescent="0.25">
      <c r="A113" s="4">
        <f t="shared" si="9"/>
        <v>8</v>
      </c>
      <c r="B113" s="31" t="s">
        <v>1054</v>
      </c>
      <c r="C113" s="218"/>
      <c r="D113" s="218"/>
      <c r="E113" s="218"/>
      <c r="F113" s="110">
        <f>'AV-1A'!C29</f>
        <v>11020.262002440008</v>
      </c>
      <c r="G113" s="218"/>
      <c r="H113" s="421" t="s">
        <v>1696</v>
      </c>
      <c r="I113" s="4">
        <f t="shared" si="10"/>
        <v>8</v>
      </c>
      <c r="J113" s="218"/>
    </row>
    <row r="114" spans="1:11" x14ac:dyDescent="0.25">
      <c r="A114" s="4">
        <f t="shared" si="9"/>
        <v>9</v>
      </c>
      <c r="B114" s="31" t="s">
        <v>1055</v>
      </c>
      <c r="C114" s="218"/>
      <c r="D114" s="465"/>
      <c r="E114" s="218"/>
      <c r="F114" s="7">
        <f>'BK-1 BTRR - EU'!E139</f>
        <v>5248483.9495624695</v>
      </c>
      <c r="G114" s="218"/>
      <c r="H114" s="91" t="s">
        <v>1988</v>
      </c>
      <c r="I114" s="4">
        <f t="shared" si="10"/>
        <v>9</v>
      </c>
    </row>
    <row r="115" spans="1:11" x14ac:dyDescent="0.25">
      <c r="A115" s="4">
        <f t="shared" si="9"/>
        <v>10</v>
      </c>
      <c r="B115" s="31" t="s">
        <v>1056</v>
      </c>
      <c r="C115" s="47"/>
      <c r="D115" s="218"/>
      <c r="E115" s="218"/>
      <c r="F115" s="1056" t="s">
        <v>1057</v>
      </c>
      <c r="G115" s="218"/>
      <c r="H115" s="91" t="s">
        <v>1058</v>
      </c>
      <c r="I115" s="4">
        <f t="shared" si="10"/>
        <v>10</v>
      </c>
      <c r="K115" s="254"/>
    </row>
    <row r="116" spans="1:11" x14ac:dyDescent="0.25">
      <c r="A116" s="4">
        <f t="shared" si="9"/>
        <v>11</v>
      </c>
      <c r="F116" s="4"/>
      <c r="G116" s="4"/>
      <c r="I116" s="4">
        <f t="shared" si="10"/>
        <v>11</v>
      </c>
    </row>
    <row r="117" spans="1:11" x14ac:dyDescent="0.25">
      <c r="A117" s="4">
        <f t="shared" si="9"/>
        <v>12</v>
      </c>
      <c r="B117" s="31" t="s">
        <v>1059</v>
      </c>
      <c r="C117" s="218"/>
      <c r="D117" s="218"/>
      <c r="E117" s="218"/>
      <c r="F117" s="1057">
        <f>IFERROR((((F111)+(F113/F114))*F115-(F112/F114))/(1-F115),0)</f>
        <v>1.4369626928526783E-2</v>
      </c>
      <c r="G117" s="26"/>
      <c r="H117" s="91" t="s">
        <v>1060</v>
      </c>
      <c r="I117" s="4">
        <f t="shared" si="10"/>
        <v>12</v>
      </c>
      <c r="K117" s="466"/>
    </row>
    <row r="118" spans="1:11" x14ac:dyDescent="0.25">
      <c r="A118" s="4">
        <f t="shared" si="9"/>
        <v>13</v>
      </c>
      <c r="B118" s="249" t="s">
        <v>1061</v>
      </c>
      <c r="F118" s="4"/>
      <c r="G118" s="4"/>
      <c r="I118" s="4">
        <f t="shared" si="10"/>
        <v>13</v>
      </c>
    </row>
    <row r="119" spans="1:11" x14ac:dyDescent="0.25">
      <c r="A119" s="4">
        <f t="shared" si="9"/>
        <v>14</v>
      </c>
      <c r="F119" s="436"/>
      <c r="G119" s="4"/>
      <c r="I119" s="4">
        <f t="shared" si="10"/>
        <v>14</v>
      </c>
    </row>
    <row r="120" spans="1:11" x14ac:dyDescent="0.25">
      <c r="A120" s="4">
        <f t="shared" si="9"/>
        <v>15</v>
      </c>
      <c r="B120" s="251" t="s">
        <v>1062</v>
      </c>
      <c r="C120" s="218"/>
      <c r="D120" s="218"/>
      <c r="E120" s="218"/>
      <c r="F120" s="134"/>
      <c r="G120" s="134"/>
      <c r="H120" s="467"/>
      <c r="I120" s="4">
        <f t="shared" si="10"/>
        <v>15</v>
      </c>
      <c r="J120" s="468"/>
    </row>
    <row r="121" spans="1:11" x14ac:dyDescent="0.25">
      <c r="A121" s="4">
        <f t="shared" si="9"/>
        <v>16</v>
      </c>
      <c r="B121" s="340"/>
      <c r="C121" s="218"/>
      <c r="D121" s="218"/>
      <c r="E121" s="218"/>
      <c r="F121" s="134"/>
      <c r="G121" s="134"/>
      <c r="H121" s="469"/>
      <c r="I121" s="4">
        <f t="shared" si="10"/>
        <v>16</v>
      </c>
      <c r="J121" s="218"/>
    </row>
    <row r="122" spans="1:11" x14ac:dyDescent="0.25">
      <c r="A122" s="4">
        <f t="shared" si="9"/>
        <v>17</v>
      </c>
      <c r="B122" s="32" t="s">
        <v>1050</v>
      </c>
      <c r="C122" s="218"/>
      <c r="D122" s="218"/>
      <c r="E122" s="218"/>
      <c r="F122" s="134"/>
      <c r="G122" s="134"/>
      <c r="H122" s="469"/>
      <c r="I122" s="4">
        <f t="shared" si="10"/>
        <v>17</v>
      </c>
      <c r="J122" s="218"/>
    </row>
    <row r="123" spans="1:11" x14ac:dyDescent="0.25">
      <c r="A123" s="4">
        <f t="shared" si="9"/>
        <v>18</v>
      </c>
      <c r="B123" s="31" t="s">
        <v>2052</v>
      </c>
      <c r="C123" s="218"/>
      <c r="D123" s="218"/>
      <c r="E123" s="218"/>
      <c r="F123" s="133">
        <f>F111</f>
        <v>5.5512000000000006E-2</v>
      </c>
      <c r="G123" s="27"/>
      <c r="H123" s="91" t="s">
        <v>1063</v>
      </c>
      <c r="I123" s="4">
        <f t="shared" si="10"/>
        <v>18</v>
      </c>
      <c r="J123" s="4"/>
    </row>
    <row r="124" spans="1:11" x14ac:dyDescent="0.25">
      <c r="A124" s="4">
        <f t="shared" si="9"/>
        <v>19</v>
      </c>
      <c r="B124" s="31" t="s">
        <v>1064</v>
      </c>
      <c r="C124" s="218"/>
      <c r="D124" s="218"/>
      <c r="E124" s="218"/>
      <c r="F124" s="44">
        <f>-'Stmt AT'!E19</f>
        <v>0</v>
      </c>
      <c r="G124" s="27"/>
      <c r="H124" s="91" t="s">
        <v>1065</v>
      </c>
      <c r="I124" s="4">
        <f t="shared" si="10"/>
        <v>19</v>
      </c>
      <c r="J124" s="4"/>
    </row>
    <row r="125" spans="1:11" x14ac:dyDescent="0.25">
      <c r="A125" s="4">
        <f t="shared" si="9"/>
        <v>20</v>
      </c>
      <c r="B125" s="31" t="s">
        <v>1054</v>
      </c>
      <c r="C125" s="218"/>
      <c r="D125" s="218"/>
      <c r="E125" s="218"/>
      <c r="F125" s="22">
        <f>F113</f>
        <v>11020.262002440008</v>
      </c>
      <c r="G125" s="44"/>
      <c r="H125" s="91" t="s">
        <v>1066</v>
      </c>
      <c r="I125" s="4">
        <f t="shared" si="10"/>
        <v>20</v>
      </c>
      <c r="J125" s="4"/>
    </row>
    <row r="126" spans="1:11" x14ac:dyDescent="0.25">
      <c r="A126" s="4">
        <f t="shared" si="9"/>
        <v>21</v>
      </c>
      <c r="B126" s="31" t="s">
        <v>1055</v>
      </c>
      <c r="C126" s="218"/>
      <c r="D126" s="218"/>
      <c r="E126" s="218"/>
      <c r="F126" s="7">
        <f>F114</f>
        <v>5248483.9495624695</v>
      </c>
      <c r="G126" s="10"/>
      <c r="H126" s="91" t="s">
        <v>1067</v>
      </c>
      <c r="I126" s="4">
        <f t="shared" si="10"/>
        <v>21</v>
      </c>
      <c r="J126" s="4"/>
    </row>
    <row r="127" spans="1:11" x14ac:dyDescent="0.25">
      <c r="A127" s="4">
        <f t="shared" si="9"/>
        <v>22</v>
      </c>
      <c r="B127" s="31" t="s">
        <v>1068</v>
      </c>
      <c r="C127" s="218"/>
      <c r="D127" s="218"/>
      <c r="E127" s="218"/>
      <c r="F127" s="1147">
        <f>F117</f>
        <v>1.4369626928526783E-2</v>
      </c>
      <c r="G127" s="26"/>
      <c r="H127" s="91" t="s">
        <v>1069</v>
      </c>
      <c r="I127" s="4">
        <f t="shared" si="10"/>
        <v>22</v>
      </c>
    </row>
    <row r="128" spans="1:11" x14ac:dyDescent="0.25">
      <c r="A128" s="4">
        <f t="shared" si="9"/>
        <v>23</v>
      </c>
      <c r="B128" s="31" t="s">
        <v>1070</v>
      </c>
      <c r="C128" s="218"/>
      <c r="D128" s="218"/>
      <c r="E128" s="218"/>
      <c r="F128" s="1056" t="s">
        <v>1071</v>
      </c>
      <c r="G128" s="218"/>
      <c r="H128" s="91" t="s">
        <v>1072</v>
      </c>
      <c r="I128" s="4">
        <f t="shared" si="10"/>
        <v>23</v>
      </c>
    </row>
    <row r="129" spans="1:11" x14ac:dyDescent="0.25">
      <c r="A129" s="4">
        <f t="shared" si="9"/>
        <v>24</v>
      </c>
      <c r="B129" s="1"/>
      <c r="C129" s="218"/>
      <c r="D129" s="218"/>
      <c r="E129" s="218"/>
      <c r="F129" s="135"/>
      <c r="G129" s="135"/>
      <c r="H129" s="469"/>
      <c r="I129" s="4">
        <f t="shared" si="10"/>
        <v>24</v>
      </c>
    </row>
    <row r="130" spans="1:11" x14ac:dyDescent="0.25">
      <c r="A130" s="4">
        <f t="shared" si="9"/>
        <v>25</v>
      </c>
      <c r="B130" s="31" t="s">
        <v>1073</v>
      </c>
      <c r="C130" s="4"/>
      <c r="D130" s="218"/>
      <c r="E130" s="218"/>
      <c r="F130" s="1057">
        <f>IFERROR((((F123)+(F125/F126)+F117)*F128-(F124/F126))/(1-F128),0)</f>
        <v>6.9801992558264315E-3</v>
      </c>
      <c r="G130" s="26"/>
      <c r="H130" s="91" t="s">
        <v>1074</v>
      </c>
      <c r="I130" s="4">
        <f t="shared" si="10"/>
        <v>25</v>
      </c>
    </row>
    <row r="131" spans="1:11" x14ac:dyDescent="0.25">
      <c r="A131" s="4">
        <f t="shared" si="9"/>
        <v>26</v>
      </c>
      <c r="B131" s="249" t="s">
        <v>1075</v>
      </c>
      <c r="F131" s="4"/>
      <c r="G131" s="4"/>
      <c r="H131" s="91"/>
      <c r="I131" s="4">
        <f t="shared" si="10"/>
        <v>26</v>
      </c>
      <c r="J131" s="4"/>
    </row>
    <row r="132" spans="1:11" x14ac:dyDescent="0.25">
      <c r="A132" s="4">
        <f t="shared" si="9"/>
        <v>27</v>
      </c>
      <c r="F132" s="4"/>
      <c r="G132" s="4"/>
      <c r="H132" s="91"/>
      <c r="I132" s="4">
        <f t="shared" si="10"/>
        <v>27</v>
      </c>
      <c r="J132" s="4"/>
    </row>
    <row r="133" spans="1:11" x14ac:dyDescent="0.25">
      <c r="A133" s="4">
        <f t="shared" si="9"/>
        <v>28</v>
      </c>
      <c r="B133" s="251" t="s">
        <v>1576</v>
      </c>
      <c r="F133" s="1057">
        <f>F117+F130</f>
        <v>2.1349826184353216E-2</v>
      </c>
      <c r="G133" s="26"/>
      <c r="H133" s="91" t="s">
        <v>1076</v>
      </c>
      <c r="I133" s="4">
        <f t="shared" si="10"/>
        <v>28</v>
      </c>
      <c r="J133" s="4"/>
    </row>
    <row r="134" spans="1:11" x14ac:dyDescent="0.25">
      <c r="A134" s="4">
        <f t="shared" si="9"/>
        <v>29</v>
      </c>
      <c r="F134" s="26"/>
      <c r="G134" s="26"/>
      <c r="H134" s="91"/>
      <c r="I134" s="4">
        <f t="shared" si="10"/>
        <v>29</v>
      </c>
      <c r="J134" s="4"/>
    </row>
    <row r="135" spans="1:11" x14ac:dyDescent="0.25">
      <c r="A135" s="4">
        <f t="shared" si="9"/>
        <v>30</v>
      </c>
      <c r="B135" s="31" t="s">
        <v>1583</v>
      </c>
      <c r="F135" s="10">
        <f>F114*F117</f>
        <v>75418.756295573476</v>
      </c>
      <c r="G135" s="26"/>
      <c r="H135" s="91" t="s">
        <v>1584</v>
      </c>
      <c r="I135" s="4">
        <f t="shared" si="10"/>
        <v>30</v>
      </c>
      <c r="J135" s="4"/>
    </row>
    <row r="136" spans="1:11" x14ac:dyDescent="0.25">
      <c r="A136" s="4">
        <f t="shared" si="9"/>
        <v>31</v>
      </c>
      <c r="B136" s="31" t="s">
        <v>1585</v>
      </c>
      <c r="F136" s="1120">
        <f>F114*F130</f>
        <v>36635.463758952923</v>
      </c>
      <c r="G136" s="26"/>
      <c r="H136" s="91" t="s">
        <v>1586</v>
      </c>
      <c r="I136" s="4">
        <f t="shared" si="10"/>
        <v>31</v>
      </c>
      <c r="J136" s="4"/>
    </row>
    <row r="137" spans="1:11" ht="16.5" thickBot="1" x14ac:dyDescent="0.3">
      <c r="A137" s="4">
        <f t="shared" si="9"/>
        <v>32</v>
      </c>
      <c r="B137" s="31" t="s">
        <v>1587</v>
      </c>
      <c r="F137" s="17">
        <f>F135+F136</f>
        <v>112054.22005452641</v>
      </c>
      <c r="G137" s="26"/>
      <c r="H137" s="91" t="s">
        <v>99</v>
      </c>
      <c r="I137" s="4">
        <f t="shared" si="10"/>
        <v>32</v>
      </c>
      <c r="J137" s="4"/>
    </row>
    <row r="138" spans="1:11" ht="16.5" thickTop="1" x14ac:dyDescent="0.25">
      <c r="A138" s="4">
        <f t="shared" si="9"/>
        <v>33</v>
      </c>
      <c r="F138" s="10"/>
      <c r="G138" s="26"/>
      <c r="H138" s="91"/>
      <c r="I138" s="4">
        <f t="shared" si="10"/>
        <v>33</v>
      </c>
      <c r="J138" s="4"/>
    </row>
    <row r="139" spans="1:11" x14ac:dyDescent="0.25">
      <c r="A139" s="4">
        <f t="shared" si="9"/>
        <v>34</v>
      </c>
      <c r="B139" s="251" t="s">
        <v>1577</v>
      </c>
      <c r="F139" s="868">
        <f>F38</f>
        <v>7.3836188117973572E-2</v>
      </c>
      <c r="G139" s="218"/>
      <c r="H139" s="91" t="s">
        <v>2041</v>
      </c>
      <c r="I139" s="4">
        <f t="shared" si="10"/>
        <v>34</v>
      </c>
      <c r="J139" s="4"/>
    </row>
    <row r="140" spans="1:11" x14ac:dyDescent="0.25">
      <c r="A140" s="4">
        <f t="shared" si="9"/>
        <v>35</v>
      </c>
      <c r="B140" s="251"/>
      <c r="F140" s="26"/>
      <c r="G140" s="218"/>
      <c r="H140" s="91"/>
      <c r="I140" s="4">
        <f t="shared" si="10"/>
        <v>35</v>
      </c>
      <c r="J140" s="4"/>
    </row>
    <row r="141" spans="1:11" ht="16.5" thickBot="1" x14ac:dyDescent="0.3">
      <c r="A141" s="4">
        <f t="shared" si="9"/>
        <v>36</v>
      </c>
      <c r="B141" s="31" t="s">
        <v>1594</v>
      </c>
      <c r="F141" s="1113">
        <f>F114*F139</f>
        <v>387528.04823405942</v>
      </c>
      <c r="G141" s="218"/>
      <c r="H141" s="91" t="s">
        <v>1588</v>
      </c>
      <c r="I141" s="4">
        <f t="shared" si="10"/>
        <v>36</v>
      </c>
      <c r="J141" s="4"/>
    </row>
    <row r="142" spans="1:11" ht="16.5" thickTop="1" x14ac:dyDescent="0.25">
      <c r="A142" s="4">
        <f t="shared" si="9"/>
        <v>37</v>
      </c>
      <c r="B142" s="251"/>
      <c r="F142" s="471"/>
      <c r="G142" s="471"/>
      <c r="H142" s="91"/>
      <c r="I142" s="4">
        <f t="shared" si="10"/>
        <v>37</v>
      </c>
      <c r="J142" s="470"/>
      <c r="K142" s="466"/>
    </row>
    <row r="143" spans="1:11" ht="19.5" thickBot="1" x14ac:dyDescent="0.3">
      <c r="A143" s="4">
        <f t="shared" si="9"/>
        <v>38</v>
      </c>
      <c r="B143" s="251" t="s">
        <v>1730</v>
      </c>
      <c r="F143" s="1130">
        <f>F133+F139</f>
        <v>9.5186014302326788E-2</v>
      </c>
      <c r="G143" s="471"/>
      <c r="H143" s="91" t="s">
        <v>1689</v>
      </c>
      <c r="I143" s="4">
        <f t="shared" si="10"/>
        <v>38</v>
      </c>
      <c r="J143" s="470"/>
      <c r="K143" s="466"/>
    </row>
    <row r="144" spans="1:11" ht="17.25" thickTop="1" thickBot="1" x14ac:dyDescent="0.3">
      <c r="A144" s="862">
        <f t="shared" si="9"/>
        <v>39</v>
      </c>
      <c r="B144" s="863"/>
      <c r="C144" s="863"/>
      <c r="D144" s="863"/>
      <c r="E144" s="863"/>
      <c r="F144" s="862"/>
      <c r="G144" s="862"/>
      <c r="H144" s="864"/>
      <c r="I144" s="862">
        <f t="shared" si="10"/>
        <v>39</v>
      </c>
      <c r="J144" s="470"/>
      <c r="K144" s="466"/>
    </row>
    <row r="145" spans="1:11" x14ac:dyDescent="0.25">
      <c r="A145" s="4">
        <f t="shared" si="9"/>
        <v>40</v>
      </c>
      <c r="F145" s="4"/>
      <c r="G145" s="4"/>
      <c r="H145" s="91"/>
      <c r="I145" s="4">
        <f t="shared" si="10"/>
        <v>40</v>
      </c>
      <c r="J145" s="470"/>
      <c r="K145" s="466"/>
    </row>
    <row r="146" spans="1:11" ht="18.75" x14ac:dyDescent="0.25">
      <c r="A146" s="4">
        <f t="shared" si="9"/>
        <v>41</v>
      </c>
      <c r="B146" s="251" t="s">
        <v>1622</v>
      </c>
      <c r="D146" s="218"/>
      <c r="E146" s="218"/>
      <c r="F146" s="41"/>
      <c r="G146" s="41"/>
      <c r="H146" s="91"/>
      <c r="I146" s="4">
        <f t="shared" si="10"/>
        <v>41</v>
      </c>
      <c r="J146" s="470"/>
      <c r="K146" s="466"/>
    </row>
    <row r="147" spans="1:11" x14ac:dyDescent="0.25">
      <c r="A147" s="4">
        <f t="shared" si="9"/>
        <v>42</v>
      </c>
      <c r="B147" s="33"/>
      <c r="D147" s="218"/>
      <c r="E147" s="218"/>
      <c r="F147" s="41"/>
      <c r="G147" s="41"/>
      <c r="H147" s="91"/>
      <c r="I147" s="4">
        <f t="shared" si="10"/>
        <v>42</v>
      </c>
      <c r="J147" s="470"/>
      <c r="K147" s="466"/>
    </row>
    <row r="148" spans="1:11" x14ac:dyDescent="0.25">
      <c r="A148" s="4">
        <f t="shared" si="9"/>
        <v>43</v>
      </c>
      <c r="B148" s="251" t="s">
        <v>1049</v>
      </c>
      <c r="D148" s="218"/>
      <c r="E148" s="218"/>
      <c r="F148" s="41"/>
      <c r="G148" s="41"/>
      <c r="H148" s="91"/>
      <c r="I148" s="4">
        <f t="shared" si="10"/>
        <v>43</v>
      </c>
      <c r="J148" s="470"/>
      <c r="K148" s="466"/>
    </row>
    <row r="149" spans="1:11" x14ac:dyDescent="0.25">
      <c r="A149" s="4">
        <f t="shared" si="9"/>
        <v>44</v>
      </c>
      <c r="B149" s="218"/>
      <c r="C149" s="218"/>
      <c r="D149" s="218"/>
      <c r="E149" s="218"/>
      <c r="F149" s="41"/>
      <c r="G149" s="41"/>
      <c r="H149" s="91"/>
      <c r="I149" s="4">
        <f t="shared" si="10"/>
        <v>44</v>
      </c>
      <c r="J149" s="470"/>
      <c r="K149" s="466"/>
    </row>
    <row r="150" spans="1:11" x14ac:dyDescent="0.25">
      <c r="A150" s="4">
        <f t="shared" si="9"/>
        <v>45</v>
      </c>
      <c r="B150" s="32" t="s">
        <v>1050</v>
      </c>
      <c r="C150" s="218"/>
      <c r="D150" s="218"/>
      <c r="E150" s="218"/>
      <c r="F150" s="41"/>
      <c r="G150" s="41"/>
      <c r="H150" s="464"/>
      <c r="I150" s="4">
        <f t="shared" si="10"/>
        <v>45</v>
      </c>
      <c r="J150" s="470"/>
      <c r="K150" s="466"/>
    </row>
    <row r="151" spans="1:11" x14ac:dyDescent="0.25">
      <c r="A151" s="4">
        <f t="shared" si="9"/>
        <v>46</v>
      </c>
      <c r="B151" s="31" t="s">
        <v>1623</v>
      </c>
      <c r="C151" s="218"/>
      <c r="D151" s="218"/>
      <c r="E151" s="218"/>
      <c r="F151" s="133">
        <f>F52</f>
        <v>0</v>
      </c>
      <c r="G151" s="218"/>
      <c r="H151" s="91" t="s">
        <v>2042</v>
      </c>
      <c r="I151" s="4">
        <f t="shared" si="10"/>
        <v>46</v>
      </c>
      <c r="J151" s="470"/>
      <c r="K151" s="466"/>
    </row>
    <row r="152" spans="1:11" x14ac:dyDescent="0.25">
      <c r="A152" s="4">
        <f t="shared" si="9"/>
        <v>47</v>
      </c>
      <c r="B152" s="31" t="s">
        <v>1052</v>
      </c>
      <c r="C152" s="218"/>
      <c r="D152" s="218"/>
      <c r="E152" s="218"/>
      <c r="F152" s="136">
        <v>0</v>
      </c>
      <c r="G152" s="218"/>
      <c r="H152" s="91" t="s">
        <v>1597</v>
      </c>
      <c r="I152" s="4">
        <f t="shared" si="10"/>
        <v>47</v>
      </c>
      <c r="J152" s="470"/>
      <c r="K152" s="466"/>
    </row>
    <row r="153" spans="1:11" x14ac:dyDescent="0.25">
      <c r="A153" s="4">
        <f t="shared" si="9"/>
        <v>48</v>
      </c>
      <c r="B153" s="31" t="s">
        <v>1054</v>
      </c>
      <c r="C153" s="218"/>
      <c r="D153" s="218"/>
      <c r="E153" s="218"/>
      <c r="F153" s="136">
        <v>0</v>
      </c>
      <c r="G153" s="218"/>
      <c r="H153" s="91" t="s">
        <v>1597</v>
      </c>
      <c r="I153" s="4">
        <f t="shared" si="10"/>
        <v>48</v>
      </c>
      <c r="J153" s="470"/>
      <c r="K153" s="466"/>
    </row>
    <row r="154" spans="1:11" x14ac:dyDescent="0.25">
      <c r="A154" s="4">
        <f t="shared" si="9"/>
        <v>49</v>
      </c>
      <c r="B154" s="31" t="s">
        <v>1055</v>
      </c>
      <c r="C154" s="218"/>
      <c r="D154" s="465"/>
      <c r="E154" s="218"/>
      <c r="F154" s="7">
        <f>'BK-1 BTRR - EU'!E139</f>
        <v>5248483.9495624695</v>
      </c>
      <c r="G154" s="218"/>
      <c r="H154" s="91" t="s">
        <v>1988</v>
      </c>
      <c r="I154" s="4">
        <f t="shared" si="10"/>
        <v>49</v>
      </c>
      <c r="J154" s="470"/>
      <c r="K154" s="466"/>
    </row>
    <row r="155" spans="1:11" x14ac:dyDescent="0.25">
      <c r="A155" s="4">
        <f t="shared" si="9"/>
        <v>50</v>
      </c>
      <c r="B155" s="31" t="s">
        <v>1056</v>
      </c>
      <c r="C155" s="47"/>
      <c r="D155" s="218"/>
      <c r="E155" s="218"/>
      <c r="F155" s="1056" t="s">
        <v>1057</v>
      </c>
      <c r="G155" s="218"/>
      <c r="H155" s="91" t="s">
        <v>1058</v>
      </c>
      <c r="I155" s="4">
        <f t="shared" si="10"/>
        <v>50</v>
      </c>
      <c r="J155" s="470"/>
      <c r="K155" s="466"/>
    </row>
    <row r="156" spans="1:11" x14ac:dyDescent="0.25">
      <c r="A156" s="4">
        <f t="shared" si="9"/>
        <v>51</v>
      </c>
      <c r="F156" s="4"/>
      <c r="G156" s="4"/>
      <c r="I156" s="4">
        <f t="shared" si="10"/>
        <v>51</v>
      </c>
      <c r="J156" s="470"/>
      <c r="K156" s="466"/>
    </row>
    <row r="157" spans="1:11" x14ac:dyDescent="0.25">
      <c r="A157" s="4">
        <f t="shared" si="9"/>
        <v>52</v>
      </c>
      <c r="B157" s="31" t="s">
        <v>1059</v>
      </c>
      <c r="C157" s="218"/>
      <c r="D157" s="218"/>
      <c r="E157" s="218"/>
      <c r="F157" s="1057">
        <f>IFERROR((((F151)+(F153/F154))*F155-(F152/F154))/(1-F155),0)</f>
        <v>0</v>
      </c>
      <c r="G157" s="26"/>
      <c r="H157" s="91" t="s">
        <v>1060</v>
      </c>
      <c r="I157" s="4">
        <f t="shared" si="10"/>
        <v>52</v>
      </c>
      <c r="J157" s="470"/>
      <c r="K157" s="466"/>
    </row>
    <row r="158" spans="1:11" x14ac:dyDescent="0.25">
      <c r="A158" s="4">
        <f t="shared" si="9"/>
        <v>53</v>
      </c>
      <c r="B158" s="249" t="s">
        <v>1061</v>
      </c>
      <c r="F158" s="4"/>
      <c r="G158" s="4"/>
      <c r="I158" s="4">
        <f t="shared" si="10"/>
        <v>53</v>
      </c>
      <c r="J158" s="470"/>
      <c r="K158" s="466"/>
    </row>
    <row r="159" spans="1:11" x14ac:dyDescent="0.25">
      <c r="A159" s="4">
        <f t="shared" si="9"/>
        <v>54</v>
      </c>
      <c r="F159" s="4"/>
      <c r="G159" s="4"/>
      <c r="I159" s="4">
        <f t="shared" si="10"/>
        <v>54</v>
      </c>
      <c r="J159" s="470"/>
      <c r="K159" s="466"/>
    </row>
    <row r="160" spans="1:11" x14ac:dyDescent="0.25">
      <c r="A160" s="4">
        <f t="shared" si="9"/>
        <v>55</v>
      </c>
      <c r="B160" s="251" t="s">
        <v>1062</v>
      </c>
      <c r="C160" s="218"/>
      <c r="D160" s="218"/>
      <c r="E160" s="218"/>
      <c r="F160" s="134"/>
      <c r="G160" s="134"/>
      <c r="H160" s="467"/>
      <c r="I160" s="4">
        <f t="shared" si="10"/>
        <v>55</v>
      </c>
      <c r="J160" s="470"/>
      <c r="K160" s="466"/>
    </row>
    <row r="161" spans="1:11" x14ac:dyDescent="0.25">
      <c r="A161" s="4">
        <f t="shared" si="9"/>
        <v>56</v>
      </c>
      <c r="B161" s="340"/>
      <c r="C161" s="218"/>
      <c r="D161" s="218"/>
      <c r="E161" s="218"/>
      <c r="F161" s="134"/>
      <c r="G161" s="134"/>
      <c r="H161" s="469"/>
      <c r="I161" s="4">
        <f t="shared" si="10"/>
        <v>56</v>
      </c>
      <c r="J161" s="470"/>
      <c r="K161" s="466"/>
    </row>
    <row r="162" spans="1:11" x14ac:dyDescent="0.25">
      <c r="A162" s="4">
        <f t="shared" si="9"/>
        <v>57</v>
      </c>
      <c r="B162" s="32" t="s">
        <v>1050</v>
      </c>
      <c r="C162" s="218"/>
      <c r="D162" s="218"/>
      <c r="E162" s="218"/>
      <c r="F162" s="134"/>
      <c r="G162" s="134"/>
      <c r="H162" s="469"/>
      <c r="I162" s="4">
        <f t="shared" si="10"/>
        <v>57</v>
      </c>
      <c r="J162" s="470"/>
      <c r="K162" s="466"/>
    </row>
    <row r="163" spans="1:11" x14ac:dyDescent="0.25">
      <c r="A163" s="4">
        <f t="shared" si="9"/>
        <v>58</v>
      </c>
      <c r="B163" s="31" t="s">
        <v>1623</v>
      </c>
      <c r="C163" s="218"/>
      <c r="D163" s="218"/>
      <c r="E163" s="218"/>
      <c r="F163" s="133">
        <f>F151</f>
        <v>0</v>
      </c>
      <c r="G163" s="27"/>
      <c r="H163" s="91" t="s">
        <v>1628</v>
      </c>
      <c r="I163" s="4">
        <f t="shared" si="10"/>
        <v>58</v>
      </c>
      <c r="J163" s="470"/>
      <c r="K163" s="466"/>
    </row>
    <row r="164" spans="1:11" x14ac:dyDescent="0.25">
      <c r="A164" s="4">
        <f t="shared" si="9"/>
        <v>59</v>
      </c>
      <c r="B164" s="31" t="s">
        <v>1064</v>
      </c>
      <c r="C164" s="218"/>
      <c r="D164" s="218"/>
      <c r="E164" s="218"/>
      <c r="F164" s="136">
        <v>0</v>
      </c>
      <c r="G164" s="27"/>
      <c r="H164" s="91" t="s">
        <v>1597</v>
      </c>
      <c r="I164" s="4">
        <f t="shared" si="10"/>
        <v>59</v>
      </c>
      <c r="J164" s="470"/>
      <c r="K164" s="466"/>
    </row>
    <row r="165" spans="1:11" x14ac:dyDescent="0.25">
      <c r="A165" s="4">
        <f t="shared" si="9"/>
        <v>60</v>
      </c>
      <c r="B165" s="31" t="s">
        <v>1054</v>
      </c>
      <c r="C165" s="218"/>
      <c r="D165" s="218"/>
      <c r="E165" s="218"/>
      <c r="F165" s="7">
        <f>F153</f>
        <v>0</v>
      </c>
      <c r="G165" s="44"/>
      <c r="H165" s="91" t="s">
        <v>1731</v>
      </c>
      <c r="I165" s="4">
        <f t="shared" si="10"/>
        <v>60</v>
      </c>
      <c r="J165" s="470"/>
      <c r="K165" s="466"/>
    </row>
    <row r="166" spans="1:11" x14ac:dyDescent="0.25">
      <c r="A166" s="4">
        <f t="shared" si="9"/>
        <v>61</v>
      </c>
      <c r="B166" s="31" t="s">
        <v>1055</v>
      </c>
      <c r="C166" s="218"/>
      <c r="D166" s="218"/>
      <c r="E166" s="218"/>
      <c r="F166" s="7">
        <f>F154</f>
        <v>5248483.9495624695</v>
      </c>
      <c r="G166" s="10"/>
      <c r="H166" s="91" t="s">
        <v>1732</v>
      </c>
      <c r="I166" s="4">
        <f t="shared" si="10"/>
        <v>61</v>
      </c>
      <c r="J166" s="470"/>
      <c r="K166" s="466"/>
    </row>
    <row r="167" spans="1:11" x14ac:dyDescent="0.25">
      <c r="A167" s="4">
        <f t="shared" si="9"/>
        <v>62</v>
      </c>
      <c r="B167" s="31" t="s">
        <v>1068</v>
      </c>
      <c r="C167" s="218"/>
      <c r="D167" s="218"/>
      <c r="E167" s="218"/>
      <c r="F167" s="1147">
        <f>F157</f>
        <v>0</v>
      </c>
      <c r="G167" s="26"/>
      <c r="H167" s="91" t="s">
        <v>1733</v>
      </c>
      <c r="I167" s="4">
        <f t="shared" si="10"/>
        <v>62</v>
      </c>
      <c r="J167" s="470"/>
      <c r="K167" s="466"/>
    </row>
    <row r="168" spans="1:11" x14ac:dyDescent="0.25">
      <c r="A168" s="4">
        <f t="shared" si="9"/>
        <v>63</v>
      </c>
      <c r="B168" s="31" t="s">
        <v>1070</v>
      </c>
      <c r="C168" s="218"/>
      <c r="D168" s="218"/>
      <c r="E168" s="218"/>
      <c r="F168" s="1056" t="s">
        <v>1071</v>
      </c>
      <c r="G168" s="218"/>
      <c r="H168" s="91" t="s">
        <v>1072</v>
      </c>
      <c r="I168" s="4">
        <f t="shared" si="10"/>
        <v>63</v>
      </c>
      <c r="J168" s="470"/>
      <c r="K168" s="466"/>
    </row>
    <row r="169" spans="1:11" x14ac:dyDescent="0.25">
      <c r="A169" s="4">
        <f t="shared" si="9"/>
        <v>64</v>
      </c>
      <c r="B169" s="1"/>
      <c r="C169" s="218"/>
      <c r="D169" s="218"/>
      <c r="E169" s="218"/>
      <c r="F169" s="135"/>
      <c r="G169" s="135"/>
      <c r="H169" s="469"/>
      <c r="I169" s="4">
        <f t="shared" si="10"/>
        <v>64</v>
      </c>
      <c r="J169" s="470"/>
      <c r="K169" s="466"/>
    </row>
    <row r="170" spans="1:11" x14ac:dyDescent="0.25">
      <c r="A170" s="4">
        <f t="shared" si="9"/>
        <v>65</v>
      </c>
      <c r="B170" s="31" t="s">
        <v>1073</v>
      </c>
      <c r="C170" s="4"/>
      <c r="D170" s="218"/>
      <c r="E170" s="218"/>
      <c r="F170" s="1057">
        <f>IFERROR((((F163)+(F165/F166)+F157)*F168-(F164/F166))/(1-F168),0)</f>
        <v>0</v>
      </c>
      <c r="G170" s="26"/>
      <c r="H170" s="91" t="s">
        <v>1074</v>
      </c>
      <c r="I170" s="4">
        <f t="shared" si="10"/>
        <v>65</v>
      </c>
      <c r="J170" s="470"/>
      <c r="K170" s="466"/>
    </row>
    <row r="171" spans="1:11" x14ac:dyDescent="0.25">
      <c r="A171" s="4">
        <f t="shared" si="9"/>
        <v>66</v>
      </c>
      <c r="B171" s="249" t="s">
        <v>1075</v>
      </c>
      <c r="F171" s="4"/>
      <c r="G171" s="4"/>
      <c r="H171" s="91"/>
      <c r="I171" s="4">
        <f t="shared" si="10"/>
        <v>66</v>
      </c>
      <c r="J171" s="470"/>
      <c r="K171" s="466"/>
    </row>
    <row r="172" spans="1:11" x14ac:dyDescent="0.25">
      <c r="A172" s="4">
        <f t="shared" si="9"/>
        <v>67</v>
      </c>
      <c r="F172" s="4"/>
      <c r="G172" s="4"/>
      <c r="H172" s="91"/>
      <c r="I172" s="4">
        <f t="shared" si="10"/>
        <v>67</v>
      </c>
      <c r="J172" s="470"/>
      <c r="K172" s="466"/>
    </row>
    <row r="173" spans="1:11" x14ac:dyDescent="0.25">
      <c r="A173" s="4">
        <f t="shared" si="9"/>
        <v>68</v>
      </c>
      <c r="B173" s="251" t="s">
        <v>1617</v>
      </c>
      <c r="F173" s="1057">
        <f>F157+F170</f>
        <v>0</v>
      </c>
      <c r="G173" s="26"/>
      <c r="H173" s="91" t="s">
        <v>1734</v>
      </c>
      <c r="I173" s="4">
        <f t="shared" si="10"/>
        <v>68</v>
      </c>
      <c r="J173" s="470"/>
      <c r="K173" s="466"/>
    </row>
    <row r="174" spans="1:11" x14ac:dyDescent="0.25">
      <c r="A174" s="4">
        <f t="shared" si="9"/>
        <v>69</v>
      </c>
      <c r="B174" s="251"/>
      <c r="F174" s="26"/>
      <c r="G174" s="26"/>
      <c r="H174" s="91"/>
      <c r="I174" s="4">
        <f t="shared" si="10"/>
        <v>69</v>
      </c>
      <c r="J174" s="470"/>
      <c r="K174" s="466"/>
    </row>
    <row r="175" spans="1:11" x14ac:dyDescent="0.25">
      <c r="A175" s="4">
        <f t="shared" ref="A175:A183" si="11">A174+1</f>
        <v>70</v>
      </c>
      <c r="B175" s="31" t="s">
        <v>1583</v>
      </c>
      <c r="F175" s="10">
        <f>F154*F157</f>
        <v>0</v>
      </c>
      <c r="G175" s="26"/>
      <c r="H175" s="91" t="s">
        <v>1735</v>
      </c>
      <c r="I175" s="4">
        <f t="shared" ref="I175:I183" si="12">I174+1</f>
        <v>70</v>
      </c>
      <c r="J175" s="470"/>
      <c r="K175" s="466"/>
    </row>
    <row r="176" spans="1:11" x14ac:dyDescent="0.25">
      <c r="A176" s="4">
        <f t="shared" si="11"/>
        <v>71</v>
      </c>
      <c r="B176" s="31" t="s">
        <v>1585</v>
      </c>
      <c r="F176" s="1120">
        <f>F154*F170</f>
        <v>0</v>
      </c>
      <c r="G176" s="26"/>
      <c r="H176" s="91" t="s">
        <v>1736</v>
      </c>
      <c r="I176" s="4">
        <f t="shared" si="12"/>
        <v>71</v>
      </c>
      <c r="J176" s="470"/>
      <c r="K176" s="466"/>
    </row>
    <row r="177" spans="1:11" ht="16.5" thickBot="1" x14ac:dyDescent="0.3">
      <c r="A177" s="4">
        <f t="shared" si="11"/>
        <v>72</v>
      </c>
      <c r="B177" s="31" t="s">
        <v>1587</v>
      </c>
      <c r="F177" s="17">
        <f>F175+F176</f>
        <v>0</v>
      </c>
      <c r="G177" s="26"/>
      <c r="H177" s="91" t="s">
        <v>1737</v>
      </c>
      <c r="I177" s="4">
        <f t="shared" si="12"/>
        <v>72</v>
      </c>
      <c r="J177" s="470"/>
      <c r="K177" s="466"/>
    </row>
    <row r="178" spans="1:11" ht="16.5" thickTop="1" x14ac:dyDescent="0.25">
      <c r="A178" s="4">
        <f t="shared" si="11"/>
        <v>73</v>
      </c>
      <c r="F178" s="4"/>
      <c r="G178" s="4"/>
      <c r="H178" s="91"/>
      <c r="I178" s="4">
        <f t="shared" si="12"/>
        <v>73</v>
      </c>
      <c r="J178" s="470"/>
      <c r="K178" s="466"/>
    </row>
    <row r="179" spans="1:11" x14ac:dyDescent="0.25">
      <c r="A179" s="4">
        <f t="shared" si="11"/>
        <v>74</v>
      </c>
      <c r="B179" s="251" t="s">
        <v>1762</v>
      </c>
      <c r="F179" s="868">
        <f>F50</f>
        <v>0</v>
      </c>
      <c r="G179" s="218"/>
      <c r="H179" s="91" t="s">
        <v>2042</v>
      </c>
      <c r="I179" s="4">
        <f t="shared" si="12"/>
        <v>74</v>
      </c>
      <c r="J179" s="470"/>
      <c r="K179" s="466"/>
    </row>
    <row r="180" spans="1:11" x14ac:dyDescent="0.25">
      <c r="A180" s="4">
        <f t="shared" si="11"/>
        <v>75</v>
      </c>
      <c r="B180" s="251"/>
      <c r="F180" s="26"/>
      <c r="G180" s="218"/>
      <c r="H180" s="91"/>
      <c r="I180" s="4">
        <f t="shared" si="12"/>
        <v>75</v>
      </c>
      <c r="J180" s="470"/>
      <c r="K180" s="466"/>
    </row>
    <row r="181" spans="1:11" ht="16.5" thickBot="1" x14ac:dyDescent="0.3">
      <c r="A181" s="4">
        <f t="shared" si="11"/>
        <v>76</v>
      </c>
      <c r="B181" s="31" t="s">
        <v>1594</v>
      </c>
      <c r="F181" s="1113">
        <f>F154*F179</f>
        <v>0</v>
      </c>
      <c r="G181" s="218"/>
      <c r="H181" s="91" t="s">
        <v>1742</v>
      </c>
      <c r="I181" s="4">
        <f t="shared" si="12"/>
        <v>76</v>
      </c>
      <c r="J181" s="470"/>
      <c r="K181" s="466"/>
    </row>
    <row r="182" spans="1:11" ht="16.5" thickTop="1" x14ac:dyDescent="0.25">
      <c r="A182" s="4">
        <f t="shared" si="11"/>
        <v>77</v>
      </c>
      <c r="F182" s="27"/>
      <c r="G182" s="27"/>
      <c r="H182" s="91"/>
      <c r="I182" s="4">
        <f t="shared" si="12"/>
        <v>77</v>
      </c>
      <c r="J182" s="470"/>
      <c r="K182" s="466"/>
    </row>
    <row r="183" spans="1:11" ht="19.5" thickBot="1" x14ac:dyDescent="0.3">
      <c r="A183" s="4">
        <f t="shared" si="11"/>
        <v>78</v>
      </c>
      <c r="B183" s="251" t="s">
        <v>1761</v>
      </c>
      <c r="F183" s="1130">
        <f>F173+F179</f>
        <v>0</v>
      </c>
      <c r="G183" s="26"/>
      <c r="H183" s="91" t="s">
        <v>1738</v>
      </c>
      <c r="I183" s="4">
        <f t="shared" si="12"/>
        <v>78</v>
      </c>
      <c r="J183" s="470"/>
      <c r="K183" s="466"/>
    </row>
    <row r="184" spans="1:11" ht="16.5" thickTop="1" x14ac:dyDescent="0.25">
      <c r="B184" s="251"/>
      <c r="F184" s="471"/>
      <c r="G184" s="471"/>
      <c r="H184" s="91"/>
      <c r="I184" s="4"/>
      <c r="J184" s="470"/>
      <c r="K184" s="466"/>
    </row>
    <row r="185" spans="1:11" x14ac:dyDescent="0.25">
      <c r="B185" s="251"/>
      <c r="F185" s="26"/>
      <c r="G185" s="471"/>
      <c r="H185" s="91"/>
      <c r="I185" s="4"/>
      <c r="J185" s="470"/>
      <c r="K185" s="466"/>
    </row>
    <row r="186" spans="1:11" x14ac:dyDescent="0.25">
      <c r="B186" s="1294" t="s">
        <v>0</v>
      </c>
      <c r="C186" s="1294"/>
      <c r="D186" s="1294"/>
      <c r="E186" s="1294"/>
      <c r="F186" s="1294"/>
      <c r="G186" s="1294"/>
      <c r="H186" s="1294"/>
      <c r="I186" s="4"/>
    </row>
    <row r="187" spans="1:11" x14ac:dyDescent="0.25">
      <c r="B187" s="1294" t="s">
        <v>986</v>
      </c>
      <c r="C187" s="1294"/>
      <c r="D187" s="1294"/>
      <c r="E187" s="1294"/>
      <c r="F187" s="1294"/>
      <c r="G187" s="1294"/>
      <c r="H187" s="1294"/>
      <c r="I187" s="4"/>
    </row>
    <row r="188" spans="1:11" x14ac:dyDescent="0.25">
      <c r="B188" s="1294" t="s">
        <v>987</v>
      </c>
      <c r="C188" s="1294"/>
      <c r="D188" s="1294"/>
      <c r="E188" s="1294"/>
      <c r="F188" s="1294"/>
      <c r="G188" s="1294"/>
      <c r="H188" s="1294"/>
      <c r="I188" s="4"/>
    </row>
    <row r="189" spans="1:11" x14ac:dyDescent="0.25">
      <c r="B189" s="1300" t="str">
        <f>B5</f>
        <v>Base Period &amp; True-Up Period 12 - Months Ending December 31, 2023</v>
      </c>
      <c r="C189" s="1300"/>
      <c r="D189" s="1300"/>
      <c r="E189" s="1300"/>
      <c r="F189" s="1300"/>
      <c r="G189" s="1300"/>
      <c r="H189" s="1300"/>
      <c r="I189" s="4"/>
    </row>
    <row r="190" spans="1:11" x14ac:dyDescent="0.25">
      <c r="B190" s="1299" t="s">
        <v>4</v>
      </c>
      <c r="C190" s="1299"/>
      <c r="D190" s="1299"/>
      <c r="E190" s="1299"/>
      <c r="F190" s="1299"/>
      <c r="G190" s="1299"/>
      <c r="H190" s="1299"/>
      <c r="I190" s="4"/>
    </row>
    <row r="191" spans="1:11" x14ac:dyDescent="0.25">
      <c r="B191" s="4"/>
      <c r="C191" s="4"/>
      <c r="D191" s="4"/>
      <c r="E191" s="4"/>
      <c r="F191" s="218"/>
      <c r="G191" s="218"/>
      <c r="H191" s="91"/>
      <c r="I191" s="4"/>
    </row>
    <row r="192" spans="1:11" x14ac:dyDescent="0.25">
      <c r="A192" s="4" t="s">
        <v>5</v>
      </c>
      <c r="B192" s="218"/>
      <c r="C192" s="218"/>
      <c r="D192" s="218"/>
      <c r="E192" s="218"/>
      <c r="F192" s="218"/>
      <c r="G192" s="218"/>
      <c r="H192" s="91"/>
      <c r="I192" s="4" t="s">
        <v>5</v>
      </c>
    </row>
    <row r="193" spans="1:9" x14ac:dyDescent="0.25">
      <c r="A193" s="4" t="s">
        <v>6</v>
      </c>
      <c r="B193" s="4"/>
      <c r="C193" s="4"/>
      <c r="D193" s="4"/>
      <c r="E193" s="4"/>
      <c r="F193" s="849" t="s">
        <v>7</v>
      </c>
      <c r="G193" s="218"/>
      <c r="H193" s="851" t="s">
        <v>8</v>
      </c>
      <c r="I193" s="4" t="s">
        <v>6</v>
      </c>
    </row>
    <row r="194" spans="1:9" x14ac:dyDescent="0.25">
      <c r="F194" s="4"/>
      <c r="G194" s="4"/>
      <c r="H194" s="91"/>
      <c r="I194" s="4"/>
    </row>
    <row r="195" spans="1:9" ht="18.75" x14ac:dyDescent="0.25">
      <c r="A195" s="4">
        <v>1</v>
      </c>
      <c r="B195" s="251" t="s">
        <v>1739</v>
      </c>
      <c r="D195" s="218"/>
      <c r="E195" s="218"/>
      <c r="F195" s="41"/>
      <c r="G195" s="41"/>
      <c r="H195" s="91"/>
      <c r="I195" s="4">
        <v>1</v>
      </c>
    </row>
    <row r="196" spans="1:9" x14ac:dyDescent="0.25">
      <c r="A196" s="4">
        <f>A195+1</f>
        <v>2</v>
      </c>
      <c r="B196" s="33"/>
      <c r="D196" s="218"/>
      <c r="E196" s="218"/>
      <c r="F196" s="41"/>
      <c r="G196" s="41"/>
      <c r="H196" s="91"/>
      <c r="I196" s="4">
        <f>I195+1</f>
        <v>2</v>
      </c>
    </row>
    <row r="197" spans="1:9" x14ac:dyDescent="0.25">
      <c r="A197" s="4">
        <f>A196+1</f>
        <v>3</v>
      </c>
      <c r="B197" s="251" t="s">
        <v>1049</v>
      </c>
      <c r="D197" s="218"/>
      <c r="E197" s="218"/>
      <c r="F197" s="41"/>
      <c r="G197" s="41"/>
      <c r="H197" s="91"/>
      <c r="I197" s="4">
        <f>I196+1</f>
        <v>3</v>
      </c>
    </row>
    <row r="198" spans="1:9" x14ac:dyDescent="0.25">
      <c r="A198" s="4">
        <f>A197+1</f>
        <v>4</v>
      </c>
      <c r="B198" s="218"/>
      <c r="C198" s="218"/>
      <c r="D198" s="218"/>
      <c r="E198" s="218"/>
      <c r="F198" s="41"/>
      <c r="G198" s="41"/>
      <c r="H198" s="91"/>
      <c r="I198" s="4">
        <f>I197+1</f>
        <v>4</v>
      </c>
    </row>
    <row r="199" spans="1:9" x14ac:dyDescent="0.25">
      <c r="A199" s="4">
        <f t="shared" ref="A199:A269" si="13">A198+1</f>
        <v>5</v>
      </c>
      <c r="B199" s="32" t="s">
        <v>1050</v>
      </c>
      <c r="C199" s="218"/>
      <c r="D199" s="218"/>
      <c r="E199" s="218"/>
      <c r="F199" s="41"/>
      <c r="G199" s="41"/>
      <c r="H199" s="464"/>
      <c r="I199" s="4">
        <f t="shared" ref="I199:I269" si="14">I198+1</f>
        <v>5</v>
      </c>
    </row>
    <row r="200" spans="1:9" x14ac:dyDescent="0.25">
      <c r="A200" s="4">
        <f t="shared" si="13"/>
        <v>6</v>
      </c>
      <c r="B200" s="31" t="s">
        <v>2052</v>
      </c>
      <c r="C200" s="218"/>
      <c r="D200" s="218"/>
      <c r="E200" s="218"/>
      <c r="F200" s="133">
        <f>F77</f>
        <v>0</v>
      </c>
      <c r="G200" s="218"/>
      <c r="H200" s="91" t="s">
        <v>2026</v>
      </c>
      <c r="I200" s="4">
        <f t="shared" si="14"/>
        <v>6</v>
      </c>
    </row>
    <row r="201" spans="1:9" x14ac:dyDescent="0.25">
      <c r="A201" s="4">
        <f t="shared" si="13"/>
        <v>7</v>
      </c>
      <c r="B201" s="31" t="s">
        <v>1052</v>
      </c>
      <c r="C201" s="218"/>
      <c r="D201" s="218"/>
      <c r="E201" s="218"/>
      <c r="F201" s="136">
        <v>0</v>
      </c>
      <c r="G201" s="218"/>
      <c r="H201" s="91" t="s">
        <v>1077</v>
      </c>
      <c r="I201" s="4">
        <f t="shared" si="14"/>
        <v>7</v>
      </c>
    </row>
    <row r="202" spans="1:9" x14ac:dyDescent="0.25">
      <c r="A202" s="4">
        <f t="shared" si="13"/>
        <v>8</v>
      </c>
      <c r="B202" s="31" t="s">
        <v>1054</v>
      </c>
      <c r="C202" s="218"/>
      <c r="D202" s="218"/>
      <c r="E202" s="218"/>
      <c r="F202" s="110">
        <v>0</v>
      </c>
      <c r="G202" s="218"/>
      <c r="H202" s="421" t="s">
        <v>258</v>
      </c>
      <c r="I202" s="4">
        <f t="shared" si="14"/>
        <v>8</v>
      </c>
    </row>
    <row r="203" spans="1:9" x14ac:dyDescent="0.25">
      <c r="A203" s="4">
        <f t="shared" si="13"/>
        <v>9</v>
      </c>
      <c r="B203" s="31" t="s">
        <v>1078</v>
      </c>
      <c r="C203" s="218"/>
      <c r="D203" s="218"/>
      <c r="E203" s="218"/>
      <c r="F203" s="22">
        <f>'BK-1 BTRR - EU'!E144</f>
        <v>0</v>
      </c>
      <c r="G203" s="218"/>
      <c r="H203" s="91" t="s">
        <v>1989</v>
      </c>
      <c r="I203" s="4">
        <f t="shared" si="14"/>
        <v>9</v>
      </c>
    </row>
    <row r="204" spans="1:9" x14ac:dyDescent="0.25">
      <c r="A204" s="4">
        <f t="shared" si="13"/>
        <v>10</v>
      </c>
      <c r="B204" s="31" t="s">
        <v>1056</v>
      </c>
      <c r="C204" s="218"/>
      <c r="D204" s="218"/>
      <c r="E204" s="218"/>
      <c r="F204" s="1058" t="str">
        <f>F115</f>
        <v>21%</v>
      </c>
      <c r="G204" s="218"/>
      <c r="H204" s="91" t="s">
        <v>1636</v>
      </c>
      <c r="I204" s="4">
        <f t="shared" si="14"/>
        <v>10</v>
      </c>
    </row>
    <row r="205" spans="1:9" x14ac:dyDescent="0.25">
      <c r="A205" s="4">
        <f t="shared" si="13"/>
        <v>11</v>
      </c>
      <c r="F205" s="4"/>
      <c r="G205" s="4"/>
      <c r="I205" s="4">
        <f t="shared" si="14"/>
        <v>11</v>
      </c>
    </row>
    <row r="206" spans="1:9" x14ac:dyDescent="0.25">
      <c r="A206" s="4">
        <f t="shared" si="13"/>
        <v>12</v>
      </c>
      <c r="B206" s="31" t="s">
        <v>1079</v>
      </c>
      <c r="C206" s="218"/>
      <c r="D206" s="218"/>
      <c r="E206" s="218"/>
      <c r="F206" s="1057">
        <f>IFERROR((((F200)+(F202/F203))*F204-(F201/F203))/(1-F204),0)</f>
        <v>0</v>
      </c>
      <c r="G206" s="26"/>
      <c r="H206" s="91" t="s">
        <v>1080</v>
      </c>
      <c r="I206" s="4">
        <f t="shared" si="14"/>
        <v>12</v>
      </c>
    </row>
    <row r="207" spans="1:9" x14ac:dyDescent="0.25">
      <c r="A207" s="4">
        <f t="shared" si="13"/>
        <v>13</v>
      </c>
      <c r="B207" s="249" t="s">
        <v>1061</v>
      </c>
      <c r="C207" s="249"/>
      <c r="F207" s="27"/>
      <c r="G207" s="27"/>
      <c r="I207" s="4">
        <f t="shared" si="14"/>
        <v>13</v>
      </c>
    </row>
    <row r="208" spans="1:9" x14ac:dyDescent="0.25">
      <c r="A208" s="4">
        <f t="shared" si="13"/>
        <v>14</v>
      </c>
      <c r="F208" s="4"/>
      <c r="G208" s="4"/>
      <c r="I208" s="4">
        <f t="shared" si="14"/>
        <v>14</v>
      </c>
    </row>
    <row r="209" spans="1:9" x14ac:dyDescent="0.25">
      <c r="A209" s="4">
        <f t="shared" si="13"/>
        <v>15</v>
      </c>
      <c r="B209" s="251" t="s">
        <v>1062</v>
      </c>
      <c r="C209" s="218"/>
      <c r="D209" s="218"/>
      <c r="E209" s="218"/>
      <c r="F209" s="134"/>
      <c r="G209" s="134"/>
      <c r="H209" s="467"/>
      <c r="I209" s="4">
        <f t="shared" si="14"/>
        <v>15</v>
      </c>
    </row>
    <row r="210" spans="1:9" x14ac:dyDescent="0.25">
      <c r="A210" s="4">
        <f t="shared" si="13"/>
        <v>16</v>
      </c>
      <c r="B210" s="340"/>
      <c r="C210" s="218"/>
      <c r="D210" s="218"/>
      <c r="E210" s="218"/>
      <c r="F210" s="134"/>
      <c r="G210" s="134"/>
      <c r="H210" s="464"/>
      <c r="I210" s="4">
        <f t="shared" si="14"/>
        <v>16</v>
      </c>
    </row>
    <row r="211" spans="1:9" x14ac:dyDescent="0.25">
      <c r="A211" s="4">
        <f t="shared" si="13"/>
        <v>17</v>
      </c>
      <c r="B211" s="32" t="s">
        <v>1050</v>
      </c>
      <c r="C211" s="218"/>
      <c r="D211" s="218"/>
      <c r="E211" s="218"/>
      <c r="F211" s="134"/>
      <c r="G211" s="134"/>
      <c r="H211" s="464"/>
      <c r="I211" s="4">
        <f t="shared" si="14"/>
        <v>17</v>
      </c>
    </row>
    <row r="212" spans="1:9" x14ac:dyDescent="0.25">
      <c r="A212" s="4">
        <f t="shared" si="13"/>
        <v>18</v>
      </c>
      <c r="B212" s="31" t="s">
        <v>2052</v>
      </c>
      <c r="C212" s="218"/>
      <c r="D212" s="218"/>
      <c r="E212" s="218"/>
      <c r="F212" s="133">
        <f>F200</f>
        <v>0</v>
      </c>
      <c r="G212" s="27"/>
      <c r="H212" s="91" t="s">
        <v>1063</v>
      </c>
      <c r="I212" s="4">
        <f t="shared" si="14"/>
        <v>18</v>
      </c>
    </row>
    <row r="213" spans="1:9" x14ac:dyDescent="0.25">
      <c r="A213" s="4">
        <f t="shared" si="13"/>
        <v>19</v>
      </c>
      <c r="B213" s="31" t="s">
        <v>1064</v>
      </c>
      <c r="C213" s="218"/>
      <c r="D213" s="218"/>
      <c r="E213" s="218"/>
      <c r="F213" s="136">
        <v>0</v>
      </c>
      <c r="G213" s="27"/>
      <c r="H213" s="91" t="s">
        <v>1077</v>
      </c>
      <c r="I213" s="4">
        <f t="shared" si="14"/>
        <v>19</v>
      </c>
    </row>
    <row r="214" spans="1:9" x14ac:dyDescent="0.25">
      <c r="A214" s="4">
        <f t="shared" si="13"/>
        <v>20</v>
      </c>
      <c r="B214" s="31" t="s">
        <v>1054</v>
      </c>
      <c r="C214" s="218"/>
      <c r="D214" s="218"/>
      <c r="E214" s="218"/>
      <c r="F214" s="22">
        <f>F202</f>
        <v>0</v>
      </c>
      <c r="G214" s="44"/>
      <c r="H214" s="91" t="s">
        <v>1066</v>
      </c>
      <c r="I214" s="4">
        <f t="shared" si="14"/>
        <v>20</v>
      </c>
    </row>
    <row r="215" spans="1:9" x14ac:dyDescent="0.25">
      <c r="A215" s="4">
        <f t="shared" si="13"/>
        <v>21</v>
      </c>
      <c r="B215" s="31" t="s">
        <v>1078</v>
      </c>
      <c r="C215" s="218"/>
      <c r="D215" s="218"/>
      <c r="E215" s="218"/>
      <c r="F215" s="22">
        <f>F203</f>
        <v>0</v>
      </c>
      <c r="G215" s="44"/>
      <c r="H215" s="91" t="s">
        <v>1067</v>
      </c>
      <c r="I215" s="4">
        <f t="shared" si="14"/>
        <v>21</v>
      </c>
    </row>
    <row r="216" spans="1:9" x14ac:dyDescent="0.25">
      <c r="A216" s="4">
        <f t="shared" si="13"/>
        <v>22</v>
      </c>
      <c r="B216" s="31" t="s">
        <v>1068</v>
      </c>
      <c r="C216" s="218"/>
      <c r="D216" s="218"/>
      <c r="E216" s="218"/>
      <c r="F216" s="1147">
        <f>F206</f>
        <v>0</v>
      </c>
      <c r="G216" s="26"/>
      <c r="H216" s="91" t="s">
        <v>1069</v>
      </c>
      <c r="I216" s="4">
        <f t="shared" si="14"/>
        <v>22</v>
      </c>
    </row>
    <row r="217" spans="1:9" x14ac:dyDescent="0.25">
      <c r="A217" s="4">
        <f t="shared" si="13"/>
        <v>23</v>
      </c>
      <c r="B217" s="31" t="s">
        <v>1070</v>
      </c>
      <c r="C217" s="218"/>
      <c r="D217" s="218"/>
      <c r="E217" s="218"/>
      <c r="F217" s="926" t="str">
        <f>F128</f>
        <v>8.84%</v>
      </c>
      <c r="G217" s="218"/>
      <c r="H217" s="91" t="s">
        <v>1637</v>
      </c>
      <c r="I217" s="4">
        <f t="shared" si="14"/>
        <v>23</v>
      </c>
    </row>
    <row r="218" spans="1:9" x14ac:dyDescent="0.25">
      <c r="A218" s="4">
        <f t="shared" si="13"/>
        <v>24</v>
      </c>
      <c r="B218" s="1"/>
      <c r="C218" s="218"/>
      <c r="D218" s="218"/>
      <c r="E218" s="218"/>
      <c r="F218" s="135"/>
      <c r="G218" s="135"/>
      <c r="H218" s="469"/>
      <c r="I218" s="4">
        <f t="shared" si="14"/>
        <v>24</v>
      </c>
    </row>
    <row r="219" spans="1:9" x14ac:dyDescent="0.25">
      <c r="A219" s="4">
        <f t="shared" si="13"/>
        <v>25</v>
      </c>
      <c r="B219" s="31" t="s">
        <v>1073</v>
      </c>
      <c r="C219" s="4"/>
      <c r="D219" s="218"/>
      <c r="E219" s="218"/>
      <c r="F219" s="1057">
        <f>IFERROR((((F212)+(F214/F215)+F206)*F217-(F213/F215))/(1-F217),0)</f>
        <v>0</v>
      </c>
      <c r="G219" s="26"/>
      <c r="H219" s="91" t="s">
        <v>1074</v>
      </c>
      <c r="I219" s="4">
        <f t="shared" si="14"/>
        <v>25</v>
      </c>
    </row>
    <row r="220" spans="1:9" x14ac:dyDescent="0.25">
      <c r="A220" s="4">
        <f t="shared" si="13"/>
        <v>26</v>
      </c>
      <c r="B220" s="249" t="s">
        <v>1075</v>
      </c>
      <c r="C220" s="249"/>
      <c r="F220" s="4"/>
      <c r="G220" s="4"/>
      <c r="H220" s="91"/>
      <c r="I220" s="4">
        <f t="shared" si="14"/>
        <v>26</v>
      </c>
    </row>
    <row r="221" spans="1:9" x14ac:dyDescent="0.25">
      <c r="A221" s="4">
        <f t="shared" si="13"/>
        <v>27</v>
      </c>
      <c r="F221" s="4"/>
      <c r="G221" s="4"/>
      <c r="H221" s="91"/>
      <c r="I221" s="4">
        <f t="shared" si="14"/>
        <v>27</v>
      </c>
    </row>
    <row r="222" spans="1:9" x14ac:dyDescent="0.25">
      <c r="A222" s="4">
        <f t="shared" si="13"/>
        <v>28</v>
      </c>
      <c r="B222" s="251" t="s">
        <v>1576</v>
      </c>
      <c r="F222" s="1057">
        <f>F206+F219</f>
        <v>0</v>
      </c>
      <c r="G222" s="26"/>
      <c r="H222" s="91" t="s">
        <v>1076</v>
      </c>
      <c r="I222" s="4">
        <f t="shared" si="14"/>
        <v>28</v>
      </c>
    </row>
    <row r="223" spans="1:9" x14ac:dyDescent="0.25">
      <c r="A223" s="4">
        <f t="shared" si="13"/>
        <v>29</v>
      </c>
      <c r="F223" s="26"/>
      <c r="G223" s="26"/>
      <c r="H223" s="91"/>
      <c r="I223" s="4">
        <f t="shared" si="14"/>
        <v>29</v>
      </c>
    </row>
    <row r="224" spans="1:9" x14ac:dyDescent="0.25">
      <c r="A224" s="4">
        <f t="shared" si="13"/>
        <v>30</v>
      </c>
      <c r="B224" s="31" t="s">
        <v>1583</v>
      </c>
      <c r="F224" s="1114">
        <f>F203*F206</f>
        <v>0</v>
      </c>
      <c r="G224" s="26"/>
      <c r="H224" s="91" t="s">
        <v>1584</v>
      </c>
      <c r="I224" s="4">
        <f t="shared" si="14"/>
        <v>30</v>
      </c>
    </row>
    <row r="225" spans="1:9" x14ac:dyDescent="0.25">
      <c r="A225" s="4">
        <f t="shared" si="13"/>
        <v>31</v>
      </c>
      <c r="B225" s="31" t="s">
        <v>1585</v>
      </c>
      <c r="F225" s="1121">
        <f>F203*F219</f>
        <v>0</v>
      </c>
      <c r="G225" s="26"/>
      <c r="H225" s="91" t="s">
        <v>1586</v>
      </c>
      <c r="I225" s="4">
        <f t="shared" si="14"/>
        <v>31</v>
      </c>
    </row>
    <row r="226" spans="1:9" ht="16.5" thickBot="1" x14ac:dyDescent="0.3">
      <c r="A226" s="4">
        <f t="shared" si="13"/>
        <v>32</v>
      </c>
      <c r="B226" s="31" t="s">
        <v>1587</v>
      </c>
      <c r="F226" s="1191">
        <f>F224+F225</f>
        <v>0</v>
      </c>
      <c r="G226" s="26"/>
      <c r="H226" s="91" t="s">
        <v>99</v>
      </c>
      <c r="I226" s="4">
        <f t="shared" si="14"/>
        <v>32</v>
      </c>
    </row>
    <row r="227" spans="1:9" ht="16.5" thickTop="1" x14ac:dyDescent="0.25">
      <c r="A227" s="4">
        <f t="shared" si="13"/>
        <v>33</v>
      </c>
      <c r="F227" s="1114"/>
      <c r="G227" s="26"/>
      <c r="H227" s="91"/>
      <c r="I227" s="4">
        <f t="shared" si="14"/>
        <v>33</v>
      </c>
    </row>
    <row r="228" spans="1:9" x14ac:dyDescent="0.25">
      <c r="A228" s="4">
        <f t="shared" si="13"/>
        <v>34</v>
      </c>
      <c r="B228" s="251" t="s">
        <v>1578</v>
      </c>
      <c r="F228" s="868">
        <f>F75</f>
        <v>1.832418811797356E-2</v>
      </c>
      <c r="G228" s="218"/>
      <c r="H228" s="91" t="s">
        <v>2044</v>
      </c>
      <c r="I228" s="4">
        <f t="shared" si="14"/>
        <v>34</v>
      </c>
    </row>
    <row r="229" spans="1:9" x14ac:dyDescent="0.25">
      <c r="A229" s="4">
        <f t="shared" si="13"/>
        <v>35</v>
      </c>
      <c r="B229" s="251"/>
      <c r="F229" s="26"/>
      <c r="G229" s="218"/>
      <c r="H229" s="91"/>
      <c r="I229" s="4">
        <f t="shared" si="14"/>
        <v>35</v>
      </c>
    </row>
    <row r="230" spans="1:9" ht="16.5" thickBot="1" x14ac:dyDescent="0.3">
      <c r="A230" s="4">
        <f t="shared" si="13"/>
        <v>36</v>
      </c>
      <c r="B230" s="31" t="s">
        <v>1594</v>
      </c>
      <c r="F230" s="1192">
        <f>F203*F228</f>
        <v>0</v>
      </c>
      <c r="G230" s="218"/>
      <c r="H230" s="91" t="s">
        <v>1588</v>
      </c>
      <c r="I230" s="4">
        <f t="shared" si="14"/>
        <v>36</v>
      </c>
    </row>
    <row r="231" spans="1:9" ht="16.5" thickTop="1" x14ac:dyDescent="0.25">
      <c r="A231" s="4">
        <f t="shared" si="13"/>
        <v>37</v>
      </c>
      <c r="F231" s="26"/>
      <c r="G231" s="26"/>
      <c r="H231" s="91"/>
      <c r="I231" s="4">
        <f t="shared" si="14"/>
        <v>37</v>
      </c>
    </row>
    <row r="232" spans="1:9" ht="19.5" thickBot="1" x14ac:dyDescent="0.3">
      <c r="A232" s="4">
        <f t="shared" si="13"/>
        <v>38</v>
      </c>
      <c r="B232" s="251" t="s">
        <v>1640</v>
      </c>
      <c r="F232" s="1130">
        <f>F222+F228</f>
        <v>1.832418811797356E-2</v>
      </c>
      <c r="G232" s="26"/>
      <c r="H232" s="91" t="s">
        <v>1689</v>
      </c>
      <c r="I232" s="4">
        <f t="shared" si="14"/>
        <v>38</v>
      </c>
    </row>
    <row r="233" spans="1:9" ht="17.25" thickTop="1" thickBot="1" x14ac:dyDescent="0.3">
      <c r="A233" s="862">
        <f t="shared" si="13"/>
        <v>39</v>
      </c>
      <c r="B233" s="1125"/>
      <c r="C233" s="863"/>
      <c r="D233" s="863"/>
      <c r="E233" s="863"/>
      <c r="F233" s="1142"/>
      <c r="G233" s="1142"/>
      <c r="H233" s="864"/>
      <c r="I233" s="862">
        <f t="shared" si="14"/>
        <v>39</v>
      </c>
    </row>
    <row r="234" spans="1:9" x14ac:dyDescent="0.25">
      <c r="A234" s="4">
        <f t="shared" si="13"/>
        <v>40</v>
      </c>
      <c r="B234" s="251"/>
      <c r="F234" s="26"/>
      <c r="G234" s="26"/>
      <c r="H234" s="91"/>
      <c r="I234" s="4">
        <f t="shared" si="14"/>
        <v>40</v>
      </c>
    </row>
    <row r="235" spans="1:9" ht="18.75" x14ac:dyDescent="0.25">
      <c r="A235" s="4">
        <f t="shared" si="13"/>
        <v>41</v>
      </c>
      <c r="B235" s="251" t="s">
        <v>1622</v>
      </c>
      <c r="D235" s="218"/>
      <c r="E235" s="218"/>
      <c r="F235" s="41"/>
      <c r="G235" s="41"/>
      <c r="H235" s="91"/>
      <c r="I235" s="4">
        <f t="shared" si="14"/>
        <v>41</v>
      </c>
    </row>
    <row r="236" spans="1:9" x14ac:dyDescent="0.25">
      <c r="A236" s="4">
        <f t="shared" si="13"/>
        <v>42</v>
      </c>
      <c r="B236" s="33"/>
      <c r="D236" s="218"/>
      <c r="E236" s="218"/>
      <c r="F236" s="41"/>
      <c r="G236" s="41"/>
      <c r="H236" s="91"/>
      <c r="I236" s="4">
        <f t="shared" si="14"/>
        <v>42</v>
      </c>
    </row>
    <row r="237" spans="1:9" x14ac:dyDescent="0.25">
      <c r="A237" s="4">
        <f t="shared" si="13"/>
        <v>43</v>
      </c>
      <c r="B237" s="251" t="s">
        <v>1049</v>
      </c>
      <c r="D237" s="218"/>
      <c r="E237" s="218"/>
      <c r="F237" s="41"/>
      <c r="G237" s="41"/>
      <c r="H237" s="91"/>
      <c r="I237" s="4">
        <f t="shared" si="14"/>
        <v>43</v>
      </c>
    </row>
    <row r="238" spans="1:9" x14ac:dyDescent="0.25">
      <c r="A238" s="4">
        <f t="shared" si="13"/>
        <v>44</v>
      </c>
      <c r="B238" s="218"/>
      <c r="C238" s="218"/>
      <c r="D238" s="218"/>
      <c r="E238" s="218"/>
      <c r="F238" s="41"/>
      <c r="G238" s="41"/>
      <c r="H238" s="91"/>
      <c r="I238" s="4">
        <f t="shared" si="14"/>
        <v>44</v>
      </c>
    </row>
    <row r="239" spans="1:9" x14ac:dyDescent="0.25">
      <c r="A239" s="4">
        <f t="shared" si="13"/>
        <v>45</v>
      </c>
      <c r="B239" s="32" t="s">
        <v>1050</v>
      </c>
      <c r="C239" s="218"/>
      <c r="D239" s="218"/>
      <c r="E239" s="218"/>
      <c r="F239" s="41"/>
      <c r="G239" s="41"/>
      <c r="H239" s="464"/>
      <c r="I239" s="4">
        <f t="shared" si="14"/>
        <v>45</v>
      </c>
    </row>
    <row r="240" spans="1:9" x14ac:dyDescent="0.25">
      <c r="A240" s="4">
        <f t="shared" si="13"/>
        <v>46</v>
      </c>
      <c r="B240" s="31" t="s">
        <v>1623</v>
      </c>
      <c r="C240" s="218"/>
      <c r="D240" s="218"/>
      <c r="E240" s="218"/>
      <c r="F240" s="133">
        <f>F89</f>
        <v>0</v>
      </c>
      <c r="G240" s="218"/>
      <c r="H240" s="91" t="s">
        <v>1644</v>
      </c>
      <c r="I240" s="4">
        <f t="shared" si="14"/>
        <v>46</v>
      </c>
    </row>
    <row r="241" spans="1:9" x14ac:dyDescent="0.25">
      <c r="A241" s="4">
        <f t="shared" si="13"/>
        <v>47</v>
      </c>
      <c r="B241" s="31" t="s">
        <v>1052</v>
      </c>
      <c r="C241" s="218"/>
      <c r="D241" s="218"/>
      <c r="E241" s="218"/>
      <c r="F241" s="136">
        <v>0</v>
      </c>
      <c r="G241" s="218"/>
      <c r="H241" s="91" t="s">
        <v>1077</v>
      </c>
      <c r="I241" s="4">
        <f t="shared" si="14"/>
        <v>47</v>
      </c>
    </row>
    <row r="242" spans="1:9" x14ac:dyDescent="0.25">
      <c r="A242" s="4">
        <f t="shared" si="13"/>
        <v>48</v>
      </c>
      <c r="B242" s="31" t="s">
        <v>1054</v>
      </c>
      <c r="C242" s="218"/>
      <c r="D242" s="218"/>
      <c r="E242" s="218"/>
      <c r="F242" s="110">
        <v>0</v>
      </c>
      <c r="G242" s="218"/>
      <c r="H242" s="421" t="s">
        <v>258</v>
      </c>
      <c r="I242" s="4">
        <f t="shared" si="14"/>
        <v>48</v>
      </c>
    </row>
    <row r="243" spans="1:9" x14ac:dyDescent="0.25">
      <c r="A243" s="4">
        <f t="shared" si="13"/>
        <v>49</v>
      </c>
      <c r="B243" s="31" t="s">
        <v>1078</v>
      </c>
      <c r="C243" s="218"/>
      <c r="D243" s="218"/>
      <c r="E243" s="218"/>
      <c r="F243" s="22">
        <f>'BK-1 BTRR - EU'!E144</f>
        <v>0</v>
      </c>
      <c r="G243" s="218"/>
      <c r="H243" s="91" t="s">
        <v>1989</v>
      </c>
      <c r="I243" s="4">
        <f t="shared" si="14"/>
        <v>49</v>
      </c>
    </row>
    <row r="244" spans="1:9" x14ac:dyDescent="0.25">
      <c r="A244" s="4">
        <f t="shared" si="13"/>
        <v>50</v>
      </c>
      <c r="B244" s="31" t="s">
        <v>1056</v>
      </c>
      <c r="C244" s="218"/>
      <c r="D244" s="218"/>
      <c r="E244" s="218"/>
      <c r="F244" s="1058" t="str">
        <f>F155</f>
        <v>21%</v>
      </c>
      <c r="G244" s="218"/>
      <c r="H244" s="91" t="s">
        <v>1740</v>
      </c>
      <c r="I244" s="4">
        <f t="shared" si="14"/>
        <v>50</v>
      </c>
    </row>
    <row r="245" spans="1:9" x14ac:dyDescent="0.25">
      <c r="A245" s="4">
        <f t="shared" si="13"/>
        <v>51</v>
      </c>
      <c r="F245" s="4"/>
      <c r="G245" s="4"/>
      <c r="I245" s="4">
        <f t="shared" si="14"/>
        <v>51</v>
      </c>
    </row>
    <row r="246" spans="1:9" x14ac:dyDescent="0.25">
      <c r="A246" s="4">
        <f t="shared" si="13"/>
        <v>52</v>
      </c>
      <c r="B246" s="31" t="s">
        <v>1059</v>
      </c>
      <c r="C246" s="218"/>
      <c r="D246" s="218"/>
      <c r="E246" s="218"/>
      <c r="F246" s="1057">
        <f>IFERROR((((F240)+(F242/F243))*F244-(F241/F243))/(1-F244),0)</f>
        <v>0</v>
      </c>
      <c r="G246" s="26"/>
      <c r="H246" s="91" t="s">
        <v>1080</v>
      </c>
      <c r="I246" s="4">
        <f t="shared" si="14"/>
        <v>52</v>
      </c>
    </row>
    <row r="247" spans="1:9" x14ac:dyDescent="0.25">
      <c r="A247" s="4">
        <f t="shared" si="13"/>
        <v>53</v>
      </c>
      <c r="B247" s="249" t="s">
        <v>1061</v>
      </c>
      <c r="C247" s="249"/>
      <c r="F247" s="27"/>
      <c r="G247" s="27"/>
      <c r="I247" s="4">
        <f t="shared" si="14"/>
        <v>53</v>
      </c>
    </row>
    <row r="248" spans="1:9" x14ac:dyDescent="0.25">
      <c r="A248" s="4">
        <f t="shared" si="13"/>
        <v>54</v>
      </c>
      <c r="F248" s="4"/>
      <c r="G248" s="4"/>
      <c r="I248" s="4">
        <f t="shared" si="14"/>
        <v>54</v>
      </c>
    </row>
    <row r="249" spans="1:9" x14ac:dyDescent="0.25">
      <c r="A249" s="4">
        <f t="shared" si="13"/>
        <v>55</v>
      </c>
      <c r="B249" s="251" t="s">
        <v>1062</v>
      </c>
      <c r="C249" s="218"/>
      <c r="D249" s="218"/>
      <c r="E249" s="218"/>
      <c r="F249" s="134"/>
      <c r="G249" s="134"/>
      <c r="H249" s="467"/>
      <c r="I249" s="4">
        <f t="shared" si="14"/>
        <v>55</v>
      </c>
    </row>
    <row r="250" spans="1:9" x14ac:dyDescent="0.25">
      <c r="A250" s="4">
        <f t="shared" si="13"/>
        <v>56</v>
      </c>
      <c r="B250" s="340"/>
      <c r="C250" s="218"/>
      <c r="D250" s="218"/>
      <c r="E250" s="218"/>
      <c r="F250" s="134"/>
      <c r="G250" s="134"/>
      <c r="H250" s="464"/>
      <c r="I250" s="4">
        <f t="shared" si="14"/>
        <v>56</v>
      </c>
    </row>
    <row r="251" spans="1:9" x14ac:dyDescent="0.25">
      <c r="A251" s="4">
        <f t="shared" si="13"/>
        <v>57</v>
      </c>
      <c r="B251" s="32" t="s">
        <v>1050</v>
      </c>
      <c r="C251" s="218"/>
      <c r="D251" s="218"/>
      <c r="E251" s="218"/>
      <c r="F251" s="134"/>
      <c r="G251" s="134"/>
      <c r="H251" s="464"/>
      <c r="I251" s="4">
        <f t="shared" si="14"/>
        <v>57</v>
      </c>
    </row>
    <row r="252" spans="1:9" x14ac:dyDescent="0.25">
      <c r="A252" s="4">
        <f t="shared" si="13"/>
        <v>58</v>
      </c>
      <c r="B252" s="31" t="s">
        <v>1623</v>
      </c>
      <c r="C252" s="218"/>
      <c r="D252" s="218"/>
      <c r="E252" s="218"/>
      <c r="F252" s="133">
        <f>F240</f>
        <v>0</v>
      </c>
      <c r="G252" s="27"/>
      <c r="H252" s="91" t="s">
        <v>1628</v>
      </c>
      <c r="I252" s="4">
        <f t="shared" si="14"/>
        <v>58</v>
      </c>
    </row>
    <row r="253" spans="1:9" x14ac:dyDescent="0.25">
      <c r="A253" s="4">
        <f t="shared" si="13"/>
        <v>59</v>
      </c>
      <c r="B253" s="31" t="s">
        <v>1064</v>
      </c>
      <c r="C253" s="218"/>
      <c r="D253" s="218"/>
      <c r="E253" s="218"/>
      <c r="F253" s="136">
        <v>0</v>
      </c>
      <c r="G253" s="27"/>
      <c r="H253" s="91" t="s">
        <v>1077</v>
      </c>
      <c r="I253" s="4">
        <f t="shared" si="14"/>
        <v>59</v>
      </c>
    </row>
    <row r="254" spans="1:9" x14ac:dyDescent="0.25">
      <c r="A254" s="4">
        <f t="shared" si="13"/>
        <v>60</v>
      </c>
      <c r="B254" s="31" t="s">
        <v>1054</v>
      </c>
      <c r="C254" s="218"/>
      <c r="D254" s="218"/>
      <c r="E254" s="218"/>
      <c r="F254" s="22">
        <f>F242</f>
        <v>0</v>
      </c>
      <c r="G254" s="44"/>
      <c r="H254" s="91" t="s">
        <v>1731</v>
      </c>
      <c r="I254" s="4">
        <f t="shared" si="14"/>
        <v>60</v>
      </c>
    </row>
    <row r="255" spans="1:9" x14ac:dyDescent="0.25">
      <c r="A255" s="4">
        <f t="shared" si="13"/>
        <v>61</v>
      </c>
      <c r="B255" s="31" t="s">
        <v>1078</v>
      </c>
      <c r="C255" s="218"/>
      <c r="D255" s="218"/>
      <c r="E255" s="218"/>
      <c r="F255" s="22">
        <f>F243</f>
        <v>0</v>
      </c>
      <c r="G255" s="44"/>
      <c r="H255" s="91" t="s">
        <v>1732</v>
      </c>
      <c r="I255" s="4">
        <f t="shared" si="14"/>
        <v>61</v>
      </c>
    </row>
    <row r="256" spans="1:9" x14ac:dyDescent="0.25">
      <c r="A256" s="4">
        <f t="shared" si="13"/>
        <v>62</v>
      </c>
      <c r="B256" s="31" t="s">
        <v>1068</v>
      </c>
      <c r="C256" s="218"/>
      <c r="D256" s="218"/>
      <c r="E256" s="218"/>
      <c r="F256" s="1147">
        <f>F246</f>
        <v>0</v>
      </c>
      <c r="G256" s="26"/>
      <c r="H256" s="91" t="s">
        <v>1733</v>
      </c>
      <c r="I256" s="4">
        <f t="shared" si="14"/>
        <v>62</v>
      </c>
    </row>
    <row r="257" spans="1:9" x14ac:dyDescent="0.25">
      <c r="A257" s="4">
        <f t="shared" si="13"/>
        <v>63</v>
      </c>
      <c r="B257" s="31" t="s">
        <v>1070</v>
      </c>
      <c r="C257" s="218"/>
      <c r="D257" s="218"/>
      <c r="E257" s="218"/>
      <c r="F257" s="926" t="str">
        <f>F168</f>
        <v>8.84%</v>
      </c>
      <c r="G257" s="218"/>
      <c r="H257" s="91" t="s">
        <v>1741</v>
      </c>
      <c r="I257" s="4">
        <f t="shared" si="14"/>
        <v>63</v>
      </c>
    </row>
    <row r="258" spans="1:9" x14ac:dyDescent="0.25">
      <c r="A258" s="4">
        <f t="shared" si="13"/>
        <v>64</v>
      </c>
      <c r="B258" s="1"/>
      <c r="C258" s="218"/>
      <c r="D258" s="218"/>
      <c r="E258" s="218"/>
      <c r="F258" s="135"/>
      <c r="G258" s="135"/>
      <c r="H258" s="469"/>
      <c r="I258" s="4">
        <f t="shared" si="14"/>
        <v>64</v>
      </c>
    </row>
    <row r="259" spans="1:9" x14ac:dyDescent="0.25">
      <c r="A259" s="4">
        <f t="shared" si="13"/>
        <v>65</v>
      </c>
      <c r="B259" s="31" t="s">
        <v>1073</v>
      </c>
      <c r="C259" s="4"/>
      <c r="D259" s="218"/>
      <c r="E259" s="218"/>
      <c r="F259" s="1057">
        <f>IFERROR((((F252)+(F254/F255)+F246)*F257-(F253/F255))/(1-F257),0)</f>
        <v>0</v>
      </c>
      <c r="G259" s="26"/>
      <c r="H259" s="91" t="s">
        <v>1074</v>
      </c>
      <c r="I259" s="4">
        <f t="shared" si="14"/>
        <v>65</v>
      </c>
    </row>
    <row r="260" spans="1:9" x14ac:dyDescent="0.25">
      <c r="A260" s="4">
        <f t="shared" si="13"/>
        <v>66</v>
      </c>
      <c r="B260" s="249" t="s">
        <v>1075</v>
      </c>
      <c r="C260" s="249"/>
      <c r="F260" s="4"/>
      <c r="G260" s="4"/>
      <c r="H260" s="91"/>
      <c r="I260" s="4">
        <f t="shared" si="14"/>
        <v>66</v>
      </c>
    </row>
    <row r="261" spans="1:9" x14ac:dyDescent="0.25">
      <c r="A261" s="4">
        <f t="shared" si="13"/>
        <v>67</v>
      </c>
      <c r="F261" s="4"/>
      <c r="G261" s="4"/>
      <c r="H261" s="91"/>
      <c r="I261" s="4">
        <f t="shared" si="14"/>
        <v>67</v>
      </c>
    </row>
    <row r="262" spans="1:9" x14ac:dyDescent="0.25">
      <c r="A262" s="4">
        <f t="shared" si="13"/>
        <v>68</v>
      </c>
      <c r="B262" s="251" t="s">
        <v>1617</v>
      </c>
      <c r="F262" s="1057">
        <f>F246+F259</f>
        <v>0</v>
      </c>
      <c r="G262" s="26"/>
      <c r="H262" s="91" t="s">
        <v>1744</v>
      </c>
      <c r="I262" s="4">
        <f t="shared" si="14"/>
        <v>68</v>
      </c>
    </row>
    <row r="263" spans="1:9" x14ac:dyDescent="0.25">
      <c r="A263" s="4">
        <f t="shared" si="13"/>
        <v>69</v>
      </c>
      <c r="B263" s="251"/>
      <c r="F263" s="26"/>
      <c r="G263" s="26"/>
      <c r="H263" s="91"/>
      <c r="I263" s="4">
        <f t="shared" si="14"/>
        <v>69</v>
      </c>
    </row>
    <row r="264" spans="1:9" x14ac:dyDescent="0.25">
      <c r="A264" s="4">
        <f t="shared" si="13"/>
        <v>70</v>
      </c>
      <c r="B264" s="31" t="s">
        <v>1583</v>
      </c>
      <c r="F264" s="1114">
        <f>F243*F246</f>
        <v>0</v>
      </c>
      <c r="G264" s="26"/>
      <c r="H264" s="91" t="s">
        <v>1735</v>
      </c>
      <c r="I264" s="4">
        <f t="shared" si="14"/>
        <v>70</v>
      </c>
    </row>
    <row r="265" spans="1:9" x14ac:dyDescent="0.25">
      <c r="A265" s="4">
        <f t="shared" si="13"/>
        <v>71</v>
      </c>
      <c r="B265" s="31" t="s">
        <v>1585</v>
      </c>
      <c r="F265" s="1121">
        <f>F243*F259</f>
        <v>0</v>
      </c>
      <c r="G265" s="26"/>
      <c r="H265" s="91" t="s">
        <v>1736</v>
      </c>
      <c r="I265" s="4">
        <f t="shared" si="14"/>
        <v>71</v>
      </c>
    </row>
    <row r="266" spans="1:9" ht="16.5" thickBot="1" x14ac:dyDescent="0.3">
      <c r="A266" s="4">
        <f t="shared" si="13"/>
        <v>72</v>
      </c>
      <c r="B266" s="31" t="s">
        <v>1587</v>
      </c>
      <c r="F266" s="1191">
        <f>F264+F265</f>
        <v>0</v>
      </c>
      <c r="G266" s="26"/>
      <c r="H266" s="91" t="s">
        <v>1737</v>
      </c>
      <c r="I266" s="4">
        <f t="shared" si="14"/>
        <v>72</v>
      </c>
    </row>
    <row r="267" spans="1:9" ht="16.5" thickTop="1" x14ac:dyDescent="0.25">
      <c r="A267" s="4">
        <f t="shared" si="13"/>
        <v>73</v>
      </c>
      <c r="F267" s="4"/>
      <c r="G267" s="4"/>
      <c r="H267" s="91"/>
      <c r="I267" s="4">
        <f t="shared" si="14"/>
        <v>73</v>
      </c>
    </row>
    <row r="268" spans="1:9" x14ac:dyDescent="0.25">
      <c r="A268" s="4">
        <f t="shared" si="13"/>
        <v>74</v>
      </c>
      <c r="B268" s="251" t="s">
        <v>1630</v>
      </c>
      <c r="F268" s="868">
        <f>F87</f>
        <v>0</v>
      </c>
      <c r="G268" s="218"/>
      <c r="H268" s="91" t="s">
        <v>2045</v>
      </c>
      <c r="I268" s="4">
        <f t="shared" si="14"/>
        <v>74</v>
      </c>
    </row>
    <row r="269" spans="1:9" x14ac:dyDescent="0.25">
      <c r="A269" s="4">
        <f t="shared" si="13"/>
        <v>75</v>
      </c>
      <c r="B269" s="251"/>
      <c r="F269" s="26"/>
      <c r="G269" s="218"/>
      <c r="H269" s="91"/>
      <c r="I269" s="4">
        <f t="shared" si="14"/>
        <v>75</v>
      </c>
    </row>
    <row r="270" spans="1:9" ht="16.5" thickBot="1" x14ac:dyDescent="0.3">
      <c r="A270" s="4">
        <f t="shared" ref="A270:A272" si="15">A269+1</f>
        <v>76</v>
      </c>
      <c r="B270" s="31" t="s">
        <v>1594</v>
      </c>
      <c r="F270" s="1192">
        <f>F243*F268</f>
        <v>0</v>
      </c>
      <c r="G270" s="218"/>
      <c r="H270" s="91" t="s">
        <v>1742</v>
      </c>
      <c r="I270" s="4">
        <f t="shared" ref="I270:I271" si="16">I269+1</f>
        <v>76</v>
      </c>
    </row>
    <row r="271" spans="1:9" ht="16.5" thickTop="1" x14ac:dyDescent="0.25">
      <c r="A271" s="4">
        <f t="shared" si="15"/>
        <v>77</v>
      </c>
      <c r="F271" s="4"/>
      <c r="G271" s="4"/>
      <c r="H271" s="91"/>
      <c r="I271" s="4">
        <f t="shared" si="16"/>
        <v>77</v>
      </c>
    </row>
    <row r="272" spans="1:9" ht="19.5" thickBot="1" x14ac:dyDescent="0.3">
      <c r="A272" s="4">
        <f t="shared" si="15"/>
        <v>78</v>
      </c>
      <c r="B272" s="251" t="s">
        <v>1632</v>
      </c>
      <c r="F272" s="1130">
        <f>F262+F268</f>
        <v>0</v>
      </c>
      <c r="G272" s="26"/>
      <c r="H272" s="91" t="s">
        <v>1738</v>
      </c>
      <c r="I272" s="4">
        <f t="shared" ref="I272" si="17">I271+1</f>
        <v>78</v>
      </c>
    </row>
    <row r="273" spans="1:9" ht="16.5" thickTop="1" x14ac:dyDescent="0.25">
      <c r="B273" s="251"/>
      <c r="F273" s="26"/>
      <c r="G273" s="26"/>
      <c r="H273" s="91"/>
      <c r="I273" s="4"/>
    </row>
    <row r="275" spans="1:9" ht="18.75" x14ac:dyDescent="0.25">
      <c r="A275" s="266">
        <v>1</v>
      </c>
      <c r="B275" s="31" t="s">
        <v>1757</v>
      </c>
    </row>
    <row r="277" spans="1:9" ht="18.75" x14ac:dyDescent="0.25">
      <c r="A277" s="266"/>
    </row>
  </sheetData>
  <mergeCells count="22">
    <mergeCell ref="B188:H188"/>
    <mergeCell ref="B189:H189"/>
    <mergeCell ref="B190:H190"/>
    <mergeCell ref="B98:H98"/>
    <mergeCell ref="B99:H99"/>
    <mergeCell ref="B100:H100"/>
    <mergeCell ref="B101:H101"/>
    <mergeCell ref="B186:H186"/>
    <mergeCell ref="B187:H187"/>
    <mergeCell ref="B97:H97"/>
    <mergeCell ref="B2:H2"/>
    <mergeCell ref="B3:H3"/>
    <mergeCell ref="B4:H4"/>
    <mergeCell ref="B5:H5"/>
    <mergeCell ref="B6:H6"/>
    <mergeCell ref="B59:H59"/>
    <mergeCell ref="B60:H60"/>
    <mergeCell ref="B61:H61"/>
    <mergeCell ref="B62:H62"/>
    <mergeCell ref="B63:H63"/>
    <mergeCell ref="B56:H57"/>
    <mergeCell ref="B94:H95"/>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55" max="16383" man="1"/>
    <brk id="95" max="9" man="1"/>
    <brk id="184" max="16383" man="1"/>
  </rowBreaks>
  <customProperties>
    <customPr name="_pios_id" r:id="rId2"/>
  </customProperties>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5"/>
  <sheetViews>
    <sheetView zoomScaleNormal="100" workbookViewId="0"/>
  </sheetViews>
  <sheetFormatPr defaultColWidth="8.7109375" defaultRowHeight="15.75" x14ac:dyDescent="0.25"/>
  <cols>
    <col min="1" max="1" width="5.28515625" style="341" customWidth="1"/>
    <col min="2" max="2" width="42.5703125" style="5" customWidth="1"/>
    <col min="3" max="3" width="35.7109375" style="5" customWidth="1"/>
    <col min="4" max="4" width="5.28515625" style="341" customWidth="1"/>
    <col min="5" max="16384" width="8.7109375" style="5"/>
  </cols>
  <sheetData>
    <row r="2" spans="1:7" ht="15.75" customHeight="1" x14ac:dyDescent="0.25">
      <c r="B2" s="1294" t="s">
        <v>1081</v>
      </c>
      <c r="C2" s="1294"/>
    </row>
    <row r="3" spans="1:7" ht="15.75" customHeight="1" x14ac:dyDescent="0.25">
      <c r="B3" s="1294" t="s">
        <v>1082</v>
      </c>
      <c r="C3" s="1294"/>
    </row>
    <row r="4" spans="1:7" ht="15.75" customHeight="1" x14ac:dyDescent="0.25">
      <c r="B4" s="1298" t="s">
        <v>1481</v>
      </c>
      <c r="C4" s="1298"/>
    </row>
    <row r="5" spans="1:7" x14ac:dyDescent="0.25">
      <c r="B5" s="1298" t="s">
        <v>1573</v>
      </c>
      <c r="C5" s="1298"/>
    </row>
    <row r="6" spans="1:7" ht="15.75" customHeight="1" x14ac:dyDescent="0.25">
      <c r="B6" s="1298" t="s">
        <v>1551</v>
      </c>
      <c r="C6" s="1298"/>
    </row>
    <row r="7" spans="1:7" ht="17.649999999999999" customHeight="1" x14ac:dyDescent="0.25">
      <c r="B7" s="1325">
        <v>-1000</v>
      </c>
      <c r="C7" s="1325"/>
      <c r="D7" s="46"/>
    </row>
    <row r="8" spans="1:7" ht="17.649999999999999" customHeight="1" thickBot="1" x14ac:dyDescent="0.3">
      <c r="B8" s="417"/>
      <c r="C8" s="417"/>
      <c r="D8" s="46"/>
    </row>
    <row r="9" spans="1:7" ht="17.649999999999999" customHeight="1" x14ac:dyDescent="0.25">
      <c r="B9" s="586"/>
      <c r="C9" s="588" t="s">
        <v>1083</v>
      </c>
      <c r="D9" s="46"/>
    </row>
    <row r="10" spans="1:7" ht="17.649999999999999" customHeight="1" x14ac:dyDescent="0.25">
      <c r="A10" s="46" t="s">
        <v>5</v>
      </c>
      <c r="B10" s="587"/>
      <c r="C10" s="589" t="s">
        <v>1084</v>
      </c>
      <c r="D10" s="46" t="s">
        <v>5</v>
      </c>
    </row>
    <row r="11" spans="1:7" ht="19.5" thickBot="1" x14ac:dyDescent="0.3">
      <c r="A11" s="474" t="s">
        <v>6</v>
      </c>
      <c r="B11" s="584" t="s">
        <v>1085</v>
      </c>
      <c r="C11" s="585" t="s">
        <v>1086</v>
      </c>
      <c r="D11" s="474" t="s">
        <v>6</v>
      </c>
    </row>
    <row r="12" spans="1:7" x14ac:dyDescent="0.25">
      <c r="A12" s="474"/>
      <c r="B12" s="475"/>
      <c r="C12" s="476"/>
      <c r="D12" s="474"/>
    </row>
    <row r="13" spans="1:7" x14ac:dyDescent="0.25">
      <c r="A13" s="341">
        <v>1</v>
      </c>
      <c r="B13" s="477" t="s">
        <v>1694</v>
      </c>
      <c r="C13" s="593">
        <v>1270.0222200000001</v>
      </c>
      <c r="D13" s="341">
        <f>A13</f>
        <v>1</v>
      </c>
      <c r="G13" s="142"/>
    </row>
    <row r="14" spans="1:7" x14ac:dyDescent="0.25">
      <c r="A14" s="341">
        <f>A13+1</f>
        <v>2</v>
      </c>
      <c r="B14" s="477"/>
      <c r="C14" s="573"/>
      <c r="D14" s="341">
        <f>D13+1</f>
        <v>2</v>
      </c>
    </row>
    <row r="15" spans="1:7" x14ac:dyDescent="0.25">
      <c r="A15" s="341">
        <f t="shared" ref="A15:A17" si="0">A14+1</f>
        <v>3</v>
      </c>
      <c r="B15" s="477" t="s">
        <v>1695</v>
      </c>
      <c r="C15" s="574">
        <v>7521.0249300000069</v>
      </c>
      <c r="D15" s="341">
        <f t="shared" ref="D15:D17" si="1">D14+1</f>
        <v>3</v>
      </c>
      <c r="G15" s="116"/>
    </row>
    <row r="16" spans="1:7" x14ac:dyDescent="0.25">
      <c r="A16" s="341">
        <f t="shared" si="0"/>
        <v>4</v>
      </c>
      <c r="B16" s="477"/>
      <c r="C16" s="574"/>
      <c r="D16" s="341">
        <f t="shared" si="1"/>
        <v>4</v>
      </c>
    </row>
    <row r="17" spans="1:4" ht="16.5" thickBot="1" x14ac:dyDescent="0.3">
      <c r="A17" s="341">
        <f t="shared" si="0"/>
        <v>5</v>
      </c>
      <c r="B17" s="660">
        <v>2021</v>
      </c>
      <c r="C17" s="183">
        <v>1065.3933300000001</v>
      </c>
      <c r="D17" s="341">
        <f t="shared" si="1"/>
        <v>5</v>
      </c>
    </row>
    <row r="18" spans="1:4" x14ac:dyDescent="0.25">
      <c r="A18" s="341">
        <f t="shared" ref="A18:A30" si="2">A17+1</f>
        <v>6</v>
      </c>
      <c r="B18" s="477"/>
      <c r="C18" s="574"/>
      <c r="D18" s="341">
        <f t="shared" ref="D18:D30" si="3">D17+1</f>
        <v>6</v>
      </c>
    </row>
    <row r="19" spans="1:4" x14ac:dyDescent="0.25">
      <c r="A19" s="341">
        <f t="shared" si="2"/>
        <v>7</v>
      </c>
      <c r="B19" s="477">
        <v>2022</v>
      </c>
      <c r="C19" s="574">
        <v>1025.5009799999993</v>
      </c>
      <c r="D19" s="341">
        <f t="shared" si="3"/>
        <v>7</v>
      </c>
    </row>
    <row r="20" spans="1:4" x14ac:dyDescent="0.25">
      <c r="A20" s="341">
        <f t="shared" si="2"/>
        <v>8</v>
      </c>
      <c r="B20" s="477"/>
      <c r="C20" s="574"/>
      <c r="D20" s="341">
        <f t="shared" si="3"/>
        <v>8</v>
      </c>
    </row>
    <row r="21" spans="1:4" x14ac:dyDescent="0.25">
      <c r="A21" s="341">
        <f t="shared" si="2"/>
        <v>9</v>
      </c>
      <c r="B21" s="477">
        <v>2023</v>
      </c>
      <c r="C21" s="574">
        <v>391.6803699999997</v>
      </c>
      <c r="D21" s="341">
        <f t="shared" si="3"/>
        <v>9</v>
      </c>
    </row>
    <row r="22" spans="1:4" x14ac:dyDescent="0.25">
      <c r="A22" s="341">
        <f t="shared" si="2"/>
        <v>10</v>
      </c>
      <c r="B22" s="477"/>
      <c r="C22" s="237"/>
      <c r="D22" s="341">
        <f t="shared" si="3"/>
        <v>10</v>
      </c>
    </row>
    <row r="23" spans="1:4" x14ac:dyDescent="0.25">
      <c r="A23" s="341">
        <f t="shared" si="2"/>
        <v>11</v>
      </c>
      <c r="B23" s="477"/>
      <c r="C23" s="238"/>
      <c r="D23" s="341">
        <f t="shared" si="3"/>
        <v>11</v>
      </c>
    </row>
    <row r="24" spans="1:4" x14ac:dyDescent="0.25">
      <c r="A24" s="341">
        <f t="shared" si="2"/>
        <v>12</v>
      </c>
      <c r="B24" s="477" t="s">
        <v>177</v>
      </c>
      <c r="C24" s="239">
        <f>SUM(C13:C23)</f>
        <v>11273.621830000007</v>
      </c>
      <c r="D24" s="341">
        <f t="shared" si="3"/>
        <v>12</v>
      </c>
    </row>
    <row r="25" spans="1:4" x14ac:dyDescent="0.25">
      <c r="A25" s="341">
        <f t="shared" si="2"/>
        <v>13</v>
      </c>
      <c r="B25" s="477"/>
      <c r="C25" s="239"/>
      <c r="D25" s="341">
        <f t="shared" si="3"/>
        <v>13</v>
      </c>
    </row>
    <row r="26" spans="1:4" x14ac:dyDescent="0.25">
      <c r="A26" s="341">
        <f t="shared" si="2"/>
        <v>14</v>
      </c>
      <c r="B26" s="828" t="s">
        <v>1087</v>
      </c>
      <c r="C26" s="829">
        <f>-'AV-1B'!C19</f>
        <v>-197.33238</v>
      </c>
      <c r="D26" s="341">
        <f t="shared" si="3"/>
        <v>14</v>
      </c>
    </row>
    <row r="27" spans="1:4" x14ac:dyDescent="0.25">
      <c r="A27" s="341">
        <f t="shared" si="2"/>
        <v>15</v>
      </c>
      <c r="B27" s="477" t="s">
        <v>1088</v>
      </c>
      <c r="C27" s="237">
        <f>-'AV-1B'!C33</f>
        <v>-56.027447560000006</v>
      </c>
      <c r="D27" s="341">
        <f t="shared" si="3"/>
        <v>15</v>
      </c>
    </row>
    <row r="28" spans="1:4" x14ac:dyDescent="0.25">
      <c r="A28" s="341">
        <f t="shared" si="2"/>
        <v>16</v>
      </c>
      <c r="B28" s="477"/>
      <c r="C28" s="239"/>
      <c r="D28" s="341">
        <f t="shared" si="3"/>
        <v>16</v>
      </c>
    </row>
    <row r="29" spans="1:4" ht="48" thickBot="1" x14ac:dyDescent="0.3">
      <c r="A29" s="341">
        <f t="shared" si="2"/>
        <v>17</v>
      </c>
      <c r="B29" s="478" t="s">
        <v>1089</v>
      </c>
      <c r="C29" s="137">
        <f>SUM(C24:C27)</f>
        <v>11020.262002440008</v>
      </c>
      <c r="D29" s="341">
        <f t="shared" si="3"/>
        <v>17</v>
      </c>
    </row>
    <row r="30" spans="1:4" ht="17.25" thickTop="1" thickBot="1" x14ac:dyDescent="0.3">
      <c r="A30" s="341">
        <f t="shared" si="2"/>
        <v>18</v>
      </c>
      <c r="B30" s="661"/>
      <c r="C30" s="240"/>
      <c r="D30" s="341">
        <f t="shared" si="3"/>
        <v>18</v>
      </c>
    </row>
    <row r="33" spans="1:2" ht="18.75" x14ac:dyDescent="0.25">
      <c r="A33" s="253">
        <v>1</v>
      </c>
      <c r="B33" s="5" t="s">
        <v>1090</v>
      </c>
    </row>
    <row r="34" spans="1:2" x14ac:dyDescent="0.25">
      <c r="B34" s="5" t="s">
        <v>1091</v>
      </c>
    </row>
    <row r="35" spans="1:2" x14ac:dyDescent="0.25">
      <c r="B35" s="5" t="s">
        <v>1092</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Normal="100" workbookViewId="0"/>
  </sheetViews>
  <sheetFormatPr defaultColWidth="8.7109375" defaultRowHeight="15.75" x14ac:dyDescent="0.25"/>
  <cols>
    <col min="1" max="1" width="5.28515625" style="5" bestFit="1" customWidth="1"/>
    <col min="2" max="2" width="62.42578125" style="5" customWidth="1"/>
    <col min="3" max="3" width="18.5703125" style="5" customWidth="1"/>
    <col min="4" max="4" width="34.5703125" style="5" customWidth="1"/>
    <col min="5" max="5" width="5.28515625" style="341" bestFit="1" customWidth="1"/>
    <col min="6" max="16384" width="8.7109375" style="5"/>
  </cols>
  <sheetData>
    <row r="1" spans="1:5" x14ac:dyDescent="0.25">
      <c r="A1" s="341"/>
    </row>
    <row r="2" spans="1:5" x14ac:dyDescent="0.25">
      <c r="B2" s="1296" t="s">
        <v>1081</v>
      </c>
      <c r="C2" s="1296"/>
      <c r="D2" s="1296"/>
      <c r="E2" s="483"/>
    </row>
    <row r="3" spans="1:5" x14ac:dyDescent="0.25">
      <c r="B3" s="1322" t="s">
        <v>1574</v>
      </c>
      <c r="C3" s="1322"/>
      <c r="D3" s="1322"/>
      <c r="E3" s="483"/>
    </row>
    <row r="4" spans="1:5" x14ac:dyDescent="0.25">
      <c r="B4" s="1296" t="s">
        <v>1093</v>
      </c>
      <c r="C4" s="1296"/>
      <c r="D4" s="1296"/>
      <c r="E4" s="483"/>
    </row>
    <row r="5" spans="1:5" ht="15.75" customHeight="1" x14ac:dyDescent="0.25">
      <c r="B5" s="1298" t="s">
        <v>1551</v>
      </c>
      <c r="C5" s="1298"/>
      <c r="D5" s="1298"/>
    </row>
    <row r="6" spans="1:5" x14ac:dyDescent="0.25">
      <c r="B6" s="1325">
        <v>-1000</v>
      </c>
      <c r="C6" s="1325"/>
      <c r="D6" s="1325"/>
      <c r="E6" s="46"/>
    </row>
    <row r="7" spans="1:5" ht="16.5" thickBot="1" x14ac:dyDescent="0.3">
      <c r="A7" s="341"/>
      <c r="C7" s="341"/>
    </row>
    <row r="8" spans="1:5" x14ac:dyDescent="0.25">
      <c r="A8" s="341" t="s">
        <v>5</v>
      </c>
      <c r="B8" s="480"/>
      <c r="C8" s="481"/>
      <c r="D8" s="482"/>
      <c r="E8" s="341" t="s">
        <v>5</v>
      </c>
    </row>
    <row r="9" spans="1:5" ht="16.5" thickBot="1" x14ac:dyDescent="0.3">
      <c r="A9" s="341" t="s">
        <v>6</v>
      </c>
      <c r="B9" s="662" t="s">
        <v>306</v>
      </c>
      <c r="C9" s="663" t="s">
        <v>7</v>
      </c>
      <c r="D9" s="664" t="s">
        <v>8</v>
      </c>
      <c r="E9" s="341" t="s">
        <v>6</v>
      </c>
    </row>
    <row r="10" spans="1:5" x14ac:dyDescent="0.25">
      <c r="A10" s="483"/>
      <c r="B10" s="484"/>
      <c r="C10" s="830"/>
      <c r="D10" s="665"/>
      <c r="E10" s="483"/>
    </row>
    <row r="11" spans="1:5" x14ac:dyDescent="0.25">
      <c r="A11" s="341">
        <v>1</v>
      </c>
      <c r="B11" s="485" t="s">
        <v>1094</v>
      </c>
      <c r="C11" s="232">
        <v>8358</v>
      </c>
      <c r="D11" s="486"/>
      <c r="E11" s="341">
        <f>A11</f>
        <v>1</v>
      </c>
    </row>
    <row r="12" spans="1:5" x14ac:dyDescent="0.25">
      <c r="A12" s="341">
        <f>A11+1</f>
        <v>2</v>
      </c>
      <c r="B12" s="485"/>
      <c r="C12" s="232"/>
      <c r="D12" s="486"/>
      <c r="E12" s="341">
        <f>E11+1</f>
        <v>2</v>
      </c>
    </row>
    <row r="13" spans="1:5" x14ac:dyDescent="0.25">
      <c r="A13" s="341">
        <f t="shared" ref="A13:A23" si="0">A12+1</f>
        <v>3</v>
      </c>
      <c r="B13" s="485" t="s">
        <v>1095</v>
      </c>
      <c r="C13" s="572">
        <v>0.70830000000000004</v>
      </c>
      <c r="D13" s="486"/>
      <c r="E13" s="341">
        <f t="shared" ref="E13:E24" si="1">E12+1</f>
        <v>3</v>
      </c>
    </row>
    <row r="14" spans="1:5" x14ac:dyDescent="0.25">
      <c r="A14" s="341">
        <f t="shared" si="0"/>
        <v>4</v>
      </c>
      <c r="B14" s="485"/>
      <c r="C14" s="832"/>
      <c r="D14" s="486"/>
      <c r="E14" s="341">
        <f t="shared" si="1"/>
        <v>4</v>
      </c>
    </row>
    <row r="15" spans="1:5" x14ac:dyDescent="0.25">
      <c r="A15" s="341">
        <f t="shared" si="0"/>
        <v>5</v>
      </c>
      <c r="B15" s="485" t="s">
        <v>1096</v>
      </c>
      <c r="C15" s="956">
        <f>C11*C13</f>
        <v>5919.9714000000004</v>
      </c>
      <c r="D15" s="487" t="s">
        <v>833</v>
      </c>
      <c r="E15" s="341">
        <f t="shared" si="1"/>
        <v>5</v>
      </c>
    </row>
    <row r="16" spans="1:5" x14ac:dyDescent="0.25">
      <c r="A16" s="341">
        <f t="shared" si="0"/>
        <v>6</v>
      </c>
      <c r="B16" s="485"/>
      <c r="C16" s="834"/>
      <c r="D16" s="487"/>
      <c r="E16" s="341">
        <f t="shared" si="1"/>
        <v>6</v>
      </c>
    </row>
    <row r="17" spans="1:5" x14ac:dyDescent="0.25">
      <c r="A17" s="341">
        <f t="shared" si="0"/>
        <v>7</v>
      </c>
      <c r="B17" s="485" t="s">
        <v>1097</v>
      </c>
      <c r="C17" s="138">
        <f>1/30</f>
        <v>3.3333333333333333E-2</v>
      </c>
      <c r="D17" s="487" t="s">
        <v>1098</v>
      </c>
      <c r="E17" s="341">
        <f t="shared" si="1"/>
        <v>7</v>
      </c>
    </row>
    <row r="18" spans="1:5" x14ac:dyDescent="0.25">
      <c r="A18" s="341">
        <f t="shared" si="0"/>
        <v>8</v>
      </c>
      <c r="B18" s="485"/>
      <c r="C18" s="832"/>
      <c r="D18" s="487"/>
      <c r="E18" s="341">
        <f t="shared" si="1"/>
        <v>8</v>
      </c>
    </row>
    <row r="19" spans="1:5" ht="16.5" thickBot="1" x14ac:dyDescent="0.3">
      <c r="A19" s="341">
        <f t="shared" si="0"/>
        <v>9</v>
      </c>
      <c r="B19" s="485" t="s">
        <v>1099</v>
      </c>
      <c r="C19" s="139">
        <f>C15*C17</f>
        <v>197.33238</v>
      </c>
      <c r="D19" s="487" t="s">
        <v>1100</v>
      </c>
      <c r="E19" s="341">
        <f t="shared" si="1"/>
        <v>9</v>
      </c>
    </row>
    <row r="20" spans="1:5" ht="17.25" thickTop="1" thickBot="1" x14ac:dyDescent="0.3">
      <c r="A20" s="341">
        <f t="shared" si="0"/>
        <v>10</v>
      </c>
      <c r="B20" s="661"/>
      <c r="C20" s="666"/>
      <c r="D20" s="667"/>
      <c r="E20" s="341">
        <f t="shared" si="1"/>
        <v>10</v>
      </c>
    </row>
    <row r="21" spans="1:5" ht="16.5" thickBot="1" x14ac:dyDescent="0.3">
      <c r="A21" s="341">
        <f t="shared" si="0"/>
        <v>11</v>
      </c>
      <c r="E21" s="341">
        <f t="shared" si="1"/>
        <v>11</v>
      </c>
    </row>
    <row r="22" spans="1:5" x14ac:dyDescent="0.25">
      <c r="A22" s="341">
        <f t="shared" si="0"/>
        <v>12</v>
      </c>
      <c r="B22" s="480"/>
      <c r="C22" s="481"/>
      <c r="D22" s="482"/>
      <c r="E22" s="341">
        <f t="shared" si="1"/>
        <v>12</v>
      </c>
    </row>
    <row r="23" spans="1:5" ht="16.5" thickBot="1" x14ac:dyDescent="0.3">
      <c r="A23" s="341">
        <f t="shared" si="0"/>
        <v>13</v>
      </c>
      <c r="B23" s="662" t="s">
        <v>306</v>
      </c>
      <c r="C23" s="663" t="s">
        <v>7</v>
      </c>
      <c r="D23" s="664" t="s">
        <v>8</v>
      </c>
      <c r="E23" s="341">
        <f t="shared" si="1"/>
        <v>13</v>
      </c>
    </row>
    <row r="24" spans="1:5" x14ac:dyDescent="0.25">
      <c r="A24" s="341">
        <f t="shared" ref="A24:A34" si="2">A23+1</f>
        <v>14</v>
      </c>
      <c r="B24" s="484"/>
      <c r="C24" s="830"/>
      <c r="D24" s="665"/>
      <c r="E24" s="341">
        <f t="shared" si="1"/>
        <v>14</v>
      </c>
    </row>
    <row r="25" spans="1:5" x14ac:dyDescent="0.25">
      <c r="A25" s="341">
        <f t="shared" si="2"/>
        <v>15</v>
      </c>
      <c r="B25" s="485" t="s">
        <v>1101</v>
      </c>
      <c r="C25" s="831">
        <v>2282.4870000000001</v>
      </c>
      <c r="D25" s="486"/>
      <c r="E25" s="341">
        <f t="shared" ref="E25:E34" si="3">E24+1</f>
        <v>15</v>
      </c>
    </row>
    <row r="26" spans="1:5" x14ac:dyDescent="0.25">
      <c r="A26" s="341">
        <f t="shared" si="2"/>
        <v>16</v>
      </c>
      <c r="B26" s="516"/>
      <c r="C26" s="831"/>
      <c r="D26" s="486"/>
      <c r="E26" s="341">
        <f t="shared" si="3"/>
        <v>16</v>
      </c>
    </row>
    <row r="27" spans="1:5" x14ac:dyDescent="0.25">
      <c r="A27" s="341">
        <f t="shared" si="2"/>
        <v>17</v>
      </c>
      <c r="B27" s="516" t="s">
        <v>1102</v>
      </c>
      <c r="C27" s="572">
        <v>0.73640000000000005</v>
      </c>
      <c r="D27" s="486"/>
      <c r="E27" s="341">
        <f t="shared" si="3"/>
        <v>17</v>
      </c>
    </row>
    <row r="28" spans="1:5" x14ac:dyDescent="0.25">
      <c r="A28" s="341">
        <f t="shared" si="2"/>
        <v>18</v>
      </c>
      <c r="B28" s="485"/>
      <c r="C28" s="832"/>
      <c r="D28" s="486"/>
      <c r="E28" s="341">
        <f t="shared" si="3"/>
        <v>18</v>
      </c>
    </row>
    <row r="29" spans="1:5" x14ac:dyDescent="0.25">
      <c r="A29" s="341">
        <f t="shared" si="2"/>
        <v>19</v>
      </c>
      <c r="B29" s="485" t="s">
        <v>1103</v>
      </c>
      <c r="C29" s="833">
        <f>C25*C27</f>
        <v>1680.8234268000001</v>
      </c>
      <c r="D29" s="487" t="s">
        <v>848</v>
      </c>
      <c r="E29" s="341">
        <f t="shared" si="3"/>
        <v>19</v>
      </c>
    </row>
    <row r="30" spans="1:5" x14ac:dyDescent="0.25">
      <c r="A30" s="341">
        <f t="shared" si="2"/>
        <v>20</v>
      </c>
      <c r="B30" s="485"/>
      <c r="C30" s="834"/>
      <c r="D30" s="487"/>
      <c r="E30" s="341">
        <f t="shared" si="3"/>
        <v>20</v>
      </c>
    </row>
    <row r="31" spans="1:5" x14ac:dyDescent="0.25">
      <c r="A31" s="341">
        <f t="shared" si="2"/>
        <v>21</v>
      </c>
      <c r="B31" s="485" t="s">
        <v>1097</v>
      </c>
      <c r="C31" s="835">
        <f>1/30</f>
        <v>3.3333333333333333E-2</v>
      </c>
      <c r="D31" s="487" t="s">
        <v>1098</v>
      </c>
      <c r="E31" s="341">
        <f t="shared" si="3"/>
        <v>21</v>
      </c>
    </row>
    <row r="32" spans="1:5" x14ac:dyDescent="0.25">
      <c r="A32" s="341">
        <f t="shared" si="2"/>
        <v>22</v>
      </c>
      <c r="B32" s="485"/>
      <c r="C32" s="836"/>
      <c r="D32" s="487"/>
      <c r="E32" s="341">
        <f t="shared" si="3"/>
        <v>22</v>
      </c>
    </row>
    <row r="33" spans="1:5" ht="16.5" thickBot="1" x14ac:dyDescent="0.3">
      <c r="A33" s="341">
        <f t="shared" si="2"/>
        <v>23</v>
      </c>
      <c r="B33" s="485" t="s">
        <v>1099</v>
      </c>
      <c r="C33" s="837">
        <f>C29*C31</f>
        <v>56.027447560000006</v>
      </c>
      <c r="D33" s="487" t="s">
        <v>1104</v>
      </c>
      <c r="E33" s="341">
        <f t="shared" si="3"/>
        <v>23</v>
      </c>
    </row>
    <row r="34" spans="1:5" ht="17.25" thickTop="1" thickBot="1" x14ac:dyDescent="0.3">
      <c r="A34" s="341">
        <f t="shared" si="2"/>
        <v>24</v>
      </c>
      <c r="B34" s="661"/>
      <c r="C34" s="666"/>
      <c r="D34" s="667"/>
      <c r="E34" s="341">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5"/>
  <sheetViews>
    <sheetView zoomScaleNormal="100" workbookViewId="0">
      <selection activeCell="C38" sqref="C38"/>
    </sheetView>
  </sheetViews>
  <sheetFormatPr defaultColWidth="8.7109375" defaultRowHeight="15.75" x14ac:dyDescent="0.25"/>
  <cols>
    <col min="1" max="1" width="5.28515625" style="4" customWidth="1"/>
    <col min="2" max="2" width="60.7109375" style="31" customWidth="1"/>
    <col min="3" max="3" width="21.28515625" style="31" customWidth="1"/>
    <col min="4" max="4" width="1.5703125" style="31" customWidth="1"/>
    <col min="5" max="5" width="16.7109375" style="31" customWidth="1"/>
    <col min="6" max="6" width="1.5703125" style="31" customWidth="1"/>
    <col min="7" max="7" width="34.5703125" style="31" customWidth="1"/>
    <col min="8" max="8" width="5.28515625" style="31" customWidth="1"/>
    <col min="9" max="9" width="8.7109375" style="31"/>
    <col min="10" max="10" width="20.42578125" style="31" bestFit="1" customWidth="1"/>
    <col min="11" max="16384" width="8.7109375" style="31"/>
  </cols>
  <sheetData>
    <row r="1" spans="1:10" x14ac:dyDescent="0.25">
      <c r="E1" s="70"/>
      <c r="F1" s="70"/>
      <c r="G1" s="4"/>
      <c r="H1" s="4"/>
    </row>
    <row r="2" spans="1:10" x14ac:dyDescent="0.25">
      <c r="B2" s="1294" t="s">
        <v>0</v>
      </c>
      <c r="C2" s="1294"/>
      <c r="D2" s="1294"/>
      <c r="E2" s="1294"/>
      <c r="F2" s="1294"/>
      <c r="G2" s="1294"/>
      <c r="H2" s="4"/>
    </row>
    <row r="3" spans="1:10" x14ac:dyDescent="0.25">
      <c r="B3" s="1294" t="s">
        <v>1105</v>
      </c>
      <c r="C3" s="1294"/>
      <c r="D3" s="1294"/>
      <c r="E3" s="1306"/>
      <c r="F3" s="1306"/>
      <c r="G3" s="1306"/>
      <c r="H3" s="4"/>
    </row>
    <row r="4" spans="1:10" x14ac:dyDescent="0.25">
      <c r="B4" s="1300" t="str">
        <f>'Stmt AD'!B5</f>
        <v>Base Period &amp; True-Up Period 12 - Months Ending December 31, 2023</v>
      </c>
      <c r="C4" s="1300"/>
      <c r="D4" s="1300"/>
      <c r="E4" s="1300"/>
      <c r="F4" s="1300"/>
      <c r="G4" s="1300"/>
      <c r="H4" s="4"/>
    </row>
    <row r="5" spans="1:10" x14ac:dyDescent="0.25">
      <c r="B5" s="1299" t="s">
        <v>4</v>
      </c>
      <c r="C5" s="1295"/>
      <c r="D5" s="1295"/>
      <c r="E5" s="1295"/>
      <c r="F5" s="1295"/>
      <c r="G5" s="1295"/>
      <c r="H5" s="4"/>
    </row>
    <row r="6" spans="1:10" x14ac:dyDescent="0.25">
      <c r="B6" s="4"/>
      <c r="C6" s="4"/>
      <c r="D6" s="4"/>
      <c r="E6" s="4"/>
      <c r="F6" s="4"/>
      <c r="G6" s="4"/>
      <c r="H6" s="4"/>
    </row>
    <row r="7" spans="1:10" x14ac:dyDescent="0.25">
      <c r="A7" s="4" t="s">
        <v>5</v>
      </c>
      <c r="B7" s="337"/>
      <c r="C7" s="4" t="s">
        <v>205</v>
      </c>
      <c r="D7" s="218"/>
      <c r="E7" s="218"/>
      <c r="F7" s="218"/>
      <c r="G7" s="4"/>
      <c r="H7" s="4" t="s">
        <v>5</v>
      </c>
    </row>
    <row r="8" spans="1:10" x14ac:dyDescent="0.25">
      <c r="A8" s="4" t="s">
        <v>6</v>
      </c>
      <c r="B8" s="4"/>
      <c r="C8" s="849" t="s">
        <v>207</v>
      </c>
      <c r="D8" s="218"/>
      <c r="E8" s="849" t="s">
        <v>7</v>
      </c>
      <c r="F8" s="218"/>
      <c r="G8" s="849" t="s">
        <v>8</v>
      </c>
      <c r="H8" s="4" t="s">
        <v>6</v>
      </c>
    </row>
    <row r="9" spans="1:10" x14ac:dyDescent="0.25">
      <c r="C9" s="4"/>
      <c r="D9" s="4"/>
      <c r="F9" s="218"/>
      <c r="H9" s="4"/>
    </row>
    <row r="10" spans="1:10" ht="19.5" thickBot="1" x14ac:dyDescent="0.3">
      <c r="A10" s="4">
        <v>1</v>
      </c>
      <c r="B10" s="32" t="s">
        <v>1106</v>
      </c>
      <c r="E10" s="92">
        <v>0</v>
      </c>
      <c r="F10" s="218"/>
      <c r="G10" s="4"/>
      <c r="H10" s="4">
        <f>A10</f>
        <v>1</v>
      </c>
    </row>
    <row r="11" spans="1:10" ht="16.5" thickTop="1" x14ac:dyDescent="0.25">
      <c r="A11" s="4">
        <f>A10+1</f>
        <v>2</v>
      </c>
      <c r="F11" s="218"/>
      <c r="H11" s="4">
        <f>+H10+1</f>
        <v>2</v>
      </c>
    </row>
    <row r="12" spans="1:10" ht="19.5" thickBot="1" x14ac:dyDescent="0.3">
      <c r="A12" s="4">
        <f t="shared" ref="A12:A20" si="0">A11+1</f>
        <v>3</v>
      </c>
      <c r="B12" s="32" t="s">
        <v>1107</v>
      </c>
      <c r="E12" s="92">
        <v>0</v>
      </c>
      <c r="F12" s="218"/>
      <c r="G12" s="4"/>
      <c r="H12" s="4">
        <f t="shared" ref="H12:H18" si="1">+H11+1</f>
        <v>3</v>
      </c>
    </row>
    <row r="13" spans="1:10" ht="16.5" thickTop="1" x14ac:dyDescent="0.25">
      <c r="A13" s="4">
        <f t="shared" si="0"/>
        <v>4</v>
      </c>
      <c r="F13" s="218"/>
      <c r="H13" s="4">
        <f t="shared" si="1"/>
        <v>4</v>
      </c>
    </row>
    <row r="14" spans="1:10" ht="19.5" thickBot="1" x14ac:dyDescent="0.3">
      <c r="A14" s="4">
        <f t="shared" si="0"/>
        <v>5</v>
      </c>
      <c r="B14" s="32" t="s">
        <v>1108</v>
      </c>
      <c r="E14" s="92">
        <v>0</v>
      </c>
      <c r="F14" s="218"/>
      <c r="G14" s="4"/>
      <c r="H14" s="4">
        <f t="shared" si="1"/>
        <v>5</v>
      </c>
    </row>
    <row r="15" spans="1:10" ht="16.5" thickTop="1" x14ac:dyDescent="0.25">
      <c r="A15" s="4">
        <f t="shared" si="0"/>
        <v>6</v>
      </c>
      <c r="B15" s="32"/>
      <c r="E15" s="35"/>
      <c r="F15" s="218"/>
      <c r="G15" s="4"/>
      <c r="H15" s="4">
        <f t="shared" si="1"/>
        <v>6</v>
      </c>
    </row>
    <row r="16" spans="1:10" ht="19.5" thickBot="1" x14ac:dyDescent="0.3">
      <c r="A16" s="4">
        <f t="shared" si="0"/>
        <v>7</v>
      </c>
      <c r="B16" s="32" t="s">
        <v>1952</v>
      </c>
      <c r="E16" s="92">
        <f>'Misc.-1'!G22</f>
        <v>-11581.045271705818</v>
      </c>
      <c r="F16" s="218"/>
      <c r="G16" s="4" t="s">
        <v>1859</v>
      </c>
      <c r="H16" s="4">
        <f t="shared" si="1"/>
        <v>7</v>
      </c>
      <c r="J16" s="277"/>
    </row>
    <row r="17" spans="1:8" ht="16.5" thickTop="1" x14ac:dyDescent="0.25">
      <c r="A17" s="4">
        <f t="shared" si="0"/>
        <v>8</v>
      </c>
      <c r="F17" s="218"/>
      <c r="H17" s="4">
        <f t="shared" si="1"/>
        <v>8</v>
      </c>
    </row>
    <row r="18" spans="1:8" ht="19.5" thickBot="1" x14ac:dyDescent="0.3">
      <c r="A18" s="4">
        <f t="shared" si="0"/>
        <v>9</v>
      </c>
      <c r="B18" s="32" t="s">
        <v>1109</v>
      </c>
      <c r="E18" s="92">
        <v>0</v>
      </c>
      <c r="F18" s="218"/>
      <c r="G18" s="4"/>
      <c r="H18" s="4">
        <f t="shared" si="1"/>
        <v>9</v>
      </c>
    </row>
    <row r="19" spans="1:8" ht="16.5" thickTop="1" x14ac:dyDescent="0.25">
      <c r="A19" s="4">
        <f t="shared" si="0"/>
        <v>10</v>
      </c>
      <c r="B19" s="32"/>
      <c r="E19" s="35"/>
      <c r="F19" s="4"/>
      <c r="G19" s="4"/>
      <c r="H19" s="4">
        <f t="shared" ref="H19:H20" si="2">H18+1</f>
        <v>10</v>
      </c>
    </row>
    <row r="20" spans="1:8" ht="16.5" thickBot="1" x14ac:dyDescent="0.3">
      <c r="A20" s="4">
        <f t="shared" si="0"/>
        <v>11</v>
      </c>
      <c r="B20" s="31" t="s">
        <v>1882</v>
      </c>
      <c r="E20" s="92">
        <f>'Misc.-2'!G15</f>
        <v>0</v>
      </c>
      <c r="F20" s="4"/>
      <c r="G20" s="4" t="s">
        <v>1883</v>
      </c>
      <c r="H20" s="4">
        <f t="shared" si="2"/>
        <v>11</v>
      </c>
    </row>
    <row r="21" spans="1:8" ht="16.5" thickTop="1" x14ac:dyDescent="0.25">
      <c r="H21" s="4"/>
    </row>
    <row r="22" spans="1:8" x14ac:dyDescent="0.25">
      <c r="H22" s="4"/>
    </row>
    <row r="23" spans="1:8" ht="18.75" x14ac:dyDescent="0.25">
      <c r="A23" s="266">
        <v>1</v>
      </c>
      <c r="B23" s="31" t="s">
        <v>1575</v>
      </c>
      <c r="H23" s="4"/>
    </row>
    <row r="24" spans="1:8" x14ac:dyDescent="0.25">
      <c r="B24" s="31" t="s">
        <v>1110</v>
      </c>
    </row>
    <row r="25" spans="1:8" ht="18.75" x14ac:dyDescent="0.25">
      <c r="A25" s="266">
        <v>2</v>
      </c>
      <c r="B25" s="31" t="s">
        <v>2028</v>
      </c>
    </row>
  </sheetData>
  <mergeCells count="4">
    <mergeCell ref="B2:G2"/>
    <mergeCell ref="B3:G3"/>
    <mergeCell ref="B4:G4"/>
    <mergeCell ref="B5:G5"/>
  </mergeCells>
  <printOptions horizontalCentered="1"/>
  <pageMargins left="0.5" right="0.5" top="0.5" bottom="0.5" header="0.25" footer="0.25"/>
  <pageSetup scale="65" orientation="portrait"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J35"/>
  <sheetViews>
    <sheetView zoomScaleNormal="100" workbookViewId="0">
      <selection activeCell="G12" sqref="G12"/>
    </sheetView>
  </sheetViews>
  <sheetFormatPr defaultColWidth="8.7109375" defaultRowHeight="15.75" x14ac:dyDescent="0.25"/>
  <cols>
    <col min="1" max="1" width="5.28515625" style="4" customWidth="1"/>
    <col min="2" max="2" width="56.285156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50.7109375" style="31" customWidth="1"/>
    <col min="9" max="9" width="5.28515625" style="4" customWidth="1"/>
    <col min="10" max="16384" width="8.7109375" style="31"/>
  </cols>
  <sheetData>
    <row r="2" spans="1:9" x14ac:dyDescent="0.25">
      <c r="B2" s="1294" t="s">
        <v>0</v>
      </c>
      <c r="C2" s="1294"/>
      <c r="D2" s="1294"/>
      <c r="E2" s="1294"/>
      <c r="F2" s="1294"/>
      <c r="G2" s="1294"/>
      <c r="H2" s="1294"/>
    </row>
    <row r="3" spans="1:9" x14ac:dyDescent="0.25">
      <c r="B3" s="1294" t="s">
        <v>1111</v>
      </c>
      <c r="C3" s="1294"/>
      <c r="D3" s="1294"/>
      <c r="E3" s="1294"/>
      <c r="F3" s="1294"/>
      <c r="G3" s="1294"/>
      <c r="H3" s="1294"/>
    </row>
    <row r="4" spans="1:9" x14ac:dyDescent="0.25">
      <c r="B4" s="1294" t="s">
        <v>1112</v>
      </c>
      <c r="C4" s="1294"/>
      <c r="D4" s="1294"/>
      <c r="E4" s="1294"/>
      <c r="F4" s="1294"/>
      <c r="G4" s="1294"/>
      <c r="H4" s="1294"/>
    </row>
    <row r="5" spans="1:9" x14ac:dyDescent="0.25">
      <c r="B5" s="1294" t="str">
        <f>'AR-1'!B5</f>
        <v>BASE PERIOD 12 MONTHS ENDING DECEMBER 31, 2023</v>
      </c>
      <c r="C5" s="1294"/>
      <c r="D5" s="1294"/>
      <c r="E5" s="1294"/>
      <c r="F5" s="1294"/>
      <c r="G5" s="1294"/>
      <c r="H5" s="1294"/>
    </row>
    <row r="6" spans="1:9" ht="15.75" customHeight="1" x14ac:dyDescent="0.25">
      <c r="B6" s="1299" t="s">
        <v>4</v>
      </c>
      <c r="C6" s="1299"/>
      <c r="D6" s="1299"/>
      <c r="E6" s="1299"/>
      <c r="F6" s="1299"/>
      <c r="G6" s="1299"/>
      <c r="H6" s="1299"/>
    </row>
    <row r="8" spans="1:9" x14ac:dyDescent="0.25">
      <c r="C8" s="34" t="s">
        <v>184</v>
      </c>
      <c r="D8" s="34"/>
      <c r="E8" s="34" t="s">
        <v>185</v>
      </c>
      <c r="G8" s="34" t="s">
        <v>1870</v>
      </c>
      <c r="H8" s="6"/>
    </row>
    <row r="9" spans="1:9" x14ac:dyDescent="0.25">
      <c r="A9" s="4" t="s">
        <v>5</v>
      </c>
      <c r="B9" s="750"/>
      <c r="C9" s="750"/>
      <c r="D9" s="750"/>
      <c r="E9" s="1241" t="s">
        <v>1867</v>
      </c>
      <c r="F9" s="6"/>
      <c r="G9" s="11" t="s">
        <v>290</v>
      </c>
      <c r="H9" s="6"/>
      <c r="I9" s="4" t="s">
        <v>5</v>
      </c>
    </row>
    <row r="10" spans="1:9" x14ac:dyDescent="0.25">
      <c r="A10" s="4" t="s">
        <v>6</v>
      </c>
      <c r="B10" s="849" t="s">
        <v>306</v>
      </c>
      <c r="C10" s="849" t="s">
        <v>208</v>
      </c>
      <c r="D10" s="920"/>
      <c r="E10" s="849" t="s">
        <v>1439</v>
      </c>
      <c r="F10" s="920"/>
      <c r="G10" s="849" t="s">
        <v>1868</v>
      </c>
      <c r="H10" s="849" t="s">
        <v>8</v>
      </c>
      <c r="I10" s="4" t="s">
        <v>6</v>
      </c>
    </row>
    <row r="11" spans="1:9" x14ac:dyDescent="0.25">
      <c r="C11" s="4"/>
    </row>
    <row r="12" spans="1:9" ht="18.75" x14ac:dyDescent="0.25">
      <c r="A12" s="4">
        <v>1</v>
      </c>
      <c r="B12" s="32" t="s">
        <v>1959</v>
      </c>
      <c r="C12" s="1229">
        <f>'Misc.-1.1'!M11</f>
        <v>-560.00010599999996</v>
      </c>
      <c r="E12" s="1251">
        <f>+G28</f>
        <v>0.17324880590969277</v>
      </c>
      <c r="G12" s="6">
        <f>C12*E12</f>
        <v>-97.019349673801372</v>
      </c>
      <c r="H12" s="44" t="s">
        <v>1886</v>
      </c>
      <c r="I12" s="4">
        <v>1</v>
      </c>
    </row>
    <row r="13" spans="1:9" x14ac:dyDescent="0.25">
      <c r="A13" s="4">
        <f>A12+1</f>
        <v>2</v>
      </c>
      <c r="H13" s="44"/>
      <c r="I13" s="4">
        <f>I12+1</f>
        <v>2</v>
      </c>
    </row>
    <row r="14" spans="1:9" ht="18.75" x14ac:dyDescent="0.25">
      <c r="A14" s="4">
        <f t="shared" ref="A14:A22" si="0">A13+1</f>
        <v>3</v>
      </c>
      <c r="B14" s="32" t="s">
        <v>1953</v>
      </c>
      <c r="C14" s="1229">
        <f>'Misc.-1.1'!M13</f>
        <v>-16320.108636000001</v>
      </c>
      <c r="E14" s="1251">
        <f>+G28</f>
        <v>0.17324880590969277</v>
      </c>
      <c r="G14" s="6">
        <f>C14*E14</f>
        <v>-2827.4393335034651</v>
      </c>
      <c r="H14" s="44" t="s">
        <v>1887</v>
      </c>
      <c r="I14" s="4">
        <f t="shared" ref="I14:I33" si="1">I13+1</f>
        <v>3</v>
      </c>
    </row>
    <row r="15" spans="1:9" x14ac:dyDescent="0.25">
      <c r="A15" s="4">
        <f t="shared" si="0"/>
        <v>4</v>
      </c>
      <c r="H15" s="44"/>
      <c r="I15" s="4">
        <f t="shared" si="1"/>
        <v>4</v>
      </c>
    </row>
    <row r="16" spans="1:9" ht="18.75" x14ac:dyDescent="0.25">
      <c r="A16" s="4">
        <f t="shared" si="0"/>
        <v>5</v>
      </c>
      <c r="B16" s="32" t="s">
        <v>1954</v>
      </c>
      <c r="C16" s="1229">
        <f>'Misc.-1.1'!M15</f>
        <v>-23610.755346000002</v>
      </c>
      <c r="E16" s="1251">
        <f>'AD-10'!D$18*'Stmt AI'!E$25</f>
        <v>0.14523600674449205</v>
      </c>
      <c r="G16" s="6">
        <f>C16*E16</f>
        <v>-3429.1318226742083</v>
      </c>
      <c r="H16" s="44" t="s">
        <v>1888</v>
      </c>
      <c r="I16" s="4">
        <f t="shared" si="1"/>
        <v>5</v>
      </c>
    </row>
    <row r="17" spans="1:10" x14ac:dyDescent="0.25">
      <c r="A17" s="4">
        <f t="shared" si="0"/>
        <v>6</v>
      </c>
      <c r="H17" s="44"/>
      <c r="I17" s="4">
        <f t="shared" si="1"/>
        <v>6</v>
      </c>
    </row>
    <row r="18" spans="1:10" ht="18.75" x14ac:dyDescent="0.25">
      <c r="A18" s="4">
        <f t="shared" si="0"/>
        <v>7</v>
      </c>
      <c r="B18" s="32" t="s">
        <v>1955</v>
      </c>
      <c r="C18" s="1229">
        <f>'Misc.-1.1'!M17</f>
        <v>-35992.829072000008</v>
      </c>
      <c r="E18" s="1251">
        <f>'AD-10'!D$18*'Stmt AI'!E$25</f>
        <v>0.14523600674449205</v>
      </c>
      <c r="G18" s="6">
        <f>C18*E18</f>
        <v>-5227.4547658543424</v>
      </c>
      <c r="H18" s="44" t="s">
        <v>1889</v>
      </c>
      <c r="I18" s="4">
        <f t="shared" si="1"/>
        <v>7</v>
      </c>
    </row>
    <row r="19" spans="1:10" x14ac:dyDescent="0.25">
      <c r="A19" s="4">
        <f t="shared" si="0"/>
        <v>8</v>
      </c>
      <c r="H19" s="44"/>
      <c r="I19" s="4">
        <f t="shared" si="1"/>
        <v>8</v>
      </c>
    </row>
    <row r="20" spans="1:10" ht="18.75" x14ac:dyDescent="0.25">
      <c r="A20" s="4" t="str">
        <f>'Misc.-1.1'!A19</f>
        <v>9a</v>
      </c>
      <c r="B20" s="32" t="s">
        <v>1960</v>
      </c>
      <c r="C20" s="1243">
        <f>'Misc.-1.1'!M19</f>
        <v>0</v>
      </c>
      <c r="D20" s="920"/>
      <c r="E20" s="1244">
        <f>'AD-10'!D$18*'Stmt AI'!E$25</f>
        <v>0.14523600674449205</v>
      </c>
      <c r="F20" s="920"/>
      <c r="G20" s="877">
        <f>C20*E20</f>
        <v>0</v>
      </c>
      <c r="H20" s="44" t="s">
        <v>1937</v>
      </c>
      <c r="I20" s="4">
        <f t="shared" si="1"/>
        <v>9</v>
      </c>
      <c r="J20" s="255"/>
    </row>
    <row r="21" spans="1:10" x14ac:dyDescent="0.25">
      <c r="A21" s="4">
        <f>'Misc.-1.1'!A20</f>
        <v>10</v>
      </c>
      <c r="H21" s="44"/>
      <c r="I21" s="4">
        <f t="shared" si="1"/>
        <v>10</v>
      </c>
    </row>
    <row r="22" spans="1:10" ht="16.5" thickBot="1" x14ac:dyDescent="0.3">
      <c r="A22" s="4">
        <f t="shared" si="0"/>
        <v>11</v>
      </c>
      <c r="B22" s="31" t="s">
        <v>1116</v>
      </c>
      <c r="C22" s="1245">
        <f>SUM(C12:C20)</f>
        <v>-76483.69316000001</v>
      </c>
      <c r="G22" s="1245">
        <f>SUM(G12:G20)</f>
        <v>-11581.045271705818</v>
      </c>
      <c r="H22" s="4" t="s">
        <v>1860</v>
      </c>
      <c r="I22" s="4">
        <f t="shared" si="1"/>
        <v>11</v>
      </c>
      <c r="J22" s="277"/>
    </row>
    <row r="23" spans="1:10" ht="16.5" thickTop="1" x14ac:dyDescent="0.25">
      <c r="I23" s="4">
        <f t="shared" si="1"/>
        <v>12</v>
      </c>
    </row>
    <row r="24" spans="1:10" x14ac:dyDescent="0.25">
      <c r="I24" s="4">
        <f t="shared" si="1"/>
        <v>13</v>
      </c>
    </row>
    <row r="25" spans="1:10" ht="18.75" x14ac:dyDescent="0.25">
      <c r="A25" s="34" t="s">
        <v>1956</v>
      </c>
      <c r="B25" s="31" t="s">
        <v>1957</v>
      </c>
      <c r="H25" s="4"/>
      <c r="I25" s="4">
        <f t="shared" si="1"/>
        <v>14</v>
      </c>
    </row>
    <row r="26" spans="1:10" x14ac:dyDescent="0.25">
      <c r="A26" s="4" t="s">
        <v>1131</v>
      </c>
      <c r="B26" s="31" t="s">
        <v>1132</v>
      </c>
      <c r="G26" s="47">
        <f>+'AD-10'!D18</f>
        <v>0.73899999999999999</v>
      </c>
      <c r="H26" s="4" t="s">
        <v>1961</v>
      </c>
      <c r="I26" s="4">
        <f t="shared" si="1"/>
        <v>15</v>
      </c>
    </row>
    <row r="27" spans="1:10" x14ac:dyDescent="0.25">
      <c r="A27" s="4" t="s">
        <v>1133</v>
      </c>
      <c r="B27" s="31" t="s">
        <v>1857</v>
      </c>
      <c r="G27" s="47">
        <f>+'Stmt AH'!E51</f>
        <v>0.23443681449214177</v>
      </c>
      <c r="H27" s="4" t="s">
        <v>1962</v>
      </c>
      <c r="I27" s="4">
        <f t="shared" si="1"/>
        <v>16</v>
      </c>
    </row>
    <row r="28" spans="1:10" ht="16.5" thickBot="1" x14ac:dyDescent="0.3">
      <c r="A28" s="4" t="s">
        <v>1134</v>
      </c>
      <c r="B28" s="31" t="s">
        <v>1119</v>
      </c>
      <c r="G28" s="627">
        <f>G26*G27</f>
        <v>0.17324880590969277</v>
      </c>
      <c r="H28" s="4" t="s">
        <v>1773</v>
      </c>
      <c r="I28" s="4">
        <f t="shared" si="1"/>
        <v>17</v>
      </c>
    </row>
    <row r="29" spans="1:10" ht="16.5" thickTop="1" x14ac:dyDescent="0.25">
      <c r="H29" s="4"/>
      <c r="I29" s="4">
        <f t="shared" si="1"/>
        <v>18</v>
      </c>
    </row>
    <row r="30" spans="1:10" ht="18.75" x14ac:dyDescent="0.25">
      <c r="A30" s="1246" t="s">
        <v>1923</v>
      </c>
      <c r="B30" s="31" t="s">
        <v>1958</v>
      </c>
      <c r="H30" s="4"/>
      <c r="I30" s="4">
        <f t="shared" si="1"/>
        <v>19</v>
      </c>
    </row>
    <row r="31" spans="1:10" x14ac:dyDescent="0.25">
      <c r="A31" s="4" t="s">
        <v>1131</v>
      </c>
      <c r="B31" s="31" t="s">
        <v>1132</v>
      </c>
      <c r="G31" s="47">
        <f>+'AD-10'!D18</f>
        <v>0.73899999999999999</v>
      </c>
      <c r="H31" s="4" t="str">
        <f>H26</f>
        <v>Tab AD-10; Line 6</v>
      </c>
      <c r="I31" s="4">
        <f t="shared" si="1"/>
        <v>20</v>
      </c>
    </row>
    <row r="32" spans="1:10" x14ac:dyDescent="0.25">
      <c r="A32" s="4" t="s">
        <v>1133</v>
      </c>
      <c r="B32" s="31" t="s">
        <v>233</v>
      </c>
      <c r="G32" s="47">
        <f>+'Stmt AI'!E25</f>
        <v>0.19653045567590263</v>
      </c>
      <c r="H32" s="4" t="s">
        <v>1963</v>
      </c>
      <c r="I32" s="4">
        <f t="shared" si="1"/>
        <v>21</v>
      </c>
    </row>
    <row r="33" spans="1:9" ht="16.5" thickBot="1" x14ac:dyDescent="0.3">
      <c r="A33" s="4" t="s">
        <v>1134</v>
      </c>
      <c r="B33" s="31" t="s">
        <v>1119</v>
      </c>
      <c r="G33" s="627">
        <f>G31*G32</f>
        <v>0.14523600674449205</v>
      </c>
      <c r="H33" s="4" t="s">
        <v>1664</v>
      </c>
      <c r="I33" s="4">
        <f t="shared" si="1"/>
        <v>22</v>
      </c>
    </row>
    <row r="34" spans="1:9" ht="16.5" thickTop="1" x14ac:dyDescent="0.25">
      <c r="I34" s="31"/>
    </row>
    <row r="35" spans="1:9" ht="18.75" x14ac:dyDescent="0.25">
      <c r="A35" s="1246" t="s">
        <v>1924</v>
      </c>
      <c r="B35" s="31" t="s">
        <v>1872</v>
      </c>
      <c r="I35" s="31"/>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Q24"/>
  <sheetViews>
    <sheetView zoomScaleNormal="100" workbookViewId="0">
      <selection activeCell="C27" sqref="C27"/>
    </sheetView>
  </sheetViews>
  <sheetFormatPr defaultColWidth="8.5703125" defaultRowHeight="15.75" x14ac:dyDescent="0.25"/>
  <cols>
    <col min="1" max="1" width="5.5703125" style="4" customWidth="1"/>
    <col min="2" max="2" width="50.7109375" style="31" customWidth="1"/>
    <col min="3" max="3" width="16.7109375" style="31" customWidth="1"/>
    <col min="4" max="4" width="1.7109375" style="31" customWidth="1"/>
    <col min="5" max="5" width="16.7109375" style="31" customWidth="1"/>
    <col min="6" max="6" width="1.7109375" style="31" customWidth="1"/>
    <col min="7" max="7" width="16.7109375" style="31" customWidth="1"/>
    <col min="8" max="8" width="1.7109375" style="31" customWidth="1"/>
    <col min="9" max="9" width="16.7109375" style="31" customWidth="1"/>
    <col min="10" max="10" width="1.7109375" style="31" customWidth="1"/>
    <col min="11" max="11" width="16.7109375" style="31" customWidth="1"/>
    <col min="12" max="12" width="1.5703125" style="31" customWidth="1"/>
    <col min="13" max="13" width="27.5703125" style="31" bestFit="1" customWidth="1"/>
    <col min="14" max="14" width="62.5703125" style="31" customWidth="1"/>
    <col min="15" max="15" width="5.42578125" style="4" customWidth="1"/>
    <col min="16" max="16" width="8.5703125" style="31"/>
    <col min="17" max="17" width="22" style="31" bestFit="1" customWidth="1"/>
    <col min="18" max="16384" width="8.5703125" style="31"/>
  </cols>
  <sheetData>
    <row r="2" spans="1:17" x14ac:dyDescent="0.25">
      <c r="B2" s="1294" t="s">
        <v>0</v>
      </c>
      <c r="C2" s="1294"/>
      <c r="D2" s="1294"/>
      <c r="E2" s="1294"/>
      <c r="F2" s="1294"/>
      <c r="G2" s="1294"/>
      <c r="H2" s="1294"/>
      <c r="I2" s="1294"/>
      <c r="J2" s="1294"/>
      <c r="K2" s="1294"/>
      <c r="L2" s="1294"/>
      <c r="M2" s="1294"/>
      <c r="N2" s="1294"/>
    </row>
    <row r="3" spans="1:17" x14ac:dyDescent="0.25">
      <c r="B3" s="1294" t="s">
        <v>1111</v>
      </c>
      <c r="C3" s="1294"/>
      <c r="D3" s="1294"/>
      <c r="E3" s="1294"/>
      <c r="F3" s="1294"/>
      <c r="G3" s="1294"/>
      <c r="H3" s="1294"/>
      <c r="I3" s="1294"/>
      <c r="J3" s="1294"/>
      <c r="K3" s="1294"/>
      <c r="L3" s="1294"/>
      <c r="M3" s="1294"/>
      <c r="N3" s="1294"/>
    </row>
    <row r="4" spans="1:17" x14ac:dyDescent="0.25">
      <c r="B4" s="1294" t="s">
        <v>1112</v>
      </c>
      <c r="C4" s="1294"/>
      <c r="D4" s="1294"/>
      <c r="E4" s="1294"/>
      <c r="F4" s="1294"/>
      <c r="G4" s="1294"/>
      <c r="H4" s="1294"/>
      <c r="I4" s="1294"/>
      <c r="J4" s="1294"/>
      <c r="K4" s="1294"/>
      <c r="L4" s="1294"/>
      <c r="M4" s="1294"/>
      <c r="N4" s="1294"/>
    </row>
    <row r="5" spans="1:17" x14ac:dyDescent="0.25">
      <c r="B5" s="1294" t="str">
        <f>'Misc.-1'!B5</f>
        <v>BASE PERIOD 12 MONTHS ENDING DECEMBER 31, 2023</v>
      </c>
      <c r="C5" s="1294"/>
      <c r="D5" s="1294"/>
      <c r="E5" s="1294"/>
      <c r="F5" s="1294"/>
      <c r="G5" s="1294"/>
      <c r="H5" s="1294"/>
      <c r="I5" s="1294"/>
      <c r="J5" s="1294"/>
      <c r="K5" s="1294"/>
      <c r="L5" s="1294"/>
      <c r="M5" s="1294"/>
      <c r="N5" s="1294"/>
    </row>
    <row r="6" spans="1:17" ht="15.75" customHeight="1" x14ac:dyDescent="0.25">
      <c r="B6" s="1299" t="s">
        <v>4</v>
      </c>
      <c r="C6" s="1299"/>
      <c r="D6" s="1299"/>
      <c r="E6" s="1299"/>
      <c r="F6" s="1299"/>
      <c r="G6" s="1299"/>
      <c r="H6" s="1299"/>
      <c r="I6" s="1299"/>
      <c r="J6" s="1299"/>
      <c r="K6" s="1299"/>
      <c r="L6" s="1299"/>
      <c r="M6" s="1299"/>
      <c r="N6" s="1299"/>
    </row>
    <row r="7" spans="1:17" x14ac:dyDescent="0.25">
      <c r="Q7" s="47"/>
    </row>
    <row r="8" spans="1:17" x14ac:dyDescent="0.25">
      <c r="A8" s="4" t="s">
        <v>5</v>
      </c>
      <c r="B8" s="750"/>
      <c r="C8" s="34" t="s">
        <v>184</v>
      </c>
      <c r="D8" s="750"/>
      <c r="E8" s="34" t="s">
        <v>185</v>
      </c>
      <c r="F8" s="750"/>
      <c r="G8" s="34" t="s">
        <v>186</v>
      </c>
      <c r="I8" s="34" t="s">
        <v>937</v>
      </c>
      <c r="K8" s="34" t="s">
        <v>938</v>
      </c>
      <c r="M8" s="34" t="s">
        <v>1871</v>
      </c>
      <c r="O8" s="4" t="s">
        <v>5</v>
      </c>
    </row>
    <row r="9" spans="1:17" x14ac:dyDescent="0.25">
      <c r="A9" s="4" t="s">
        <v>6</v>
      </c>
      <c r="B9" s="849" t="s">
        <v>306</v>
      </c>
      <c r="C9" s="850">
        <v>44926</v>
      </c>
      <c r="D9" s="849"/>
      <c r="E9" s="850">
        <v>45016</v>
      </c>
      <c r="F9" s="920"/>
      <c r="G9" s="850">
        <v>45107</v>
      </c>
      <c r="H9" s="920"/>
      <c r="I9" s="850">
        <v>45199</v>
      </c>
      <c r="J9" s="920"/>
      <c r="K9" s="850">
        <v>45291</v>
      </c>
      <c r="L9" s="920"/>
      <c r="M9" s="849" t="s">
        <v>208</v>
      </c>
      <c r="N9" s="849" t="s">
        <v>8</v>
      </c>
      <c r="O9" s="4" t="s">
        <v>6</v>
      </c>
    </row>
    <row r="10" spans="1:17" x14ac:dyDescent="0.25">
      <c r="C10" s="4"/>
      <c r="E10" s="4"/>
      <c r="G10" s="4"/>
      <c r="I10" s="4"/>
      <c r="K10" s="4"/>
      <c r="M10" s="4"/>
      <c r="N10" s="4"/>
      <c r="O10" s="31"/>
    </row>
    <row r="11" spans="1:17" x14ac:dyDescent="0.25">
      <c r="A11" s="4">
        <v>1</v>
      </c>
      <c r="B11" s="32" t="s">
        <v>1874</v>
      </c>
      <c r="C11" s="1248">
        <v>-575.00047999999992</v>
      </c>
      <c r="D11" s="1250"/>
      <c r="E11" s="1248">
        <v>-575.00047999999992</v>
      </c>
      <c r="F11" s="1250"/>
      <c r="G11" s="1248">
        <v>-575.00047999999992</v>
      </c>
      <c r="H11" s="1250"/>
      <c r="I11" s="1248">
        <v>-624.99952000000008</v>
      </c>
      <c r="J11" s="1250"/>
      <c r="K11" s="1248">
        <v>-449.99957000000001</v>
      </c>
      <c r="L11" s="1206"/>
      <c r="M11" s="1206">
        <f>(C11+E11+G11+I11+K11)/5</f>
        <v>-560.00010599999996</v>
      </c>
      <c r="N11" s="44" t="s">
        <v>258</v>
      </c>
      <c r="O11" s="4">
        <v>1</v>
      </c>
    </row>
    <row r="12" spans="1:17" x14ac:dyDescent="0.25">
      <c r="A12" s="4">
        <f>A11+1</f>
        <v>2</v>
      </c>
      <c r="C12" s="1206"/>
      <c r="D12" s="853"/>
      <c r="E12" s="1206"/>
      <c r="F12" s="853"/>
      <c r="G12" s="1206"/>
      <c r="H12" s="853"/>
      <c r="I12" s="1206"/>
      <c r="J12" s="853"/>
      <c r="K12" s="1206"/>
      <c r="L12" s="1206"/>
      <c r="M12" s="1206"/>
      <c r="N12" s="4"/>
      <c r="O12" s="4">
        <f>O11+1</f>
        <v>2</v>
      </c>
    </row>
    <row r="13" spans="1:17" x14ac:dyDescent="0.25">
      <c r="A13" s="4">
        <f t="shared" ref="A13:A21" si="0">A12+1</f>
        <v>3</v>
      </c>
      <c r="B13" s="32" t="s">
        <v>1875</v>
      </c>
      <c r="C13" s="1248">
        <f>-17581844.73/1000</f>
        <v>-17581.844730000001</v>
      </c>
      <c r="D13" s="1250"/>
      <c r="E13" s="1248">
        <v>-17895.491730000002</v>
      </c>
      <c r="F13" s="1250"/>
      <c r="G13" s="1248">
        <v>-16449.953730000001</v>
      </c>
      <c r="H13" s="1250"/>
      <c r="I13" s="1248">
        <v>-15320.40173</v>
      </c>
      <c r="J13" s="1250"/>
      <c r="K13" s="1248">
        <v>-14352.851259999999</v>
      </c>
      <c r="L13" s="1206"/>
      <c r="M13" s="1206">
        <f>(C13+E13+G13+I13+K13)/5</f>
        <v>-16320.108636000001</v>
      </c>
      <c r="N13" s="44" t="s">
        <v>258</v>
      </c>
      <c r="O13" s="4">
        <f t="shared" ref="O13:O21" si="1">O12+1</f>
        <v>3</v>
      </c>
    </row>
    <row r="14" spans="1:17" x14ac:dyDescent="0.25">
      <c r="A14" s="4">
        <f t="shared" si="0"/>
        <v>4</v>
      </c>
      <c r="C14" s="1206"/>
      <c r="D14" s="853"/>
      <c r="E14" s="1206"/>
      <c r="F14" s="853"/>
      <c r="G14" s="1206"/>
      <c r="H14" s="853"/>
      <c r="I14" s="1206"/>
      <c r="J14" s="853"/>
      <c r="K14" s="1206"/>
      <c r="L14" s="1206"/>
      <c r="M14" s="1206"/>
      <c r="N14" s="4"/>
      <c r="O14" s="4">
        <f t="shared" si="1"/>
        <v>4</v>
      </c>
    </row>
    <row r="15" spans="1:17" x14ac:dyDescent="0.25">
      <c r="A15" s="4">
        <f t="shared" si="0"/>
        <v>5</v>
      </c>
      <c r="B15" s="32" t="s">
        <v>1876</v>
      </c>
      <c r="C15" s="1248">
        <f>-23381.56319</f>
        <v>-23381.563190000001</v>
      </c>
      <c r="D15" s="1250"/>
      <c r="E15" s="1248">
        <f>-22812.4575</f>
        <v>-22812.4575</v>
      </c>
      <c r="F15" s="1250"/>
      <c r="G15" s="1248">
        <v>-22959.891889999999</v>
      </c>
      <c r="H15" s="1250"/>
      <c r="I15" s="1248">
        <v>-23070.870749999998</v>
      </c>
      <c r="J15" s="1250"/>
      <c r="K15" s="1248">
        <v>-25828.993399999999</v>
      </c>
      <c r="L15" s="1206"/>
      <c r="M15" s="1206">
        <f>(C15+E15+G15+I15+K15)/5</f>
        <v>-23610.755346000002</v>
      </c>
      <c r="N15" s="44" t="s">
        <v>258</v>
      </c>
      <c r="O15" s="4">
        <f t="shared" si="1"/>
        <v>5</v>
      </c>
    </row>
    <row r="16" spans="1:17" x14ac:dyDescent="0.25">
      <c r="A16" s="4">
        <f t="shared" si="0"/>
        <v>6</v>
      </c>
      <c r="C16" s="1206"/>
      <c r="D16" s="853"/>
      <c r="E16" s="1206"/>
      <c r="F16" s="853"/>
      <c r="G16" s="1206"/>
      <c r="H16" s="853"/>
      <c r="I16" s="1206"/>
      <c r="J16" s="853"/>
      <c r="K16" s="1206"/>
      <c r="L16" s="1206"/>
      <c r="M16" s="1206"/>
      <c r="N16" s="4"/>
      <c r="O16" s="4">
        <f t="shared" si="1"/>
        <v>6</v>
      </c>
    </row>
    <row r="17" spans="1:15" x14ac:dyDescent="0.25">
      <c r="A17" s="4">
        <f t="shared" si="0"/>
        <v>7</v>
      </c>
      <c r="B17" s="32" t="s">
        <v>1877</v>
      </c>
      <c r="C17" s="1248">
        <v>-30614.671119999999</v>
      </c>
      <c r="D17" s="1250"/>
      <c r="E17" s="1248">
        <v>-37812.058120000002</v>
      </c>
      <c r="F17" s="1250"/>
      <c r="G17" s="1248">
        <v>-39651.517119999997</v>
      </c>
      <c r="H17" s="1250"/>
      <c r="I17" s="1248">
        <v>-38997.792000000001</v>
      </c>
      <c r="J17" s="1250"/>
      <c r="K17" s="1248">
        <v>-32888.107000000004</v>
      </c>
      <c r="L17" s="1206"/>
      <c r="M17" s="1206">
        <f>(C17+E17+G17+I17+K17)/5</f>
        <v>-35992.829072000008</v>
      </c>
      <c r="N17" s="44" t="s">
        <v>258</v>
      </c>
      <c r="O17" s="4">
        <f t="shared" si="1"/>
        <v>7</v>
      </c>
    </row>
    <row r="18" spans="1:15" x14ac:dyDescent="0.25">
      <c r="A18" s="4">
        <f t="shared" si="0"/>
        <v>8</v>
      </c>
      <c r="C18" s="1206"/>
      <c r="D18" s="853"/>
      <c r="E18" s="1206"/>
      <c r="F18" s="853"/>
      <c r="G18" s="1206"/>
      <c r="H18" s="853"/>
      <c r="I18" s="1206"/>
      <c r="J18" s="853"/>
      <c r="K18" s="1206"/>
      <c r="L18" s="1206"/>
      <c r="M18" s="1206"/>
      <c r="N18" s="4"/>
      <c r="O18" s="4">
        <f t="shared" si="1"/>
        <v>8</v>
      </c>
    </row>
    <row r="19" spans="1:15" ht="18.75" x14ac:dyDescent="0.25">
      <c r="A19" s="4" t="s">
        <v>1936</v>
      </c>
      <c r="B19" s="32" t="s">
        <v>1964</v>
      </c>
      <c r="C19" s="1249">
        <v>0</v>
      </c>
      <c r="D19" s="1250"/>
      <c r="E19" s="1249">
        <v>0</v>
      </c>
      <c r="F19" s="1250"/>
      <c r="G19" s="1249">
        <v>0</v>
      </c>
      <c r="H19" s="1250"/>
      <c r="I19" s="1249">
        <v>0</v>
      </c>
      <c r="J19" s="1250"/>
      <c r="K19" s="1249">
        <v>0</v>
      </c>
      <c r="L19" s="1247"/>
      <c r="M19" s="1247">
        <f>(C19+E19+G19+I19+K19)/5</f>
        <v>0</v>
      </c>
      <c r="N19" s="44" t="s">
        <v>258</v>
      </c>
      <c r="O19" s="4">
        <f t="shared" si="1"/>
        <v>9</v>
      </c>
    </row>
    <row r="20" spans="1:15" x14ac:dyDescent="0.25">
      <c r="A20" s="4">
        <v>10</v>
      </c>
      <c r="C20" s="1206"/>
      <c r="D20" s="853"/>
      <c r="E20" s="1206"/>
      <c r="F20" s="853"/>
      <c r="G20" s="1206"/>
      <c r="H20" s="853"/>
      <c r="I20" s="1206"/>
      <c r="J20" s="853"/>
      <c r="K20" s="1206"/>
      <c r="L20" s="1206"/>
      <c r="M20" s="1206"/>
      <c r="N20" s="4"/>
      <c r="O20" s="4">
        <f t="shared" si="1"/>
        <v>10</v>
      </c>
    </row>
    <row r="21" spans="1:15" ht="16.5" thickBot="1" x14ac:dyDescent="0.3">
      <c r="A21" s="4">
        <f t="shared" si="0"/>
        <v>11</v>
      </c>
      <c r="B21" s="32" t="s">
        <v>1869</v>
      </c>
      <c r="C21" s="1153">
        <f>SUM(C11:C19)</f>
        <v>-72153.079519999999</v>
      </c>
      <c r="D21" s="1250"/>
      <c r="E21" s="1153">
        <f>SUM(E11:E19)</f>
        <v>-79095.007830000002</v>
      </c>
      <c r="F21" s="1250"/>
      <c r="G21" s="1153">
        <f>SUM(G11:G19)</f>
        <v>-79636.363219999999</v>
      </c>
      <c r="H21" s="1250"/>
      <c r="I21" s="1153">
        <f>SUM(I11:I19)</f>
        <v>-78014.063999999998</v>
      </c>
      <c r="J21" s="1250"/>
      <c r="K21" s="1153">
        <f>SUM(K11:K19)</f>
        <v>-73519.951230000006</v>
      </c>
      <c r="L21" s="1206"/>
      <c r="M21" s="1153">
        <f>SUM(M11:M19)</f>
        <v>-76483.69316000001</v>
      </c>
      <c r="N21" s="4" t="s">
        <v>1873</v>
      </c>
      <c r="O21" s="4">
        <f t="shared" si="1"/>
        <v>11</v>
      </c>
    </row>
    <row r="22" spans="1:15" ht="16.5" thickTop="1" x14ac:dyDescent="0.25"/>
    <row r="24" spans="1:15" ht="18.75" x14ac:dyDescent="0.25">
      <c r="A24" s="34" t="s">
        <v>1956</v>
      </c>
      <c r="B24" s="31" t="s">
        <v>1872</v>
      </c>
    </row>
  </sheetData>
  <mergeCells count="5">
    <mergeCell ref="B2:N2"/>
    <mergeCell ref="B3:N3"/>
    <mergeCell ref="B4:N4"/>
    <mergeCell ref="B5:N5"/>
    <mergeCell ref="B6:N6"/>
  </mergeCells>
  <printOptions horizontalCentered="1"/>
  <pageMargins left="0.5" right="0.5" top="0.5" bottom="0.5" header="0.25" footer="0.25"/>
  <pageSetup scale="52"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9D69-8FEE-4350-88D7-5F47547BD69E}">
  <sheetPr>
    <pageSetUpPr fitToPage="1"/>
  </sheetPr>
  <dimension ref="A2:I17"/>
  <sheetViews>
    <sheetView zoomScaleNormal="100" workbookViewId="0">
      <selection activeCell="H31" sqref="H31"/>
    </sheetView>
  </sheetViews>
  <sheetFormatPr defaultColWidth="8.7109375" defaultRowHeight="15.75" x14ac:dyDescent="0.25"/>
  <cols>
    <col min="1" max="1" width="5.28515625" style="4" customWidth="1"/>
    <col min="2" max="2" width="67.5703125" style="31" customWidth="1"/>
    <col min="3" max="3" width="17.85546875" style="31" bestFit="1" customWidth="1"/>
    <col min="4" max="4" width="2.7109375" style="31" bestFit="1" customWidth="1"/>
    <col min="5" max="5" width="16.7109375" style="31" customWidth="1"/>
    <col min="6" max="6" width="1.5703125" style="31" customWidth="1"/>
    <col min="7" max="7" width="18.42578125" style="31" customWidth="1"/>
    <col min="8" max="8" width="50.7109375" style="31" customWidth="1"/>
    <col min="9" max="9" width="5.28515625" style="4" customWidth="1"/>
    <col min="10" max="11" width="8.7109375" style="31"/>
    <col min="12" max="12" width="8.7109375" style="31" customWidth="1"/>
    <col min="13" max="13" width="8.7109375" style="31"/>
    <col min="14" max="15" width="8.7109375" style="31" customWidth="1"/>
    <col min="16" max="16384" width="8.7109375" style="31"/>
  </cols>
  <sheetData>
    <row r="2" spans="1:9" x14ac:dyDescent="0.25">
      <c r="B2" s="1308" t="s">
        <v>0</v>
      </c>
      <c r="C2" s="1308"/>
      <c r="D2" s="1308"/>
      <c r="E2" s="1308"/>
      <c r="F2" s="1308"/>
      <c r="G2" s="1308"/>
      <c r="H2" s="1308"/>
    </row>
    <row r="3" spans="1:9" x14ac:dyDescent="0.25">
      <c r="B3" s="1308" t="s">
        <v>1111</v>
      </c>
      <c r="C3" s="1308"/>
      <c r="D3" s="1308"/>
      <c r="E3" s="1308"/>
      <c r="F3" s="1308"/>
      <c r="G3" s="1308"/>
      <c r="H3" s="1308"/>
    </row>
    <row r="4" spans="1:9" x14ac:dyDescent="0.25">
      <c r="B4" s="1308" t="s">
        <v>1878</v>
      </c>
      <c r="C4" s="1308"/>
      <c r="D4" s="1308"/>
      <c r="E4" s="1308"/>
      <c r="F4" s="1308"/>
      <c r="G4" s="1308"/>
      <c r="H4" s="1308"/>
    </row>
    <row r="5" spans="1:9" x14ac:dyDescent="0.25">
      <c r="B5" s="1308" t="str">
        <f>'AR-1'!B5</f>
        <v>BASE PERIOD 12 MONTHS ENDING DECEMBER 31, 2023</v>
      </c>
      <c r="C5" s="1308"/>
      <c r="D5" s="1308"/>
      <c r="E5" s="1308"/>
      <c r="F5" s="1308"/>
      <c r="G5" s="1308"/>
      <c r="H5" s="1308"/>
    </row>
    <row r="6" spans="1:9" ht="15.75" customHeight="1" x14ac:dyDescent="0.25">
      <c r="B6" s="1326" t="s">
        <v>4</v>
      </c>
      <c r="C6" s="1326"/>
      <c r="D6" s="1326"/>
      <c r="E6" s="1326"/>
      <c r="F6" s="1326"/>
      <c r="G6" s="1326"/>
      <c r="H6" s="1326"/>
    </row>
    <row r="8" spans="1:9" x14ac:dyDescent="0.25">
      <c r="A8" s="4" t="s">
        <v>5</v>
      </c>
      <c r="C8" s="34" t="s">
        <v>184</v>
      </c>
      <c r="D8" s="34"/>
      <c r="E8" s="34" t="s">
        <v>185</v>
      </c>
      <c r="G8" s="34" t="s">
        <v>206</v>
      </c>
      <c r="H8" s="34"/>
      <c r="I8" s="4" t="s">
        <v>5</v>
      </c>
    </row>
    <row r="9" spans="1:9" x14ac:dyDescent="0.25">
      <c r="A9" s="4" t="s">
        <v>6</v>
      </c>
      <c r="B9" s="849" t="s">
        <v>306</v>
      </c>
      <c r="C9" s="1252">
        <f>'Stmt AD'!E9</f>
        <v>44926</v>
      </c>
      <c r="D9" s="1253"/>
      <c r="E9" s="1252">
        <f>'Stmt AD'!G9</f>
        <v>45291</v>
      </c>
      <c r="F9" s="1254"/>
      <c r="G9" s="849" t="s">
        <v>208</v>
      </c>
      <c r="H9" s="849" t="s">
        <v>8</v>
      </c>
      <c r="I9" s="4" t="s">
        <v>6</v>
      </c>
    </row>
    <row r="11" spans="1:9" x14ac:dyDescent="0.25">
      <c r="A11" s="4">
        <v>1</v>
      </c>
      <c r="B11" s="32" t="s">
        <v>1879</v>
      </c>
      <c r="C11" s="83">
        <v>0</v>
      </c>
      <c r="D11" s="6"/>
      <c r="E11" s="83">
        <v>0</v>
      </c>
      <c r="F11" s="35"/>
      <c r="G11" s="35">
        <f>(C11+E11)/2</f>
        <v>0</v>
      </c>
      <c r="H11" s="44" t="s">
        <v>258</v>
      </c>
      <c r="I11" s="4">
        <f>A11</f>
        <v>1</v>
      </c>
    </row>
    <row r="12" spans="1:9" x14ac:dyDescent="0.25">
      <c r="A12" s="4">
        <f>A11+1</f>
        <v>2</v>
      </c>
      <c r="C12" s="35"/>
      <c r="D12" s="6"/>
      <c r="E12" s="35"/>
      <c r="F12" s="35"/>
      <c r="G12" s="35"/>
      <c r="H12" s="44"/>
      <c r="I12" s="4">
        <f>I11+1</f>
        <v>2</v>
      </c>
    </row>
    <row r="13" spans="1:9" x14ac:dyDescent="0.25">
      <c r="A13" s="4">
        <f t="shared" ref="A13:A15" si="0">A12+1</f>
        <v>3</v>
      </c>
      <c r="B13" s="32" t="s">
        <v>1880</v>
      </c>
      <c r="C13" s="679">
        <v>0</v>
      </c>
      <c r="D13" s="6"/>
      <c r="E13" s="679">
        <v>0</v>
      </c>
      <c r="F13" s="35"/>
      <c r="G13" s="917">
        <f>(C13+E13)/2</f>
        <v>0</v>
      </c>
      <c r="H13" s="44" t="s">
        <v>258</v>
      </c>
      <c r="I13" s="4">
        <f t="shared" ref="I13:I15" si="1">I12+1</f>
        <v>3</v>
      </c>
    </row>
    <row r="14" spans="1:9" x14ac:dyDescent="0.25">
      <c r="A14" s="4">
        <f t="shared" si="0"/>
        <v>4</v>
      </c>
      <c r="C14" s="35"/>
      <c r="D14" s="6"/>
      <c r="E14" s="35"/>
      <c r="F14" s="35"/>
      <c r="G14" s="35"/>
      <c r="H14" s="44"/>
      <c r="I14" s="4">
        <f>I13+1</f>
        <v>4</v>
      </c>
    </row>
    <row r="15" spans="1:9" ht="19.5" thickBot="1" x14ac:dyDescent="0.3">
      <c r="A15" s="4">
        <f t="shared" si="0"/>
        <v>5</v>
      </c>
      <c r="B15" s="31" t="s">
        <v>1881</v>
      </c>
      <c r="C15" s="37">
        <f>SUM(C11:C13)</f>
        <v>0</v>
      </c>
      <c r="D15" s="1255"/>
      <c r="E15" s="37">
        <f>SUM(E11:E13)</f>
        <v>0</v>
      </c>
      <c r="F15" s="35"/>
      <c r="G15" s="37">
        <f>SUM(G11:G13)</f>
        <v>0</v>
      </c>
      <c r="H15" s="4" t="s">
        <v>454</v>
      </c>
      <c r="I15" s="4">
        <f t="shared" si="1"/>
        <v>5</v>
      </c>
    </row>
    <row r="16" spans="1:9" ht="16.5" thickTop="1" x14ac:dyDescent="0.25">
      <c r="C16" s="11"/>
      <c r="D16" s="11"/>
      <c r="E16" s="11"/>
      <c r="F16" s="11"/>
      <c r="G16" s="11"/>
      <c r="H16" s="11"/>
    </row>
    <row r="17" spans="3:8" x14ac:dyDescent="0.25">
      <c r="C17" s="11"/>
      <c r="D17" s="11"/>
      <c r="E17" s="11"/>
      <c r="F17" s="11"/>
      <c r="G17" s="11"/>
      <c r="H17" s="11"/>
    </row>
  </sheetData>
  <mergeCells count="5">
    <mergeCell ref="B2:H2"/>
    <mergeCell ref="B3:H3"/>
    <mergeCell ref="B4:H4"/>
    <mergeCell ref="B5:H5"/>
    <mergeCell ref="B6:H6"/>
  </mergeCells>
  <pageMargins left="0.7" right="0.7" top="0.75" bottom="0.75" header="0.3" footer="0.3"/>
  <pageSetup scale="66" orientation="landscape" horizontalDpi="1200" verticalDpi="1200" r:id="rId1"/>
  <headerFooter scaleWithDoc="0">
    <oddFooter>&amp;C&amp;A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5.28515625" style="1" customWidth="1"/>
    <col min="5" max="5" width="18.5703125" style="1" customWidth="1"/>
    <col min="6" max="6" width="62.57031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8" x14ac:dyDescent="0.25">
      <c r="B2" s="1294" t="s">
        <v>0</v>
      </c>
      <c r="C2" s="1294"/>
      <c r="D2" s="1294"/>
      <c r="E2" s="1294"/>
      <c r="F2" s="1294"/>
    </row>
    <row r="3" spans="1:8" x14ac:dyDescent="0.25">
      <c r="B3" s="1294" t="s">
        <v>250</v>
      </c>
      <c r="C3" s="1294"/>
      <c r="D3" s="1294"/>
      <c r="E3" s="1294"/>
      <c r="F3" s="1294"/>
    </row>
    <row r="4" spans="1:8" x14ac:dyDescent="0.25">
      <c r="B4" s="1294" t="s">
        <v>251</v>
      </c>
      <c r="C4" s="1294"/>
      <c r="D4" s="1294"/>
      <c r="E4" s="1294"/>
      <c r="F4" s="1294"/>
    </row>
    <row r="5" spans="1:8" x14ac:dyDescent="0.25">
      <c r="B5" s="1294" t="str">
        <f>'AD-1'!B5</f>
        <v>BASE PERIOD / TRUE UP PERIOD - 12/31/2023 PER BOOK</v>
      </c>
      <c r="C5" s="1294"/>
      <c r="D5" s="1294"/>
      <c r="E5" s="1294"/>
      <c r="F5" s="1294"/>
    </row>
    <row r="6" spans="1:8" x14ac:dyDescent="0.25">
      <c r="B6" s="1299" t="s">
        <v>4</v>
      </c>
      <c r="C6" s="1299"/>
      <c r="D6" s="1299"/>
      <c r="E6" s="1299"/>
      <c r="F6" s="1299"/>
    </row>
    <row r="7" spans="1:8" x14ac:dyDescent="0.25">
      <c r="B7" s="267"/>
      <c r="C7" s="268"/>
      <c r="D7" s="267"/>
      <c r="E7" s="267"/>
      <c r="F7" s="267"/>
    </row>
    <row r="8" spans="1:8" x14ac:dyDescent="0.25">
      <c r="B8" s="1294" t="s">
        <v>282</v>
      </c>
      <c r="C8" s="1294"/>
      <c r="D8" s="1294"/>
      <c r="E8" s="1294"/>
      <c r="F8" s="1294"/>
    </row>
    <row r="10" spans="1:8" x14ac:dyDescent="0.25">
      <c r="B10" s="927"/>
      <c r="C10" s="269" t="s">
        <v>177</v>
      </c>
      <c r="D10" s="928"/>
      <c r="E10" s="269"/>
      <c r="F10" s="928"/>
    </row>
    <row r="11" spans="1:8" x14ac:dyDescent="0.25">
      <c r="A11" s="4"/>
      <c r="B11" s="270"/>
      <c r="C11" s="218" t="s">
        <v>283</v>
      </c>
      <c r="D11" s="270"/>
      <c r="E11" s="274" t="s">
        <v>283</v>
      </c>
      <c r="F11" s="270"/>
    </row>
    <row r="12" spans="1:8" x14ac:dyDescent="0.25">
      <c r="A12" s="4" t="s">
        <v>5</v>
      </c>
      <c r="B12" s="273"/>
      <c r="C12" s="218" t="s">
        <v>254</v>
      </c>
      <c r="D12" s="270"/>
      <c r="E12" s="274" t="s">
        <v>254</v>
      </c>
      <c r="F12" s="270"/>
      <c r="G12" s="4" t="s">
        <v>5</v>
      </c>
    </row>
    <row r="13" spans="1:8" ht="18.75" x14ac:dyDescent="0.25">
      <c r="A13" s="4" t="s">
        <v>6</v>
      </c>
      <c r="B13" s="275" t="s">
        <v>255</v>
      </c>
      <c r="C13" s="930" t="s">
        <v>256</v>
      </c>
      <c r="D13" s="275" t="s">
        <v>8</v>
      </c>
      <c r="E13" s="276" t="s">
        <v>257</v>
      </c>
      <c r="F13" s="275" t="s">
        <v>8</v>
      </c>
      <c r="G13" s="4" t="s">
        <v>6</v>
      </c>
    </row>
    <row r="14" spans="1:8" x14ac:dyDescent="0.25">
      <c r="A14" s="4">
        <v>1</v>
      </c>
      <c r="B14" s="931" t="str">
        <f>'AD-1'!B14</f>
        <v>Dec-22</v>
      </c>
      <c r="C14" s="58">
        <v>587096.16952999996</v>
      </c>
      <c r="D14" s="932" t="s">
        <v>258</v>
      </c>
      <c r="E14" s="58">
        <v>545098.80998000002</v>
      </c>
      <c r="F14" s="932" t="s">
        <v>259</v>
      </c>
      <c r="G14" s="4">
        <f>A14</f>
        <v>1</v>
      </c>
      <c r="H14" s="277"/>
    </row>
    <row r="15" spans="1:8" x14ac:dyDescent="0.25">
      <c r="A15" s="4">
        <f>A14+1</f>
        <v>2</v>
      </c>
      <c r="B15" s="931" t="str">
        <f>'AD-1'!B15</f>
        <v>Jan-23</v>
      </c>
      <c r="C15" s="52">
        <v>587054.83519999997</v>
      </c>
      <c r="D15" s="933"/>
      <c r="E15" s="52">
        <v>545057.47565000004</v>
      </c>
      <c r="F15" s="933"/>
      <c r="G15" s="4">
        <f>G14+1</f>
        <v>2</v>
      </c>
    </row>
    <row r="16" spans="1:8" x14ac:dyDescent="0.25">
      <c r="A16" s="4">
        <f t="shared" ref="A16:A32" si="0">A15+1</f>
        <v>3</v>
      </c>
      <c r="B16" s="934" t="s">
        <v>260</v>
      </c>
      <c r="C16" s="52">
        <v>589101.92278000002</v>
      </c>
      <c r="D16" s="933"/>
      <c r="E16" s="52">
        <v>547104.56323000009</v>
      </c>
      <c r="F16" s="933"/>
      <c r="G16" s="4">
        <f t="shared" ref="G16:G26" si="1">G15+1</f>
        <v>3</v>
      </c>
    </row>
    <row r="17" spans="1:8" x14ac:dyDescent="0.25">
      <c r="A17" s="4">
        <f t="shared" si="0"/>
        <v>4</v>
      </c>
      <c r="B17" s="934" t="s">
        <v>261</v>
      </c>
      <c r="C17" s="52">
        <v>589136.52129999979</v>
      </c>
      <c r="D17" s="933"/>
      <c r="E17" s="52">
        <v>547139.16174999985</v>
      </c>
      <c r="F17" s="933"/>
      <c r="G17" s="4">
        <f t="shared" si="1"/>
        <v>4</v>
      </c>
    </row>
    <row r="18" spans="1:8" x14ac:dyDescent="0.25">
      <c r="A18" s="4">
        <f t="shared" si="0"/>
        <v>5</v>
      </c>
      <c r="B18" s="934" t="s">
        <v>262</v>
      </c>
      <c r="C18" s="52">
        <v>589140.32504999975</v>
      </c>
      <c r="D18" s="933"/>
      <c r="E18" s="52">
        <v>547142.96549999982</v>
      </c>
      <c r="F18" s="933"/>
      <c r="G18" s="4">
        <f t="shared" si="1"/>
        <v>5</v>
      </c>
    </row>
    <row r="19" spans="1:8" x14ac:dyDescent="0.25">
      <c r="A19" s="4">
        <f t="shared" si="0"/>
        <v>6</v>
      </c>
      <c r="B19" s="934" t="s">
        <v>263</v>
      </c>
      <c r="C19" s="52">
        <v>593021.19967</v>
      </c>
      <c r="D19" s="933"/>
      <c r="E19" s="52">
        <v>550828.10889000003</v>
      </c>
      <c r="F19" s="933"/>
      <c r="G19" s="4">
        <f t="shared" si="1"/>
        <v>6</v>
      </c>
    </row>
    <row r="20" spans="1:8" x14ac:dyDescent="0.25">
      <c r="A20" s="4">
        <f>A19+1</f>
        <v>7</v>
      </c>
      <c r="B20" s="934" t="s">
        <v>264</v>
      </c>
      <c r="C20" s="52">
        <v>593062.3841899999</v>
      </c>
      <c r="D20" s="933"/>
      <c r="E20" s="52">
        <v>550869.29340999993</v>
      </c>
      <c r="F20" s="933"/>
      <c r="G20" s="4">
        <f>G19+1</f>
        <v>7</v>
      </c>
    </row>
    <row r="21" spans="1:8" x14ac:dyDescent="0.25">
      <c r="A21" s="4">
        <f t="shared" si="0"/>
        <v>8</v>
      </c>
      <c r="B21" s="934" t="s">
        <v>265</v>
      </c>
      <c r="C21" s="52">
        <v>593484.06429000024</v>
      </c>
      <c r="D21" s="933"/>
      <c r="E21" s="52">
        <v>551290.97351000027</v>
      </c>
      <c r="F21" s="933"/>
      <c r="G21" s="4">
        <f t="shared" si="1"/>
        <v>8</v>
      </c>
    </row>
    <row r="22" spans="1:8" x14ac:dyDescent="0.25">
      <c r="A22" s="4">
        <f t="shared" si="0"/>
        <v>9</v>
      </c>
      <c r="B22" s="934" t="s">
        <v>266</v>
      </c>
      <c r="C22" s="52">
        <v>593955.88179999986</v>
      </c>
      <c r="D22" s="933"/>
      <c r="E22" s="52">
        <v>551762.79101999989</v>
      </c>
      <c r="F22" s="933"/>
      <c r="G22" s="4">
        <f t="shared" si="1"/>
        <v>9</v>
      </c>
    </row>
    <row r="23" spans="1:8" x14ac:dyDescent="0.25">
      <c r="A23" s="4">
        <f t="shared" si="0"/>
        <v>10</v>
      </c>
      <c r="B23" s="934" t="s">
        <v>267</v>
      </c>
      <c r="C23" s="52">
        <v>593881.12346999999</v>
      </c>
      <c r="D23" s="933"/>
      <c r="E23" s="52">
        <v>551688.03269000002</v>
      </c>
      <c r="F23" s="933"/>
      <c r="G23" s="4">
        <f t="shared" si="1"/>
        <v>10</v>
      </c>
    </row>
    <row r="24" spans="1:8" x14ac:dyDescent="0.25">
      <c r="A24" s="4">
        <f t="shared" si="0"/>
        <v>11</v>
      </c>
      <c r="B24" s="934" t="s">
        <v>268</v>
      </c>
      <c r="C24" s="52">
        <v>604404.37380000018</v>
      </c>
      <c r="D24" s="933"/>
      <c r="E24" s="52">
        <v>562211.28302000021</v>
      </c>
      <c r="F24" s="933"/>
      <c r="G24" s="4">
        <f t="shared" si="1"/>
        <v>11</v>
      </c>
    </row>
    <row r="25" spans="1:8" x14ac:dyDescent="0.25">
      <c r="A25" s="4">
        <f t="shared" si="0"/>
        <v>12</v>
      </c>
      <c r="B25" s="934" t="s">
        <v>269</v>
      </c>
      <c r="C25" s="52">
        <v>620741.82563000009</v>
      </c>
      <c r="D25" s="933"/>
      <c r="E25" s="52">
        <v>578548.73485000012</v>
      </c>
      <c r="F25" s="933"/>
      <c r="G25" s="4">
        <f t="shared" si="1"/>
        <v>12</v>
      </c>
    </row>
    <row r="26" spans="1:8" x14ac:dyDescent="0.25">
      <c r="A26" s="4">
        <f t="shared" si="0"/>
        <v>13</v>
      </c>
      <c r="B26" s="630" t="str">
        <f>'AD-1'!B26</f>
        <v>Dec-23</v>
      </c>
      <c r="C26" s="53">
        <v>624502.05602999998</v>
      </c>
      <c r="D26" s="284" t="s">
        <v>258</v>
      </c>
      <c r="E26" s="53">
        <v>582308.96525000012</v>
      </c>
      <c r="F26" s="932" t="s">
        <v>270</v>
      </c>
      <c r="G26" s="4">
        <f t="shared" si="1"/>
        <v>13</v>
      </c>
      <c r="H26" s="277"/>
    </row>
    <row r="27" spans="1:8" x14ac:dyDescent="0.25">
      <c r="A27" s="4">
        <f>A26+1</f>
        <v>14</v>
      </c>
      <c r="B27" s="278"/>
      <c r="C27" s="59"/>
      <c r="D27" s="278"/>
      <c r="E27" s="60"/>
      <c r="F27" s="927"/>
      <c r="G27" s="4">
        <f>G26+1</f>
        <v>14</v>
      </c>
    </row>
    <row r="28" spans="1:8" x14ac:dyDescent="0.25">
      <c r="A28" s="4">
        <f t="shared" si="0"/>
        <v>15</v>
      </c>
      <c r="B28" s="278" t="s">
        <v>271</v>
      </c>
      <c r="C28" s="55">
        <f>SUM(C14:C26)</f>
        <v>7758582.6827399982</v>
      </c>
      <c r="D28" s="935" t="s">
        <v>272</v>
      </c>
      <c r="E28" s="55">
        <f>SUM(E14:E26)</f>
        <v>7211051.1587499995</v>
      </c>
      <c r="F28" s="935" t="s">
        <v>272</v>
      </c>
      <c r="G28" s="4">
        <f t="shared" ref="G28:G32" si="2">G27+1</f>
        <v>15</v>
      </c>
    </row>
    <row r="29" spans="1:8" x14ac:dyDescent="0.25">
      <c r="A29" s="4">
        <f t="shared" si="0"/>
        <v>16</v>
      </c>
      <c r="B29" s="117"/>
      <c r="C29" s="56"/>
      <c r="D29" s="285"/>
      <c r="E29" s="56"/>
      <c r="F29" s="285"/>
      <c r="G29" s="4">
        <f t="shared" si="2"/>
        <v>16</v>
      </c>
    </row>
    <row r="30" spans="1:8" x14ac:dyDescent="0.25">
      <c r="A30" s="4">
        <f t="shared" si="0"/>
        <v>17</v>
      </c>
      <c r="B30" s="278"/>
      <c r="C30" s="55"/>
      <c r="D30" s="234"/>
      <c r="E30" s="55"/>
      <c r="F30" s="234"/>
      <c r="G30" s="4">
        <f t="shared" si="2"/>
        <v>17</v>
      </c>
    </row>
    <row r="31" spans="1:8" x14ac:dyDescent="0.25">
      <c r="A31" s="4">
        <f t="shared" si="0"/>
        <v>18</v>
      </c>
      <c r="B31" s="278" t="s">
        <v>273</v>
      </c>
      <c r="C31" s="55">
        <f>C28/13</f>
        <v>596814.05251846137</v>
      </c>
      <c r="D31" s="935" t="s">
        <v>274</v>
      </c>
      <c r="E31" s="55">
        <f>E28/13</f>
        <v>554696.24298076914</v>
      </c>
      <c r="F31" s="932" t="s">
        <v>275</v>
      </c>
      <c r="G31" s="4">
        <f t="shared" si="2"/>
        <v>18</v>
      </c>
      <c r="H31" s="277"/>
    </row>
    <row r="32" spans="1:8" x14ac:dyDescent="0.25">
      <c r="A32" s="4">
        <f t="shared" si="0"/>
        <v>19</v>
      </c>
      <c r="B32" s="117"/>
      <c r="C32" s="61"/>
      <c r="D32" s="117"/>
      <c r="E32" s="61"/>
      <c r="F32" s="117"/>
      <c r="G32" s="4">
        <f t="shared" si="2"/>
        <v>19</v>
      </c>
    </row>
    <row r="33" spans="1:7" x14ac:dyDescent="0.25">
      <c r="B33" s="31"/>
      <c r="C33" s="6"/>
      <c r="D33" s="31"/>
      <c r="E33" s="6"/>
      <c r="F33" s="31"/>
    </row>
    <row r="34" spans="1:7" x14ac:dyDescent="0.25">
      <c r="C34" s="6"/>
      <c r="D34" s="31"/>
      <c r="E34" s="6"/>
      <c r="F34" s="31"/>
    </row>
    <row r="35" spans="1:7" ht="18.75" x14ac:dyDescent="0.25">
      <c r="A35" s="266">
        <v>1</v>
      </c>
      <c r="B35" s="31" t="s">
        <v>276</v>
      </c>
      <c r="C35" s="6"/>
      <c r="D35" s="31"/>
      <c r="E35" s="6"/>
      <c r="F35" s="31"/>
    </row>
    <row r="36" spans="1:7" x14ac:dyDescent="0.25">
      <c r="B36" s="31" t="s">
        <v>277</v>
      </c>
      <c r="C36" s="6"/>
      <c r="D36" s="31"/>
      <c r="E36" s="6"/>
      <c r="F36" s="31"/>
    </row>
    <row r="37" spans="1:7" x14ac:dyDescent="0.25">
      <c r="C37" s="6"/>
      <c r="D37" s="31"/>
      <c r="E37" s="6"/>
      <c r="F37" s="31"/>
    </row>
    <row r="38" spans="1:7" x14ac:dyDescent="0.25">
      <c r="C38" s="6"/>
      <c r="D38" s="31"/>
      <c r="E38" s="6"/>
      <c r="F38" s="31"/>
    </row>
    <row r="39" spans="1:7" x14ac:dyDescent="0.25">
      <c r="C39" s="286"/>
      <c r="D39" s="286"/>
      <c r="E39" s="286"/>
      <c r="F39" s="286"/>
      <c r="G39" s="581"/>
    </row>
    <row r="40" spans="1:7" x14ac:dyDescent="0.25">
      <c r="E40" s="87"/>
    </row>
    <row r="41" spans="1:7" x14ac:dyDescent="0.25">
      <c r="E41" s="87"/>
    </row>
    <row r="42" spans="1:7" x14ac:dyDescent="0.25">
      <c r="E42" s="87"/>
    </row>
    <row r="43" spans="1:7" x14ac:dyDescent="0.25">
      <c r="E43" s="87"/>
    </row>
    <row r="44" spans="1:7" x14ac:dyDescent="0.25">
      <c r="E44" s="87"/>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Normal="100" workbookViewId="0">
      <selection activeCell="B9" sqref="B9"/>
    </sheetView>
  </sheetViews>
  <sheetFormatPr defaultColWidth="14.5703125" defaultRowHeight="15" x14ac:dyDescent="0.25"/>
  <cols>
    <col min="1" max="1" width="5.7109375" style="750" customWidth="1"/>
    <col min="2" max="2" width="48.42578125" style="750" customWidth="1"/>
    <col min="3" max="3" width="8.7109375" style="750" customWidth="1"/>
    <col min="4" max="11" width="15.7109375" style="750" customWidth="1"/>
    <col min="12" max="12" width="18.7109375" style="750" bestFit="1" customWidth="1"/>
    <col min="13" max="14" width="15.7109375" style="750" customWidth="1"/>
    <col min="15" max="15" width="30.5703125" style="750" customWidth="1"/>
    <col min="16" max="16" width="5.7109375" style="750" customWidth="1"/>
    <col min="17" max="16384" width="14.5703125" style="750"/>
  </cols>
  <sheetData>
    <row r="1" spans="1:17" ht="15.75" x14ac:dyDescent="0.25">
      <c r="A1" s="753"/>
      <c r="B1" s="754" t="s">
        <v>0</v>
      </c>
      <c r="C1" s="755"/>
      <c r="D1" s="755"/>
      <c r="E1" s="755"/>
      <c r="F1" s="755"/>
      <c r="G1" s="755"/>
      <c r="H1" s="755"/>
      <c r="I1" s="755"/>
      <c r="J1" s="755"/>
      <c r="K1" s="755"/>
      <c r="L1" s="755"/>
      <c r="M1" s="755"/>
      <c r="N1" s="755"/>
      <c r="O1" s="755"/>
    </row>
    <row r="2" spans="1:17" x14ac:dyDescent="0.25">
      <c r="A2" s="756"/>
      <c r="B2" s="754" t="s">
        <v>1136</v>
      </c>
      <c r="C2" s="755"/>
      <c r="D2" s="755"/>
      <c r="E2" s="755"/>
      <c r="F2" s="755"/>
      <c r="G2" s="755"/>
      <c r="H2" s="755"/>
      <c r="I2" s="755"/>
      <c r="J2" s="755"/>
      <c r="K2" s="755"/>
      <c r="L2" s="755"/>
      <c r="M2" s="755"/>
      <c r="N2" s="755"/>
      <c r="O2" s="755"/>
    </row>
    <row r="3" spans="1:17" x14ac:dyDescent="0.25">
      <c r="A3" s="756"/>
      <c r="B3" s="725" t="s">
        <v>1137</v>
      </c>
      <c r="C3" s="755"/>
      <c r="D3" s="755"/>
      <c r="E3" s="755"/>
      <c r="F3" s="755"/>
      <c r="G3" s="755"/>
      <c r="H3" s="755"/>
      <c r="I3" s="755"/>
      <c r="J3" s="755"/>
      <c r="K3" s="755"/>
      <c r="L3" s="755"/>
      <c r="M3" s="755"/>
      <c r="N3" s="755"/>
      <c r="O3" s="755"/>
    </row>
    <row r="4" spans="1:17" x14ac:dyDescent="0.25">
      <c r="A4" s="757"/>
      <c r="B4" s="758" t="s">
        <v>1247</v>
      </c>
      <c r="C4" s="759"/>
      <c r="D4" s="759"/>
      <c r="E4" s="759"/>
      <c r="F4" s="759"/>
      <c r="G4" s="759"/>
      <c r="H4" s="759"/>
      <c r="I4" s="759"/>
      <c r="J4" s="759"/>
      <c r="K4" s="759"/>
      <c r="L4" s="759"/>
      <c r="M4" s="759"/>
      <c r="N4" s="759"/>
      <c r="O4" s="760"/>
      <c r="P4" s="761"/>
      <c r="Q4" s="761"/>
    </row>
    <row r="5" spans="1:17" x14ac:dyDescent="0.25">
      <c r="A5" s="757"/>
      <c r="B5" s="1327" t="s">
        <v>4</v>
      </c>
      <c r="C5" s="1327"/>
      <c r="D5" s="1327"/>
      <c r="E5" s="1327"/>
      <c r="F5" s="1327"/>
      <c r="G5" s="1327"/>
      <c r="H5" s="1327"/>
      <c r="I5" s="1327"/>
      <c r="J5" s="1327"/>
      <c r="K5" s="1327"/>
      <c r="L5" s="1327"/>
      <c r="M5" s="1327"/>
      <c r="N5" s="1327"/>
      <c r="O5" s="1327"/>
      <c r="P5" s="761"/>
      <c r="Q5" s="761"/>
    </row>
    <row r="6" spans="1:17" x14ac:dyDescent="0.25">
      <c r="A6" s="757"/>
      <c r="B6" s="723"/>
      <c r="C6" s="723"/>
      <c r="D6" s="723"/>
      <c r="E6" s="723"/>
      <c r="F6" s="723"/>
      <c r="G6" s="723"/>
      <c r="H6" s="723"/>
      <c r="I6" s="723"/>
      <c r="J6" s="723"/>
      <c r="K6" s="723"/>
      <c r="L6" s="723"/>
      <c r="M6" s="723"/>
      <c r="N6" s="723"/>
      <c r="O6" s="723"/>
      <c r="P6" s="761"/>
      <c r="Q6" s="761"/>
    </row>
    <row r="7" spans="1:17" x14ac:dyDescent="0.25">
      <c r="A7" s="714"/>
      <c r="B7" s="757"/>
      <c r="C7" s="757"/>
      <c r="D7" s="762"/>
      <c r="E7" s="762"/>
      <c r="F7" s="762"/>
      <c r="G7" s="762"/>
      <c r="H7" s="762"/>
      <c r="I7" s="762"/>
      <c r="J7" s="762"/>
      <c r="K7" s="762"/>
      <c r="L7" s="763"/>
      <c r="M7" s="752" t="s">
        <v>1138</v>
      </c>
      <c r="N7" s="764">
        <v>2022</v>
      </c>
      <c r="O7" s="765"/>
      <c r="P7" s="749"/>
      <c r="Q7" s="749"/>
    </row>
    <row r="8" spans="1:17" x14ac:dyDescent="0.25">
      <c r="A8" s="714"/>
      <c r="B8" s="762"/>
      <c r="C8" s="762"/>
      <c r="D8" s="762"/>
      <c r="E8" s="762"/>
      <c r="F8" s="762"/>
      <c r="G8" s="762"/>
      <c r="H8" s="762"/>
      <c r="I8" s="762"/>
      <c r="J8" s="762"/>
      <c r="K8" s="762"/>
      <c r="L8" s="762"/>
      <c r="M8" s="762"/>
      <c r="N8" s="762"/>
      <c r="O8" s="765"/>
      <c r="P8" s="749"/>
      <c r="Q8" s="749"/>
    </row>
    <row r="9" spans="1:17" x14ac:dyDescent="0.25">
      <c r="A9" s="730"/>
      <c r="B9" s="766" t="s">
        <v>1139</v>
      </c>
      <c r="C9" s="766" t="s">
        <v>1140</v>
      </c>
      <c r="D9" s="766" t="s">
        <v>1141</v>
      </c>
      <c r="E9" s="766" t="s">
        <v>1142</v>
      </c>
      <c r="F9" s="766" t="s">
        <v>1143</v>
      </c>
      <c r="G9" s="766" t="s">
        <v>1144</v>
      </c>
      <c r="H9" s="766" t="s">
        <v>1145</v>
      </c>
      <c r="I9" s="766" t="s">
        <v>1146</v>
      </c>
      <c r="J9" s="766" t="s">
        <v>1147</v>
      </c>
      <c r="K9" s="766" t="s">
        <v>1148</v>
      </c>
      <c r="L9" s="766" t="s">
        <v>1149</v>
      </c>
      <c r="M9" s="766" t="s">
        <v>1150</v>
      </c>
      <c r="N9" s="766" t="s">
        <v>1151</v>
      </c>
      <c r="O9" s="767"/>
      <c r="P9" s="768"/>
      <c r="Q9" s="768"/>
    </row>
    <row r="10" spans="1:17" ht="15.75" thickBot="1" x14ac:dyDescent="0.3">
      <c r="A10" s="714"/>
      <c r="B10" s="730"/>
      <c r="C10" s="730"/>
      <c r="D10" s="730"/>
      <c r="E10" s="730"/>
      <c r="F10" s="730"/>
      <c r="G10" s="730"/>
      <c r="H10" s="730"/>
      <c r="I10" s="730"/>
      <c r="J10" s="730"/>
      <c r="K10" s="730"/>
      <c r="L10" s="730"/>
      <c r="M10" s="730"/>
      <c r="N10" s="730"/>
      <c r="O10" s="767"/>
      <c r="P10" s="767"/>
      <c r="Q10" s="767"/>
    </row>
    <row r="11" spans="1:17" ht="15.75" thickBot="1" x14ac:dyDescent="0.3">
      <c r="A11" s="714"/>
      <c r="B11" s="730"/>
      <c r="C11" s="730"/>
      <c r="D11" s="769"/>
      <c r="E11" s="769"/>
      <c r="F11" s="769"/>
      <c r="G11" s="769"/>
      <c r="H11" s="769"/>
      <c r="I11" s="769"/>
      <c r="J11" s="770" t="s">
        <v>258</v>
      </c>
      <c r="K11" s="796" t="s">
        <v>1152</v>
      </c>
      <c r="L11" s="770" t="s">
        <v>1153</v>
      </c>
      <c r="M11" s="770" t="s">
        <v>1154</v>
      </c>
      <c r="N11" s="770" t="s">
        <v>1154</v>
      </c>
      <c r="O11" s="767"/>
      <c r="P11" s="767"/>
      <c r="Q11" s="767"/>
    </row>
    <row r="12" spans="1:17" ht="71.25" customHeight="1" thickBot="1" x14ac:dyDescent="0.3">
      <c r="A12" s="771" t="s">
        <v>1155</v>
      </c>
      <c r="B12" s="797" t="s">
        <v>1156</v>
      </c>
      <c r="C12" s="772" t="s">
        <v>1157</v>
      </c>
      <c r="D12" s="773" t="s">
        <v>1158</v>
      </c>
      <c r="E12" s="773" t="s">
        <v>1159</v>
      </c>
      <c r="F12" s="773" t="s">
        <v>1160</v>
      </c>
      <c r="G12" s="773" t="s">
        <v>1161</v>
      </c>
      <c r="H12" s="774" t="s">
        <v>1162</v>
      </c>
      <c r="I12" s="773" t="s">
        <v>1163</v>
      </c>
      <c r="J12" s="773" t="s">
        <v>1164</v>
      </c>
      <c r="K12" s="773" t="s">
        <v>1165</v>
      </c>
      <c r="L12" s="774" t="s">
        <v>1166</v>
      </c>
      <c r="M12" s="773" t="s">
        <v>1167</v>
      </c>
      <c r="N12" s="773" t="s">
        <v>1168</v>
      </c>
      <c r="O12" s="797" t="s">
        <v>8</v>
      </c>
      <c r="P12" s="771" t="s">
        <v>1155</v>
      </c>
      <c r="Q12" s="775"/>
    </row>
    <row r="13" spans="1:17" x14ac:dyDescent="0.25">
      <c r="A13" s="729">
        <v>1</v>
      </c>
      <c r="B13" s="714" t="s">
        <v>1169</v>
      </c>
      <c r="C13" s="736"/>
      <c r="D13" s="714"/>
      <c r="E13" s="714"/>
      <c r="F13" s="714"/>
      <c r="G13" s="714"/>
      <c r="H13" s="714"/>
      <c r="I13" s="714"/>
      <c r="J13" s="714"/>
      <c r="K13" s="714"/>
      <c r="L13" s="714"/>
      <c r="M13" s="714"/>
      <c r="N13" s="714"/>
      <c r="O13" s="741"/>
      <c r="P13" s="729">
        <v>1</v>
      </c>
      <c r="Q13" s="749"/>
    </row>
    <row r="14" spans="1:17" x14ac:dyDescent="0.25">
      <c r="A14" s="729">
        <f t="shared" ref="A14:A44" si="0">+A13+1</f>
        <v>2</v>
      </c>
      <c r="B14" s="714" t="s">
        <v>1170</v>
      </c>
      <c r="C14" s="697"/>
      <c r="D14" s="714"/>
      <c r="E14" s="714"/>
      <c r="F14" s="714"/>
      <c r="G14" s="714"/>
      <c r="H14" s="714"/>
      <c r="I14" s="714"/>
      <c r="J14" s="714"/>
      <c r="K14" s="714"/>
      <c r="L14" s="714"/>
      <c r="M14" s="714"/>
      <c r="N14" s="714"/>
      <c r="O14" s="730"/>
      <c r="P14" s="729">
        <f t="shared" ref="P14:P44" si="1">+P13+1</f>
        <v>2</v>
      </c>
      <c r="Q14" s="749"/>
    </row>
    <row r="15" spans="1:17" x14ac:dyDescent="0.25">
      <c r="A15" s="729">
        <f t="shared" si="0"/>
        <v>3</v>
      </c>
      <c r="B15" s="714" t="s">
        <v>1171</v>
      </c>
      <c r="C15" s="697">
        <v>190</v>
      </c>
      <c r="D15" s="719">
        <v>0</v>
      </c>
      <c r="E15" s="719">
        <v>0</v>
      </c>
      <c r="F15" s="719"/>
      <c r="G15" s="719"/>
      <c r="H15" s="719"/>
      <c r="I15" s="719"/>
      <c r="J15" s="719">
        <v>-121.75572065244999</v>
      </c>
      <c r="K15" s="714">
        <f t="shared" ref="K15:K17" si="2">SUM(D15:I15)</f>
        <v>0</v>
      </c>
      <c r="L15" s="714">
        <f>+'Order 864-2'!I18</f>
        <v>0</v>
      </c>
      <c r="M15" s="714">
        <f>IF(SUM($K$15:$L$17)&lt;0,0,SUM($K15:$L15))</f>
        <v>0</v>
      </c>
      <c r="N15" s="714">
        <f>IF(SUM($K$15:$L$17)&lt;0,SUM($K15:$L15),0)</f>
        <v>0</v>
      </c>
      <c r="O15" s="730" t="s">
        <v>258</v>
      </c>
      <c r="P15" s="729">
        <f t="shared" si="1"/>
        <v>3</v>
      </c>
      <c r="Q15" s="749"/>
    </row>
    <row r="16" spans="1:17" x14ac:dyDescent="0.25">
      <c r="A16" s="729">
        <f t="shared" si="0"/>
        <v>4</v>
      </c>
      <c r="B16" s="714" t="s">
        <v>1172</v>
      </c>
      <c r="C16" s="697">
        <v>190</v>
      </c>
      <c r="D16" s="719">
        <v>0</v>
      </c>
      <c r="E16" s="719">
        <v>0</v>
      </c>
      <c r="F16" s="719"/>
      <c r="G16" s="719"/>
      <c r="H16" s="719"/>
      <c r="I16" s="719"/>
      <c r="J16" s="719">
        <v>-67.238548636628707</v>
      </c>
      <c r="K16" s="714">
        <f t="shared" si="2"/>
        <v>0</v>
      </c>
      <c r="L16" s="714">
        <f>+'Order 864-2'!I19</f>
        <v>0</v>
      </c>
      <c r="M16" s="714">
        <f>IF(SUM($K$15:$L$17)&lt;0,0,SUM($K16:$L16))</f>
        <v>0</v>
      </c>
      <c r="N16" s="714">
        <f>IF(SUM($K$15:$L$17)&lt;0,SUM($K16:$L16),0)</f>
        <v>0</v>
      </c>
      <c r="O16" s="730" t="s">
        <v>258</v>
      </c>
      <c r="P16" s="729">
        <f t="shared" si="1"/>
        <v>4</v>
      </c>
      <c r="Q16" s="749"/>
    </row>
    <row r="17" spans="1:17" x14ac:dyDescent="0.25">
      <c r="A17" s="729">
        <f t="shared" si="0"/>
        <v>5</v>
      </c>
      <c r="B17" s="714" t="s">
        <v>1173</v>
      </c>
      <c r="C17" s="697">
        <v>190</v>
      </c>
      <c r="D17" s="719">
        <v>8.5177682674583366E-2</v>
      </c>
      <c r="E17" s="719">
        <v>0</v>
      </c>
      <c r="F17" s="719">
        <v>-8.5177682674583366E-2</v>
      </c>
      <c r="G17" s="719"/>
      <c r="H17" s="719"/>
      <c r="I17" s="719"/>
      <c r="J17" s="719">
        <v>-214.4</v>
      </c>
      <c r="K17" s="714">
        <f t="shared" si="2"/>
        <v>0</v>
      </c>
      <c r="L17" s="714">
        <f>+'Order 864-2'!I20</f>
        <v>0</v>
      </c>
      <c r="M17" s="714">
        <f>IF(SUM($K$15:$L$17)&lt;0,0,SUM($K17:$L17))</f>
        <v>0</v>
      </c>
      <c r="N17" s="714">
        <f>IF(SUM($K$15:$L$17)&lt;0,SUM($K17:$L17),0)</f>
        <v>0</v>
      </c>
      <c r="O17" s="730" t="s">
        <v>258</v>
      </c>
      <c r="P17" s="729">
        <f t="shared" si="1"/>
        <v>5</v>
      </c>
      <c r="Q17" s="749"/>
    </row>
    <row r="18" spans="1:17" x14ac:dyDescent="0.25">
      <c r="A18" s="729">
        <f t="shared" si="0"/>
        <v>6</v>
      </c>
      <c r="B18" s="714" t="s">
        <v>1174</v>
      </c>
      <c r="C18" s="697"/>
      <c r="D18" s="719"/>
      <c r="E18" s="719"/>
      <c r="F18" s="719"/>
      <c r="G18" s="719"/>
      <c r="H18" s="719"/>
      <c r="I18" s="719"/>
      <c r="J18" s="719">
        <v>0</v>
      </c>
      <c r="K18" s="714"/>
      <c r="L18" s="714"/>
      <c r="M18" s="714"/>
      <c r="N18" s="714"/>
      <c r="O18" s="730"/>
      <c r="P18" s="729">
        <f t="shared" si="1"/>
        <v>6</v>
      </c>
      <c r="Q18" s="749"/>
    </row>
    <row r="19" spans="1:17" x14ac:dyDescent="0.25">
      <c r="A19" s="729">
        <f t="shared" si="0"/>
        <v>7</v>
      </c>
      <c r="B19" s="714" t="s">
        <v>1175</v>
      </c>
      <c r="C19" s="697">
        <v>190</v>
      </c>
      <c r="D19" s="719">
        <v>0.15525620575846233</v>
      </c>
      <c r="E19" s="719">
        <v>0</v>
      </c>
      <c r="F19" s="719">
        <v>-0.15525620575846233</v>
      </c>
      <c r="G19" s="719"/>
      <c r="H19" s="719"/>
      <c r="I19" s="719"/>
      <c r="J19" s="719">
        <v>-555.29460583790205</v>
      </c>
      <c r="K19" s="714">
        <f t="shared" ref="K19" si="3">SUM(D19:I19)</f>
        <v>0</v>
      </c>
      <c r="L19" s="714">
        <f>+'Order 864-2'!I22</f>
        <v>0</v>
      </c>
      <c r="M19" s="714">
        <f>IF(SUM($K$19:$L$19)&lt;0,0,SUM($K19:$L19))</f>
        <v>0</v>
      </c>
      <c r="N19" s="714">
        <f>IF(SUM($K$19:$L$19)&lt;0,SUM($K19:$L19),0)</f>
        <v>0</v>
      </c>
      <c r="O19" s="730" t="s">
        <v>258</v>
      </c>
      <c r="P19" s="729">
        <f t="shared" si="1"/>
        <v>7</v>
      </c>
      <c r="Q19" s="749"/>
    </row>
    <row r="20" spans="1:17" x14ac:dyDescent="0.25">
      <c r="A20" s="729">
        <f t="shared" si="0"/>
        <v>8</v>
      </c>
      <c r="B20" s="714" t="s">
        <v>1176</v>
      </c>
      <c r="C20" s="697"/>
      <c r="D20" s="719"/>
      <c r="E20" s="719"/>
      <c r="F20" s="719"/>
      <c r="G20" s="719"/>
      <c r="H20" s="719"/>
      <c r="I20" s="719"/>
      <c r="J20" s="719">
        <v>0</v>
      </c>
      <c r="K20" s="714"/>
      <c r="L20" s="714"/>
      <c r="M20" s="714"/>
      <c r="N20" s="714"/>
      <c r="O20" s="730"/>
      <c r="P20" s="729">
        <f t="shared" si="1"/>
        <v>8</v>
      </c>
      <c r="Q20" s="749"/>
    </row>
    <row r="21" spans="1:17" x14ac:dyDescent="0.25">
      <c r="A21" s="729">
        <f t="shared" si="0"/>
        <v>9</v>
      </c>
      <c r="B21" s="714" t="s">
        <v>1177</v>
      </c>
      <c r="C21" s="697">
        <v>283</v>
      </c>
      <c r="D21" s="719">
        <v>0</v>
      </c>
      <c r="E21" s="719">
        <v>0</v>
      </c>
      <c r="F21" s="719"/>
      <c r="G21" s="719"/>
      <c r="H21" s="719"/>
      <c r="I21" s="719"/>
      <c r="J21" s="719">
        <v>-21828.386489952001</v>
      </c>
      <c r="K21" s="714">
        <f t="shared" ref="K21:K22" si="4">SUM(D21:I21)</f>
        <v>0</v>
      </c>
      <c r="L21" s="714">
        <f>+'Order 864-2'!I24</f>
        <v>0</v>
      </c>
      <c r="M21" s="714">
        <f>IF(SUM($K$21:$L$22)&lt;0,0,SUM($K21:$L21))</f>
        <v>0</v>
      </c>
      <c r="N21" s="714">
        <f>IF(SUM($K$21:$L$22)&lt;0,SUM($K21:$L21),0)</f>
        <v>0</v>
      </c>
      <c r="O21" s="730" t="s">
        <v>258</v>
      </c>
      <c r="P21" s="729">
        <f t="shared" si="1"/>
        <v>9</v>
      </c>
      <c r="Q21" s="749"/>
    </row>
    <row r="22" spans="1:17" x14ac:dyDescent="0.25">
      <c r="A22" s="729">
        <f t="shared" si="0"/>
        <v>10</v>
      </c>
      <c r="B22" s="714" t="s">
        <v>1178</v>
      </c>
      <c r="C22" s="697">
        <v>283</v>
      </c>
      <c r="D22" s="719">
        <v>0</v>
      </c>
      <c r="E22" s="719">
        <v>0</v>
      </c>
      <c r="F22" s="719"/>
      <c r="G22" s="719"/>
      <c r="H22" s="719"/>
      <c r="I22" s="719"/>
      <c r="J22" s="719">
        <v>24387.763684080001</v>
      </c>
      <c r="K22" s="714">
        <f t="shared" si="4"/>
        <v>0</v>
      </c>
      <c r="L22" s="714">
        <f>+'Order 864-2'!I25</f>
        <v>0</v>
      </c>
      <c r="M22" s="714">
        <f>IF(SUM($K$21:$L$22)&lt;0,0,SUM($K22:$L22))</f>
        <v>0</v>
      </c>
      <c r="N22" s="714">
        <f>IF(SUM($K$21:$L$22)&lt;0,SUM($K22:$L22),0)</f>
        <v>0</v>
      </c>
      <c r="O22" s="730" t="s">
        <v>258</v>
      </c>
      <c r="P22" s="729">
        <f t="shared" si="1"/>
        <v>10</v>
      </c>
      <c r="Q22" s="749"/>
    </row>
    <row r="23" spans="1:17" x14ac:dyDescent="0.25">
      <c r="A23" s="729">
        <f>+A22+1</f>
        <v>11</v>
      </c>
      <c r="B23" s="730"/>
      <c r="C23" s="731"/>
      <c r="D23" s="732"/>
      <c r="E23" s="732"/>
      <c r="F23" s="732"/>
      <c r="G23" s="732"/>
      <c r="H23" s="732"/>
      <c r="I23" s="732"/>
      <c r="J23" s="781"/>
      <c r="K23" s="732"/>
      <c r="L23" s="732"/>
      <c r="M23" s="732"/>
      <c r="N23" s="732"/>
      <c r="O23" s="714"/>
      <c r="P23" s="729">
        <f>+P22+1</f>
        <v>11</v>
      </c>
      <c r="Q23" s="749"/>
    </row>
    <row r="24" spans="1:17" ht="15.75" thickBot="1" x14ac:dyDescent="0.3">
      <c r="A24" s="729">
        <f t="shared" si="0"/>
        <v>12</v>
      </c>
      <c r="B24" s="730" t="s">
        <v>1179</v>
      </c>
      <c r="C24" s="714"/>
      <c r="D24" s="712">
        <f t="shared" ref="D24:N24" si="5">SUM(D14:D22)</f>
        <v>0.24043388843304569</v>
      </c>
      <c r="E24" s="733">
        <f t="shared" si="5"/>
        <v>0</v>
      </c>
      <c r="F24" s="712">
        <f>SUM(F14:F22)</f>
        <v>-0.24043388843304569</v>
      </c>
      <c r="G24" s="733">
        <f t="shared" si="5"/>
        <v>0</v>
      </c>
      <c r="H24" s="712">
        <f t="shared" si="5"/>
        <v>0</v>
      </c>
      <c r="I24" s="733">
        <f t="shared" si="5"/>
        <v>0</v>
      </c>
      <c r="J24" s="712">
        <f t="shared" si="5"/>
        <v>1600.6883190010194</v>
      </c>
      <c r="K24" s="712">
        <f t="shared" si="5"/>
        <v>0</v>
      </c>
      <c r="L24" s="712">
        <f t="shared" si="5"/>
        <v>0</v>
      </c>
      <c r="M24" s="712">
        <f t="shared" si="5"/>
        <v>0</v>
      </c>
      <c r="N24" s="712">
        <f t="shared" si="5"/>
        <v>0</v>
      </c>
      <c r="O24" s="730" t="s">
        <v>1180</v>
      </c>
      <c r="P24" s="729">
        <f t="shared" si="1"/>
        <v>12</v>
      </c>
      <c r="Q24" s="749"/>
    </row>
    <row r="25" spans="1:17" ht="15.75" thickTop="1" x14ac:dyDescent="0.25">
      <c r="A25" s="729">
        <f t="shared" si="0"/>
        <v>13</v>
      </c>
      <c r="B25" s="714"/>
      <c r="C25" s="714"/>
      <c r="D25" s="734"/>
      <c r="E25" s="734"/>
      <c r="F25" s="734"/>
      <c r="G25" s="734"/>
      <c r="H25" s="734"/>
      <c r="I25" s="734"/>
      <c r="J25" s="734"/>
      <c r="K25" s="734"/>
      <c r="L25" s="734"/>
      <c r="M25" s="734"/>
      <c r="N25" s="734"/>
      <c r="O25" s="714"/>
      <c r="P25" s="729">
        <f t="shared" si="1"/>
        <v>13</v>
      </c>
      <c r="Q25" s="749"/>
    </row>
    <row r="26" spans="1:17" x14ac:dyDescent="0.25">
      <c r="A26" s="729">
        <f t="shared" si="0"/>
        <v>14</v>
      </c>
      <c r="B26" s="714" t="s">
        <v>1181</v>
      </c>
      <c r="C26" s="735"/>
      <c r="D26" s="734"/>
      <c r="E26" s="734"/>
      <c r="F26" s="734"/>
      <c r="G26" s="734"/>
      <c r="H26" s="734"/>
      <c r="I26" s="734"/>
      <c r="J26" s="734"/>
      <c r="K26" s="734"/>
      <c r="L26" s="734"/>
      <c r="M26" s="734"/>
      <c r="N26" s="734"/>
      <c r="O26" s="714"/>
      <c r="P26" s="729">
        <f t="shared" si="1"/>
        <v>14</v>
      </c>
      <c r="Q26" s="749"/>
    </row>
    <row r="27" spans="1:17" x14ac:dyDescent="0.25">
      <c r="A27" s="729">
        <f t="shared" si="0"/>
        <v>15</v>
      </c>
      <c r="B27" s="714" t="s">
        <v>1182</v>
      </c>
      <c r="C27" s="729">
        <v>190</v>
      </c>
      <c r="D27" s="719">
        <v>105336.37279363305</v>
      </c>
      <c r="E27" s="719">
        <v>0</v>
      </c>
      <c r="F27" s="719">
        <v>17.729633871337942</v>
      </c>
      <c r="G27" s="719"/>
      <c r="H27" s="719">
        <v>-1458.5555226342103</v>
      </c>
      <c r="I27" s="719"/>
      <c r="J27" s="719">
        <v>-6563.5620408660225</v>
      </c>
      <c r="K27" s="714">
        <f>SUM(D27:I27)</f>
        <v>103895.54690487018</v>
      </c>
      <c r="L27" s="714">
        <f>+'Order 864-2'!I30</f>
        <v>0</v>
      </c>
      <c r="M27" s="714">
        <f>IF(SUM($K$27:$L$27)&lt;0,0,SUM($K27:$L27))</f>
        <v>103895.54690487018</v>
      </c>
      <c r="N27" s="714">
        <f>IF(SUM($K$27:$L$27)&lt;0,SUM($K27:$L27),0)</f>
        <v>0</v>
      </c>
      <c r="O27" s="730" t="s">
        <v>258</v>
      </c>
      <c r="P27" s="729">
        <f t="shared" si="1"/>
        <v>15</v>
      </c>
      <c r="Q27" s="749"/>
    </row>
    <row r="28" spans="1:17" x14ac:dyDescent="0.25">
      <c r="A28" s="729">
        <f t="shared" si="0"/>
        <v>16</v>
      </c>
      <c r="B28" s="714" t="s">
        <v>1183</v>
      </c>
      <c r="C28" s="729"/>
      <c r="D28" s="719"/>
      <c r="E28" s="719"/>
      <c r="F28" s="719"/>
      <c r="G28" s="719"/>
      <c r="H28" s="719"/>
      <c r="I28" s="719"/>
      <c r="J28" s="719">
        <v>0</v>
      </c>
      <c r="K28" s="714"/>
      <c r="L28" s="714"/>
      <c r="M28" s="714"/>
      <c r="N28" s="714"/>
      <c r="O28" s="730"/>
      <c r="P28" s="729">
        <f t="shared" si="1"/>
        <v>16</v>
      </c>
      <c r="Q28" s="749"/>
    </row>
    <row r="29" spans="1:17" x14ac:dyDescent="0.25">
      <c r="A29" s="729">
        <f t="shared" si="0"/>
        <v>17</v>
      </c>
      <c r="B29" s="714" t="s">
        <v>1184</v>
      </c>
      <c r="C29" s="729">
        <v>282</v>
      </c>
      <c r="D29" s="719">
        <v>0</v>
      </c>
      <c r="E29" s="719">
        <v>-377718.41804081638</v>
      </c>
      <c r="F29" s="719"/>
      <c r="G29" s="719">
        <v>-51.312346938798839</v>
      </c>
      <c r="H29" s="719"/>
      <c r="I29" s="719">
        <v>5077.6216530611991</v>
      </c>
      <c r="J29" s="719">
        <v>23028.177430426698</v>
      </c>
      <c r="K29" s="714">
        <f t="shared" ref="K29:K30" si="6">SUM(D29:I29)</f>
        <v>-372692.10873469402</v>
      </c>
      <c r="L29" s="714">
        <f>+'Order 864-2'!I32</f>
        <v>0</v>
      </c>
      <c r="M29" s="714">
        <f>IF(SUM($K$29:$L$30)&lt;0,0,SUM($K29:$L29))</f>
        <v>0</v>
      </c>
      <c r="N29" s="714">
        <f>IF(SUM($K$29:$L$30)&lt;0,SUM($K29:$L29),0)</f>
        <v>-372692.10873469402</v>
      </c>
      <c r="O29" s="730" t="s">
        <v>258</v>
      </c>
      <c r="P29" s="729">
        <f t="shared" si="1"/>
        <v>17</v>
      </c>
      <c r="Q29" s="749"/>
    </row>
    <row r="30" spans="1:17" x14ac:dyDescent="0.25">
      <c r="A30" s="729">
        <f t="shared" si="0"/>
        <v>18</v>
      </c>
      <c r="B30" s="714" t="s">
        <v>1185</v>
      </c>
      <c r="C30" s="729">
        <v>282</v>
      </c>
      <c r="D30" s="719">
        <v>0</v>
      </c>
      <c r="E30" s="719">
        <v>7661.1910000000034</v>
      </c>
      <c r="F30" s="719"/>
      <c r="G30" s="719">
        <v>-0.70600000000372531</v>
      </c>
      <c r="H30" s="719"/>
      <c r="I30" s="719">
        <v>-923.30299999999988</v>
      </c>
      <c r="J30" s="719">
        <v>-5278.4610000000002</v>
      </c>
      <c r="K30" s="714">
        <f t="shared" si="6"/>
        <v>6737.1819999999998</v>
      </c>
      <c r="L30" s="714">
        <f>+'Order 864-2'!I33</f>
        <v>0</v>
      </c>
      <c r="M30" s="714">
        <f>IF(SUM($K$29:$L$30)&lt;0,0,SUM($K30:$L30))</f>
        <v>0</v>
      </c>
      <c r="N30" s="714">
        <f>IF(SUM($K$29:$L$30)&lt;0,SUM($K30:$L30),0)</f>
        <v>6737.1819999999998</v>
      </c>
      <c r="O30" s="730" t="s">
        <v>258</v>
      </c>
      <c r="P30" s="729">
        <f t="shared" si="1"/>
        <v>18</v>
      </c>
      <c r="Q30" s="749"/>
    </row>
    <row r="31" spans="1:17" x14ac:dyDescent="0.25">
      <c r="A31" s="729">
        <f t="shared" si="0"/>
        <v>19</v>
      </c>
      <c r="B31" s="730" t="s">
        <v>1186</v>
      </c>
      <c r="C31" s="731"/>
      <c r="D31" s="722">
        <f t="shared" ref="D31:N31" si="7">SUM(D27:D30)</f>
        <v>105336.37279363305</v>
      </c>
      <c r="E31" s="722">
        <f t="shared" si="7"/>
        <v>-370057.22704081639</v>
      </c>
      <c r="F31" s="722">
        <f t="shared" si="7"/>
        <v>17.729633871337942</v>
      </c>
      <c r="G31" s="722">
        <f t="shared" si="7"/>
        <v>-52.018346938802566</v>
      </c>
      <c r="H31" s="722">
        <f t="shared" si="7"/>
        <v>-1458.5555226342103</v>
      </c>
      <c r="I31" s="722">
        <f t="shared" si="7"/>
        <v>4154.3186530611993</v>
      </c>
      <c r="J31" s="722">
        <f t="shared" si="7"/>
        <v>11186.154389560677</v>
      </c>
      <c r="K31" s="722">
        <f t="shared" si="7"/>
        <v>-262059.37982982383</v>
      </c>
      <c r="L31" s="722">
        <f t="shared" si="7"/>
        <v>0</v>
      </c>
      <c r="M31" s="722">
        <f t="shared" si="7"/>
        <v>103895.54690487018</v>
      </c>
      <c r="N31" s="722">
        <f t="shared" si="7"/>
        <v>-365954.92673469405</v>
      </c>
      <c r="O31" s="730" t="s">
        <v>1187</v>
      </c>
      <c r="P31" s="729">
        <f t="shared" si="1"/>
        <v>19</v>
      </c>
      <c r="Q31" s="749"/>
    </row>
    <row r="32" spans="1:17" x14ac:dyDescent="0.25">
      <c r="A32" s="729">
        <f t="shared" si="0"/>
        <v>20</v>
      </c>
      <c r="B32" s="714"/>
      <c r="C32" s="731"/>
      <c r="D32" s="734"/>
      <c r="E32" s="734"/>
      <c r="F32" s="734"/>
      <c r="G32" s="734"/>
      <c r="H32" s="734"/>
      <c r="I32" s="734"/>
      <c r="J32" s="714"/>
      <c r="K32" s="734"/>
      <c r="L32" s="734"/>
      <c r="M32" s="734"/>
      <c r="N32" s="734"/>
      <c r="O32" s="714"/>
      <c r="P32" s="729">
        <f t="shared" si="1"/>
        <v>20</v>
      </c>
      <c r="Q32" s="749"/>
    </row>
    <row r="33" spans="1:17" x14ac:dyDescent="0.25">
      <c r="A33" s="729">
        <f t="shared" si="0"/>
        <v>21</v>
      </c>
      <c r="B33" s="714" t="s">
        <v>1188</v>
      </c>
      <c r="C33" s="736"/>
      <c r="D33" s="734"/>
      <c r="E33" s="734"/>
      <c r="F33" s="734"/>
      <c r="G33" s="734"/>
      <c r="H33" s="734"/>
      <c r="I33" s="734"/>
      <c r="J33" s="714"/>
      <c r="K33" s="734"/>
      <c r="L33" s="734"/>
      <c r="M33" s="734"/>
      <c r="N33" s="734"/>
      <c r="O33" s="714"/>
      <c r="P33" s="729">
        <f t="shared" si="1"/>
        <v>21</v>
      </c>
      <c r="Q33" s="749"/>
    </row>
    <row r="34" spans="1:17" x14ac:dyDescent="0.25">
      <c r="A34" s="729">
        <f t="shared" si="0"/>
        <v>22</v>
      </c>
      <c r="B34" s="714" t="s">
        <v>1189</v>
      </c>
      <c r="C34" s="729">
        <v>282</v>
      </c>
      <c r="D34" s="719">
        <v>0</v>
      </c>
      <c r="E34" s="719">
        <v>-12146.053</v>
      </c>
      <c r="F34" s="719"/>
      <c r="G34" s="719">
        <v>-6.7529999999996653</v>
      </c>
      <c r="H34" s="719"/>
      <c r="I34" s="719">
        <v>266.32500000000073</v>
      </c>
      <c r="J34" s="719">
        <v>1319.1743636363608</v>
      </c>
      <c r="K34" s="714">
        <f>SUM(D34:I34)</f>
        <v>-11886.480999999998</v>
      </c>
      <c r="L34" s="714">
        <f>+'Order 864-2'!I37</f>
        <v>0</v>
      </c>
      <c r="M34" s="714">
        <f>IF(SUM($K$34:$L$34)&lt;0,0,SUM($K34:$L34))</f>
        <v>0</v>
      </c>
      <c r="N34" s="714">
        <f>IF(SUM($K$34:$L$34)&lt;0,SUM($K34:$L34),0)</f>
        <v>-11886.480999999998</v>
      </c>
      <c r="O34" s="730" t="s">
        <v>258</v>
      </c>
      <c r="P34" s="729">
        <f t="shared" si="1"/>
        <v>22</v>
      </c>
      <c r="Q34" s="749"/>
    </row>
    <row r="35" spans="1:17" x14ac:dyDescent="0.25">
      <c r="A35" s="729">
        <f t="shared" si="0"/>
        <v>23</v>
      </c>
      <c r="B35" s="714" t="s">
        <v>1190</v>
      </c>
      <c r="C35" s="729">
        <v>282</v>
      </c>
      <c r="D35" s="719">
        <v>0</v>
      </c>
      <c r="E35" s="719">
        <v>-32367.185999999998</v>
      </c>
      <c r="F35" s="719"/>
      <c r="G35" s="719">
        <v>-17.226999999999389</v>
      </c>
      <c r="H35" s="719"/>
      <c r="I35" s="719">
        <v>1199.9959999999992</v>
      </c>
      <c r="J35" s="719">
        <v>7477.9992727272693</v>
      </c>
      <c r="K35" s="714">
        <f t="shared" ref="K35:K36" si="8">SUM(D35:I35)</f>
        <v>-31184.416999999998</v>
      </c>
      <c r="L35" s="714">
        <f>+'Order 864-2'!I38</f>
        <v>0</v>
      </c>
      <c r="M35" s="714">
        <f>IF(SUM($K$35:$L$35)&lt;0,0,SUM($K35:$L35))</f>
        <v>0</v>
      </c>
      <c r="N35" s="714">
        <f>IF(SUM($K$35:$L$35)&lt;0,SUM($K35:$L35),0)</f>
        <v>-31184.416999999998</v>
      </c>
      <c r="O35" s="730" t="s">
        <v>258</v>
      </c>
      <c r="P35" s="729">
        <f t="shared" si="1"/>
        <v>23</v>
      </c>
      <c r="Q35" s="749"/>
    </row>
    <row r="36" spans="1:17" x14ac:dyDescent="0.25">
      <c r="A36" s="729">
        <f t="shared" si="0"/>
        <v>24</v>
      </c>
      <c r="B36" s="714" t="s">
        <v>1191</v>
      </c>
      <c r="C36" s="737">
        <v>282</v>
      </c>
      <c r="D36" s="719">
        <v>13395.735902179029</v>
      </c>
      <c r="E36" s="719">
        <v>0</v>
      </c>
      <c r="F36" s="719">
        <v>5.1880000000001019</v>
      </c>
      <c r="G36" s="719"/>
      <c r="H36" s="719">
        <v>-87.047999646206662</v>
      </c>
      <c r="I36" s="719"/>
      <c r="J36" s="719">
        <v>446.43972762652129</v>
      </c>
      <c r="K36" s="714">
        <f t="shared" si="8"/>
        <v>13313.875902532822</v>
      </c>
      <c r="L36" s="714">
        <f>+'Order 864-2'!I39</f>
        <v>0</v>
      </c>
      <c r="M36" s="714">
        <f>IF(SUM($K$36:$L$36)&lt;0,0,SUM($K36:$L36))</f>
        <v>13313.875902532822</v>
      </c>
      <c r="N36" s="714">
        <f>IF(SUM($K$36:$L$36)&lt;0,SUM($K36:$L36),0)</f>
        <v>0</v>
      </c>
      <c r="O36" s="730" t="s">
        <v>258</v>
      </c>
      <c r="P36" s="729">
        <f t="shared" si="1"/>
        <v>24</v>
      </c>
      <c r="Q36" s="749"/>
    </row>
    <row r="37" spans="1:17" x14ac:dyDescent="0.25">
      <c r="A37" s="729">
        <f t="shared" si="0"/>
        <v>25</v>
      </c>
      <c r="B37" s="730" t="s">
        <v>1186</v>
      </c>
      <c r="C37" s="731"/>
      <c r="D37" s="722">
        <f t="shared" ref="D37:L37" si="9">SUM(D34:D36)</f>
        <v>13395.735902179029</v>
      </c>
      <c r="E37" s="722">
        <f t="shared" si="9"/>
        <v>-44513.239000000001</v>
      </c>
      <c r="F37" s="722">
        <f t="shared" si="9"/>
        <v>5.1880000000001019</v>
      </c>
      <c r="G37" s="722">
        <f t="shared" si="9"/>
        <v>-23.979999999999055</v>
      </c>
      <c r="H37" s="722">
        <f t="shared" si="9"/>
        <v>-87.047999646206662</v>
      </c>
      <c r="I37" s="722">
        <f t="shared" si="9"/>
        <v>1466.3209999999999</v>
      </c>
      <c r="J37" s="722">
        <f t="shared" ref="J37" si="10">SUM(J34:J36)</f>
        <v>9243.6133639901509</v>
      </c>
      <c r="K37" s="722">
        <f t="shared" si="9"/>
        <v>-29757.022097467172</v>
      </c>
      <c r="L37" s="722">
        <f t="shared" si="9"/>
        <v>0</v>
      </c>
      <c r="M37" s="722">
        <f>SUM(M34:M36)</f>
        <v>13313.875902532822</v>
      </c>
      <c r="N37" s="722">
        <f>SUM(N34:N36)</f>
        <v>-43070.897999999994</v>
      </c>
      <c r="O37" s="730" t="s">
        <v>1192</v>
      </c>
      <c r="P37" s="729">
        <f t="shared" si="1"/>
        <v>25</v>
      </c>
      <c r="Q37" s="749"/>
    </row>
    <row r="38" spans="1:17" x14ac:dyDescent="0.25">
      <c r="A38" s="729">
        <f t="shared" si="0"/>
        <v>26</v>
      </c>
      <c r="B38" s="714"/>
      <c r="C38" s="731"/>
      <c r="D38" s="732"/>
      <c r="E38" s="732"/>
      <c r="F38" s="732"/>
      <c r="G38" s="732"/>
      <c r="H38" s="732"/>
      <c r="I38" s="732"/>
      <c r="J38" s="732"/>
      <c r="K38" s="732"/>
      <c r="L38" s="732"/>
      <c r="M38" s="732"/>
      <c r="N38" s="732"/>
      <c r="O38" s="714"/>
      <c r="P38" s="729">
        <f t="shared" si="1"/>
        <v>26</v>
      </c>
      <c r="Q38" s="749"/>
    </row>
    <row r="39" spans="1:17" x14ac:dyDescent="0.25">
      <c r="A39" s="729">
        <f t="shared" si="0"/>
        <v>27</v>
      </c>
      <c r="B39" s="714" t="s">
        <v>1188</v>
      </c>
      <c r="C39" s="736"/>
      <c r="D39" s="734"/>
      <c r="E39" s="734"/>
      <c r="F39" s="734"/>
      <c r="G39" s="734"/>
      <c r="H39" s="734"/>
      <c r="I39" s="734"/>
      <c r="J39" s="734"/>
      <c r="K39" s="734"/>
      <c r="L39" s="734"/>
      <c r="M39" s="734"/>
      <c r="N39" s="734"/>
      <c r="O39" s="714"/>
      <c r="P39" s="729">
        <f t="shared" si="1"/>
        <v>27</v>
      </c>
      <c r="Q39" s="749"/>
    </row>
    <row r="40" spans="1:17" x14ac:dyDescent="0.25">
      <c r="A40" s="729">
        <f t="shared" si="0"/>
        <v>28</v>
      </c>
      <c r="B40" s="714" t="s">
        <v>1193</v>
      </c>
      <c r="C40" s="737">
        <v>282</v>
      </c>
      <c r="D40" s="747">
        <v>38580.010458927754</v>
      </c>
      <c r="E40" s="793">
        <v>0</v>
      </c>
      <c r="F40" s="782">
        <v>6.4935504905921562</v>
      </c>
      <c r="G40" s="782"/>
      <c r="H40" s="782">
        <v>-534.20189036551778</v>
      </c>
      <c r="I40" s="782"/>
      <c r="J40" s="719">
        <v>-2382.1737293347278</v>
      </c>
      <c r="K40" s="748">
        <f>SUM(D40:I40)</f>
        <v>38052.302119052831</v>
      </c>
      <c r="L40" s="748">
        <f>+'Order 864-2'!I43</f>
        <v>0</v>
      </c>
      <c r="M40" s="714">
        <f>IF(SUM($K$40:$L$40)&lt;0,0,SUM($K40:$L40))</f>
        <v>38052.302119052831</v>
      </c>
      <c r="N40" s="714">
        <f>IF(SUM($K$40:$L$40)&lt;0,SUM($K40:$L40),0)</f>
        <v>0</v>
      </c>
      <c r="O40" s="730" t="s">
        <v>258</v>
      </c>
      <c r="P40" s="729">
        <f t="shared" si="1"/>
        <v>28</v>
      </c>
      <c r="Q40" s="749"/>
    </row>
    <row r="41" spans="1:17" x14ac:dyDescent="0.25">
      <c r="A41" s="729">
        <f t="shared" si="0"/>
        <v>29</v>
      </c>
      <c r="B41" s="714"/>
      <c r="C41" s="731"/>
      <c r="D41" s="738"/>
      <c r="E41" s="738"/>
      <c r="F41" s="738"/>
      <c r="G41" s="738"/>
      <c r="H41" s="738"/>
      <c r="I41" s="738"/>
      <c r="J41" s="738"/>
      <c r="K41" s="738"/>
      <c r="L41" s="738"/>
      <c r="M41" s="738"/>
      <c r="N41" s="738"/>
      <c r="O41" s="714"/>
      <c r="P41" s="729">
        <f t="shared" si="1"/>
        <v>29</v>
      </c>
      <c r="Q41" s="749"/>
    </row>
    <row r="42" spans="1:17" ht="15.75" thickBot="1" x14ac:dyDescent="0.3">
      <c r="A42" s="729">
        <f t="shared" si="0"/>
        <v>30</v>
      </c>
      <c r="B42" s="730" t="s">
        <v>1194</v>
      </c>
      <c r="C42" s="731"/>
      <c r="D42" s="712">
        <f t="shared" ref="D42:N42" si="11">+D40+D37+D31</f>
        <v>157312.11915473983</v>
      </c>
      <c r="E42" s="712">
        <f t="shared" si="11"/>
        <v>-414570.46604081639</v>
      </c>
      <c r="F42" s="712">
        <f t="shared" si="11"/>
        <v>29.4111843619302</v>
      </c>
      <c r="G42" s="712">
        <f t="shared" si="11"/>
        <v>-75.998346938801618</v>
      </c>
      <c r="H42" s="712">
        <f t="shared" si="11"/>
        <v>-2079.8054126459347</v>
      </c>
      <c r="I42" s="712">
        <f t="shared" si="11"/>
        <v>5620.6396530611992</v>
      </c>
      <c r="J42" s="712">
        <f t="shared" ref="J42" si="12">J31+J37+J40</f>
        <v>18047.594024216098</v>
      </c>
      <c r="K42" s="712">
        <f t="shared" si="11"/>
        <v>-253764.09980823816</v>
      </c>
      <c r="L42" s="712">
        <f t="shared" si="11"/>
        <v>0</v>
      </c>
      <c r="M42" s="712">
        <f t="shared" si="11"/>
        <v>155261.72492645582</v>
      </c>
      <c r="N42" s="712">
        <f t="shared" si="11"/>
        <v>-409025.82473469403</v>
      </c>
      <c r="O42" s="798" t="s">
        <v>1195</v>
      </c>
      <c r="P42" s="729">
        <f t="shared" si="1"/>
        <v>30</v>
      </c>
      <c r="Q42" s="749"/>
    </row>
    <row r="43" spans="1:17" ht="15.75" thickTop="1" x14ac:dyDescent="0.25">
      <c r="A43" s="729">
        <f t="shared" si="0"/>
        <v>31</v>
      </c>
      <c r="B43" s="714"/>
      <c r="C43" s="714"/>
      <c r="D43" s="739"/>
      <c r="E43" s="739"/>
      <c r="F43" s="739"/>
      <c r="G43" s="739"/>
      <c r="H43" s="739"/>
      <c r="I43" s="739"/>
      <c r="J43" s="739"/>
      <c r="K43" s="739"/>
      <c r="L43" s="739"/>
      <c r="M43" s="739"/>
      <c r="N43" s="739"/>
      <c r="O43" s="714"/>
      <c r="P43" s="729">
        <f t="shared" si="1"/>
        <v>31</v>
      </c>
      <c r="Q43" s="749"/>
    </row>
    <row r="44" spans="1:17" ht="15.75" thickBot="1" x14ac:dyDescent="0.3">
      <c r="A44" s="729">
        <f t="shared" si="0"/>
        <v>32</v>
      </c>
      <c r="B44" s="730" t="s">
        <v>1196</v>
      </c>
      <c r="C44" s="714"/>
      <c r="D44" s="712">
        <f t="shared" ref="D44:N44" si="13">D24+D42</f>
        <v>157312.35958862826</v>
      </c>
      <c r="E44" s="712">
        <f t="shared" si="13"/>
        <v>-414570.46604081639</v>
      </c>
      <c r="F44" s="712">
        <f t="shared" si="13"/>
        <v>29.170750473497154</v>
      </c>
      <c r="G44" s="712">
        <f t="shared" si="13"/>
        <v>-75.998346938801618</v>
      </c>
      <c r="H44" s="712">
        <f t="shared" si="13"/>
        <v>-2079.8054126459347</v>
      </c>
      <c r="I44" s="712">
        <f t="shared" si="13"/>
        <v>5620.6396530611992</v>
      </c>
      <c r="J44" s="712">
        <f t="shared" si="13"/>
        <v>19648.282343217117</v>
      </c>
      <c r="K44" s="712">
        <f t="shared" si="13"/>
        <v>-253764.09980823816</v>
      </c>
      <c r="L44" s="712">
        <f t="shared" si="13"/>
        <v>0</v>
      </c>
      <c r="M44" s="712">
        <f t="shared" si="13"/>
        <v>155261.72492645582</v>
      </c>
      <c r="N44" s="712">
        <f t="shared" si="13"/>
        <v>-409025.82473469403</v>
      </c>
      <c r="O44" s="730" t="s">
        <v>1197</v>
      </c>
      <c r="P44" s="729">
        <f t="shared" si="1"/>
        <v>32</v>
      </c>
      <c r="Q44" s="749"/>
    </row>
    <row r="45" spans="1:17" ht="15.75" thickTop="1" x14ac:dyDescent="0.25">
      <c r="A45" s="729"/>
      <c r="B45" s="714"/>
      <c r="C45" s="714"/>
      <c r="D45" s="714"/>
      <c r="E45" s="714"/>
      <c r="F45" s="714"/>
      <c r="G45" s="714"/>
      <c r="H45" s="714"/>
      <c r="I45" s="714"/>
      <c r="J45" s="714"/>
      <c r="K45" s="714"/>
      <c r="L45" s="714"/>
      <c r="M45" s="714">
        <f>'AF-1'!E35-M44</f>
        <v>0</v>
      </c>
      <c r="N45" s="714">
        <f>N44-'AF-1'!G35</f>
        <v>0</v>
      </c>
      <c r="O45" s="749"/>
      <c r="P45" s="749"/>
      <c r="Q45" s="749"/>
    </row>
    <row r="46" spans="1:17" x14ac:dyDescent="0.25">
      <c r="A46" s="776"/>
      <c r="B46" s="701" t="s">
        <v>1198</v>
      </c>
      <c r="C46" s="740"/>
      <c r="D46" s="882"/>
      <c r="E46" s="882"/>
      <c r="F46" s="882"/>
      <c r="G46" s="882"/>
      <c r="H46" s="882"/>
      <c r="I46" s="882"/>
      <c r="J46" s="882"/>
      <c r="K46" s="882"/>
      <c r="L46" s="882"/>
      <c r="M46" s="882"/>
      <c r="N46" s="882"/>
      <c r="O46" s="749"/>
      <c r="P46" s="749"/>
      <c r="Q46" s="749"/>
    </row>
    <row r="47" spans="1:17" x14ac:dyDescent="0.25">
      <c r="A47" s="776"/>
      <c r="B47" s="812" t="s">
        <v>1199</v>
      </c>
      <c r="C47" s="740"/>
      <c r="D47" s="714"/>
      <c r="E47" s="714"/>
      <c r="F47" s="714"/>
      <c r="G47" s="714"/>
      <c r="H47" s="714"/>
      <c r="I47" s="714"/>
      <c r="J47" s="714"/>
      <c r="K47" s="714"/>
      <c r="L47" s="714"/>
      <c r="M47" s="714"/>
      <c r="N47" s="714"/>
      <c r="O47" s="749"/>
      <c r="P47" s="749"/>
      <c r="Q47" s="749"/>
    </row>
    <row r="48" spans="1:17" x14ac:dyDescent="0.25">
      <c r="A48" s="776"/>
      <c r="B48" s="812" t="s">
        <v>1517</v>
      </c>
      <c r="C48" s="741"/>
      <c r="D48" s="741"/>
      <c r="E48" s="741"/>
      <c r="F48" s="714"/>
      <c r="G48" s="714"/>
      <c r="H48" s="714"/>
      <c r="I48" s="714"/>
      <c r="J48" s="714"/>
      <c r="K48" s="714"/>
      <c r="L48" s="714"/>
      <c r="M48" s="714"/>
      <c r="N48" s="714"/>
      <c r="O48" s="799"/>
      <c r="P48" s="749"/>
      <c r="Q48" s="749"/>
    </row>
    <row r="49" spans="1:17" x14ac:dyDescent="0.25">
      <c r="A49" s="776"/>
      <c r="B49" s="812" t="s">
        <v>1200</v>
      </c>
      <c r="C49" s="741"/>
      <c r="D49" s="741"/>
      <c r="E49" s="741"/>
      <c r="F49" s="714"/>
      <c r="G49" s="714"/>
      <c r="H49" s="714"/>
      <c r="I49" s="714"/>
      <c r="J49" s="714"/>
      <c r="K49" s="714"/>
      <c r="L49" s="714"/>
      <c r="M49" s="714"/>
      <c r="N49" s="714"/>
      <c r="O49" s="799"/>
      <c r="P49" s="749"/>
      <c r="Q49" s="749"/>
    </row>
    <row r="50" spans="1:17" x14ac:dyDescent="0.25">
      <c r="A50" s="776"/>
      <c r="B50" s="812" t="s">
        <v>1201</v>
      </c>
      <c r="C50" s="741"/>
      <c r="D50" s="741"/>
      <c r="E50" s="741"/>
      <c r="F50" s="714"/>
      <c r="G50" s="714"/>
      <c r="H50" s="714"/>
      <c r="I50" s="714"/>
      <c r="J50" s="714"/>
      <c r="K50" s="714"/>
      <c r="L50" s="714"/>
      <c r="M50" s="714"/>
      <c r="N50" s="714"/>
      <c r="O50" s="799"/>
      <c r="P50" s="749"/>
      <c r="Q50" s="749"/>
    </row>
    <row r="51" spans="1:17" x14ac:dyDescent="0.25">
      <c r="A51" s="741"/>
      <c r="B51" s="812" t="s">
        <v>1202</v>
      </c>
      <c r="C51" s="741"/>
      <c r="D51" s="741"/>
      <c r="E51" s="741"/>
      <c r="F51" s="741"/>
      <c r="G51" s="741"/>
      <c r="H51" s="741"/>
      <c r="I51" s="741"/>
      <c r="J51" s="741"/>
      <c r="K51" s="741"/>
      <c r="L51" s="741"/>
      <c r="M51" s="741"/>
      <c r="N51" s="741"/>
      <c r="O51" s="749"/>
      <c r="P51" s="749"/>
      <c r="Q51" s="749"/>
    </row>
    <row r="52" spans="1:17" x14ac:dyDescent="0.25">
      <c r="A52" s="741"/>
      <c r="B52" s="812" t="s">
        <v>1203</v>
      </c>
      <c r="C52" s="741"/>
      <c r="D52" s="741"/>
      <c r="E52" s="741"/>
      <c r="F52" s="741"/>
      <c r="G52" s="741"/>
      <c r="H52" s="741"/>
      <c r="I52" s="741"/>
      <c r="J52" s="741"/>
      <c r="K52" s="741"/>
      <c r="L52" s="741"/>
      <c r="M52" s="741"/>
      <c r="N52" s="741"/>
      <c r="O52" s="800"/>
      <c r="P52" s="749"/>
      <c r="Q52" s="749"/>
    </row>
    <row r="53" spans="1:17" x14ac:dyDescent="0.25">
      <c r="A53" s="741"/>
      <c r="B53" s="812" t="s">
        <v>1204</v>
      </c>
      <c r="C53" s="741"/>
      <c r="D53" s="741"/>
      <c r="E53" s="741"/>
      <c r="F53" s="741"/>
      <c r="G53" s="741"/>
      <c r="H53" s="741"/>
      <c r="I53" s="741"/>
      <c r="J53" s="741"/>
      <c r="K53" s="741"/>
      <c r="L53" s="741"/>
      <c r="M53" s="741"/>
      <c r="N53" s="741"/>
      <c r="O53" s="799"/>
      <c r="P53" s="749"/>
      <c r="Q53" s="749"/>
    </row>
    <row r="54" spans="1:17" x14ac:dyDescent="0.25">
      <c r="A54" s="743"/>
      <c r="B54" s="812" t="s">
        <v>1205</v>
      </c>
      <c r="C54" s="743"/>
      <c r="D54" s="743"/>
      <c r="E54" s="743"/>
      <c r="F54" s="743"/>
      <c r="G54" s="743"/>
      <c r="H54" s="743"/>
      <c r="I54" s="743"/>
      <c r="J54" s="743"/>
      <c r="K54" s="743"/>
      <c r="L54" s="743"/>
      <c r="M54" s="743"/>
      <c r="N54" s="743"/>
    </row>
    <row r="55" spans="1:17" x14ac:dyDescent="0.25">
      <c r="A55" s="743"/>
      <c r="B55" s="812" t="s">
        <v>1206</v>
      </c>
      <c r="C55" s="743"/>
      <c r="D55" s="743"/>
      <c r="E55" s="743"/>
      <c r="F55" s="743"/>
      <c r="G55" s="743"/>
      <c r="H55" s="743"/>
      <c r="I55" s="743"/>
      <c r="J55" s="743"/>
      <c r="K55" s="743"/>
      <c r="L55" s="743"/>
      <c r="M55" s="743"/>
      <c r="N55" s="743"/>
    </row>
    <row r="56" spans="1:17" x14ac:dyDescent="0.25">
      <c r="A56" s="743"/>
      <c r="B56" s="812" t="s">
        <v>1207</v>
      </c>
      <c r="C56" s="743"/>
      <c r="D56" s="743"/>
      <c r="E56" s="743"/>
      <c r="F56" s="743"/>
      <c r="G56" s="743"/>
      <c r="H56" s="743"/>
      <c r="I56" s="743"/>
      <c r="J56" s="743"/>
      <c r="K56" s="743"/>
      <c r="L56" s="743"/>
      <c r="M56" s="743"/>
      <c r="N56" s="743"/>
    </row>
    <row r="57" spans="1:17" x14ac:dyDescent="0.25">
      <c r="A57" s="743"/>
      <c r="B57" s="812"/>
      <c r="C57" s="743"/>
      <c r="D57" s="743"/>
      <c r="E57" s="743"/>
      <c r="F57" s="743"/>
      <c r="G57" s="743"/>
      <c r="H57" s="743"/>
      <c r="I57" s="743"/>
      <c r="J57" s="743"/>
      <c r="K57" s="743"/>
      <c r="L57" s="743"/>
      <c r="M57" s="743"/>
      <c r="N57" s="743"/>
    </row>
    <row r="58" spans="1:17" x14ac:dyDescent="0.25">
      <c r="A58" s="743"/>
      <c r="B58" s="742"/>
      <c r="C58" s="714"/>
      <c r="D58" s="714"/>
      <c r="E58" s="714"/>
      <c r="F58" s="731"/>
      <c r="G58" s="731"/>
      <c r="H58" s="776" t="s">
        <v>1208</v>
      </c>
      <c r="I58" s="776" t="s">
        <v>1209</v>
      </c>
      <c r="J58" s="776" t="s">
        <v>1210</v>
      </c>
      <c r="K58" s="776" t="s">
        <v>1211</v>
      </c>
      <c r="L58" s="776" t="s">
        <v>1212</v>
      </c>
      <c r="M58" s="743"/>
      <c r="N58" s="743"/>
    </row>
    <row r="59" spans="1:17" x14ac:dyDescent="0.25">
      <c r="A59" s="743"/>
      <c r="B59" s="742"/>
      <c r="C59" s="714"/>
      <c r="D59" s="714"/>
      <c r="E59" s="714"/>
      <c r="F59" s="731"/>
      <c r="G59" s="731"/>
      <c r="H59" s="766" t="s">
        <v>1150</v>
      </c>
      <c r="I59" s="766" t="s">
        <v>1151</v>
      </c>
      <c r="J59" s="731"/>
      <c r="M59" s="743"/>
      <c r="N59" s="743"/>
    </row>
    <row r="60" spans="1:17" ht="39" x14ac:dyDescent="0.25">
      <c r="A60" s="743"/>
      <c r="B60" s="813" t="s">
        <v>1213</v>
      </c>
      <c r="C60" s="714"/>
      <c r="D60" s="814" t="s">
        <v>1214</v>
      </c>
      <c r="E60" s="729"/>
      <c r="F60" s="731"/>
      <c r="G60" s="731"/>
      <c r="H60" s="815" t="s">
        <v>1167</v>
      </c>
      <c r="I60" s="815" t="s">
        <v>1168</v>
      </c>
      <c r="J60" s="815" t="s">
        <v>1215</v>
      </c>
      <c r="K60" s="815" t="s">
        <v>1216</v>
      </c>
      <c r="L60" s="815" t="s">
        <v>1217</v>
      </c>
      <c r="M60" s="743"/>
      <c r="N60" s="743"/>
    </row>
    <row r="61" spans="1:17" x14ac:dyDescent="0.25">
      <c r="A61" s="743"/>
      <c r="B61" s="751" t="s">
        <v>1218</v>
      </c>
      <c r="C61" s="816" t="s">
        <v>1131</v>
      </c>
      <c r="D61" s="817">
        <v>0.21</v>
      </c>
      <c r="E61" s="818"/>
      <c r="F61" s="731"/>
      <c r="G61" s="751" t="s">
        <v>1219</v>
      </c>
      <c r="H61" s="714">
        <f>M24</f>
        <v>0</v>
      </c>
      <c r="I61" s="714">
        <f>N24</f>
        <v>0</v>
      </c>
      <c r="J61" s="819">
        <f>D66-1</f>
        <v>0.38857260290711548</v>
      </c>
      <c r="K61" s="714">
        <f>H61*J61</f>
        <v>0</v>
      </c>
      <c r="L61" s="714">
        <f>I61*J61</f>
        <v>0</v>
      </c>
      <c r="M61" s="743"/>
      <c r="N61" s="743"/>
    </row>
    <row r="62" spans="1:17" x14ac:dyDescent="0.25">
      <c r="A62" s="743"/>
      <c r="B62" s="751" t="s">
        <v>1220</v>
      </c>
      <c r="C62" s="816" t="s">
        <v>1133</v>
      </c>
      <c r="D62" s="817">
        <v>8.8400000000000006E-2</v>
      </c>
      <c r="E62" s="818"/>
      <c r="F62" s="731"/>
      <c r="G62" s="751" t="s">
        <v>1221</v>
      </c>
      <c r="H62" s="714">
        <f>M42</f>
        <v>155261.72492645582</v>
      </c>
      <c r="I62" s="714">
        <f>N42</f>
        <v>-409025.82473469403</v>
      </c>
      <c r="J62" s="819">
        <f>D66-1</f>
        <v>0.38857260290711548</v>
      </c>
      <c r="K62" s="714">
        <f>H62*J62</f>
        <v>60330.452586521511</v>
      </c>
      <c r="L62" s="714">
        <f>I62*J62</f>
        <v>-158936.22937338968</v>
      </c>
      <c r="M62" s="743"/>
      <c r="N62" s="743"/>
    </row>
    <row r="63" spans="1:17" x14ac:dyDescent="0.25">
      <c r="A63" s="743"/>
      <c r="B63" s="751" t="s">
        <v>1222</v>
      </c>
      <c r="C63" s="816" t="s">
        <v>1223</v>
      </c>
      <c r="D63" s="821">
        <f>-D62*D61</f>
        <v>-1.8564000000000001E-2</v>
      </c>
      <c r="E63" s="818"/>
      <c r="F63" s="818"/>
      <c r="G63" s="743"/>
      <c r="H63" s="743"/>
      <c r="I63" s="743"/>
      <c r="J63" s="743"/>
      <c r="K63" s="743"/>
      <c r="L63" s="743"/>
      <c r="M63" s="743"/>
      <c r="N63" s="743"/>
    </row>
    <row r="64" spans="1:17" x14ac:dyDescent="0.25">
      <c r="B64" s="751" t="s">
        <v>1224</v>
      </c>
      <c r="C64" s="816" t="s">
        <v>1225</v>
      </c>
      <c r="D64" s="822">
        <f>SUM(D61:D63)</f>
        <v>0.27983599999999997</v>
      </c>
      <c r="E64" s="820"/>
      <c r="F64" s="818"/>
    </row>
    <row r="65" spans="2:6" x14ac:dyDescent="0.25">
      <c r="B65" s="751" t="s">
        <v>1226</v>
      </c>
      <c r="C65" s="816" t="s">
        <v>1227</v>
      </c>
      <c r="D65" s="822">
        <f>1-D64</f>
        <v>0.72016400000000003</v>
      </c>
      <c r="E65" s="820"/>
      <c r="F65" s="818"/>
    </row>
    <row r="66" spans="2:6" x14ac:dyDescent="0.25">
      <c r="B66" s="751" t="s">
        <v>1215</v>
      </c>
      <c r="C66" s="816" t="s">
        <v>1228</v>
      </c>
      <c r="D66" s="823">
        <f>1/D65</f>
        <v>1.3885726029071155</v>
      </c>
      <c r="E66" s="819"/>
      <c r="F66" s="819"/>
    </row>
    <row r="67" spans="2:6" x14ac:dyDescent="0.25">
      <c r="B67" s="741"/>
      <c r="C67" s="751"/>
      <c r="D67" s="777"/>
      <c r="E67" s="777"/>
    </row>
    <row r="68" spans="2:6" x14ac:dyDescent="0.25">
      <c r="B68" s="742"/>
      <c r="C68" s="741"/>
      <c r="D68" s="741"/>
      <c r="E68" s="741"/>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Normal="100" workbookViewId="0"/>
  </sheetViews>
  <sheetFormatPr defaultColWidth="14.5703125" defaultRowHeight="15" x14ac:dyDescent="0.25"/>
  <cols>
    <col min="1" max="1" width="5.7109375" customWidth="1"/>
    <col min="2" max="2" width="48.5703125" customWidth="1"/>
    <col min="3" max="3" width="8.7109375" customWidth="1"/>
    <col min="4" max="9" width="16.5703125" customWidth="1"/>
    <col min="10" max="10" width="45.7109375" customWidth="1"/>
    <col min="11" max="11" width="5.7109375" customWidth="1"/>
    <col min="12" max="12" width="18.7109375" customWidth="1"/>
  </cols>
  <sheetData>
    <row r="1" spans="1:14" ht="15.75" x14ac:dyDescent="0.25">
      <c r="A1" s="685"/>
      <c r="B1" s="686" t="s">
        <v>0</v>
      </c>
      <c r="C1" s="687"/>
      <c r="D1" s="687"/>
      <c r="E1" s="687"/>
      <c r="F1" s="687"/>
      <c r="G1" s="687"/>
      <c r="H1" s="687"/>
      <c r="I1" s="687"/>
      <c r="J1" s="687"/>
      <c r="K1" s="688"/>
    </row>
    <row r="2" spans="1:14" x14ac:dyDescent="0.25">
      <c r="A2" s="688"/>
      <c r="B2" s="686" t="s">
        <v>1229</v>
      </c>
      <c r="C2" s="687"/>
      <c r="D2" s="687"/>
      <c r="E2" s="687"/>
      <c r="F2" s="687"/>
      <c r="G2" s="687"/>
      <c r="H2" s="687"/>
      <c r="I2" s="687"/>
      <c r="J2" s="687"/>
      <c r="K2" s="688"/>
    </row>
    <row r="3" spans="1:14" x14ac:dyDescent="0.25">
      <c r="A3" s="688"/>
      <c r="B3" s="725" t="s">
        <v>1137</v>
      </c>
      <c r="C3" s="687"/>
      <c r="D3" s="687"/>
      <c r="E3" s="687"/>
      <c r="F3" s="687"/>
      <c r="G3" s="687"/>
      <c r="H3" s="687"/>
      <c r="I3" s="687"/>
      <c r="J3" s="687"/>
      <c r="K3" s="688"/>
    </row>
    <row r="4" spans="1:14" x14ac:dyDescent="0.25">
      <c r="A4" s="688"/>
      <c r="B4" s="720" t="s">
        <v>1247</v>
      </c>
      <c r="C4" s="721"/>
      <c r="D4" s="721"/>
      <c r="E4" s="721"/>
      <c r="F4" s="721"/>
      <c r="G4" s="721"/>
      <c r="H4" s="721"/>
      <c r="I4" s="721"/>
      <c r="J4" s="721"/>
      <c r="K4" s="688"/>
    </row>
    <row r="5" spans="1:14" x14ac:dyDescent="0.25">
      <c r="A5" s="688"/>
      <c r="B5" s="1327" t="s">
        <v>4</v>
      </c>
      <c r="C5" s="1327"/>
      <c r="D5" s="1327"/>
      <c r="E5" s="1327"/>
      <c r="F5" s="1327"/>
      <c r="G5" s="1327"/>
      <c r="H5" s="1327"/>
      <c r="I5" s="1327"/>
      <c r="J5" s="1327"/>
      <c r="K5" s="705"/>
      <c r="L5" s="705"/>
      <c r="M5" s="705"/>
      <c r="N5" s="705"/>
    </row>
    <row r="6" spans="1:14" x14ac:dyDescent="0.25">
      <c r="A6" s="688"/>
      <c r="B6" s="686"/>
      <c r="C6" s="687"/>
      <c r="D6" s="687"/>
      <c r="E6" s="687"/>
      <c r="F6" s="687"/>
      <c r="G6" s="687"/>
      <c r="H6" s="687"/>
      <c r="I6" s="687"/>
      <c r="J6" s="687"/>
      <c r="K6" s="688"/>
    </row>
    <row r="7" spans="1:14" x14ac:dyDescent="0.25">
      <c r="A7" s="689"/>
      <c r="B7" s="706"/>
      <c r="C7" s="707"/>
      <c r="D7" s="707"/>
      <c r="E7" s="707"/>
      <c r="F7" s="707"/>
      <c r="G7" s="707"/>
      <c r="H7" s="691" t="s">
        <v>1138</v>
      </c>
      <c r="I7" s="716">
        <v>2022</v>
      </c>
      <c r="J7" s="689"/>
      <c r="K7" s="689"/>
      <c r="L7" s="689"/>
    </row>
    <row r="8" spans="1:14" x14ac:dyDescent="0.25">
      <c r="A8" s="689"/>
      <c r="B8" s="706"/>
      <c r="C8" s="707"/>
      <c r="D8" s="707"/>
      <c r="E8" s="707"/>
      <c r="F8" s="707"/>
      <c r="G8" s="707"/>
      <c r="H8" s="691" t="s">
        <v>1230</v>
      </c>
      <c r="I8" s="717" t="s">
        <v>949</v>
      </c>
      <c r="J8" s="689"/>
      <c r="K8" s="689"/>
      <c r="L8" s="689"/>
    </row>
    <row r="9" spans="1:14" x14ac:dyDescent="0.25">
      <c r="A9" s="689"/>
      <c r="B9" s="690"/>
      <c r="C9" s="690"/>
      <c r="D9" s="690"/>
      <c r="E9" s="690"/>
      <c r="F9" s="690"/>
      <c r="G9" s="690"/>
      <c r="H9" s="703" t="s">
        <v>1231</v>
      </c>
      <c r="I9" s="718"/>
      <c r="J9" s="689"/>
      <c r="K9" s="689"/>
      <c r="L9" s="689"/>
    </row>
    <row r="10" spans="1:14" x14ac:dyDescent="0.25">
      <c r="A10" s="689"/>
      <c r="B10" s="690"/>
      <c r="C10" s="690"/>
      <c r="D10" s="690"/>
      <c r="E10" s="690"/>
      <c r="F10" s="690"/>
      <c r="G10" s="690"/>
      <c r="H10" s="708"/>
      <c r="I10" s="708"/>
      <c r="J10" s="689"/>
      <c r="K10" s="689"/>
      <c r="L10" s="689"/>
    </row>
    <row r="11" spans="1:14" x14ac:dyDescent="0.25">
      <c r="A11" s="692"/>
      <c r="B11" s="693" t="s">
        <v>1139</v>
      </c>
      <c r="C11" s="693" t="s">
        <v>1140</v>
      </c>
      <c r="D11" s="693" t="s">
        <v>1141</v>
      </c>
      <c r="E11" s="693" t="s">
        <v>1142</v>
      </c>
      <c r="F11" s="693" t="s">
        <v>1143</v>
      </c>
      <c r="G11" s="693" t="s">
        <v>1144</v>
      </c>
      <c r="H11" s="693" t="s">
        <v>1145</v>
      </c>
      <c r="I11" s="693" t="s">
        <v>1146</v>
      </c>
      <c r="J11" s="689"/>
      <c r="K11" s="689"/>
      <c r="L11" s="689"/>
    </row>
    <row r="12" spans="1:14" ht="15.75" thickBot="1" x14ac:dyDescent="0.3">
      <c r="A12" s="689"/>
      <c r="B12" s="692"/>
      <c r="C12" s="692"/>
      <c r="D12" s="689"/>
      <c r="E12" s="689"/>
      <c r="F12" s="689"/>
      <c r="G12" s="689"/>
      <c r="H12" s="689"/>
      <c r="I12" s="689"/>
      <c r="J12" s="689"/>
      <c r="K12" s="689"/>
      <c r="L12" s="689"/>
    </row>
    <row r="13" spans="1:14" ht="15.75" thickBot="1" x14ac:dyDescent="0.3">
      <c r="A13" s="689"/>
      <c r="B13" s="692"/>
      <c r="C13" s="692"/>
      <c r="D13" s="1328" t="s">
        <v>1232</v>
      </c>
      <c r="E13" s="1329"/>
      <c r="F13" s="1329"/>
      <c r="G13" s="1329"/>
      <c r="H13" s="1329"/>
      <c r="I13" s="1330"/>
      <c r="J13" s="689"/>
      <c r="K13" s="689"/>
      <c r="L13" s="689"/>
    </row>
    <row r="14" spans="1:14" ht="15.75" thickBot="1" x14ac:dyDescent="0.3">
      <c r="A14" s="689"/>
      <c r="B14" s="692"/>
      <c r="C14" s="692"/>
      <c r="D14" s="801"/>
      <c r="E14" s="801"/>
      <c r="F14" s="802" t="s">
        <v>1233</v>
      </c>
      <c r="G14" s="803" t="s">
        <v>1234</v>
      </c>
      <c r="H14" s="802" t="s">
        <v>1235</v>
      </c>
      <c r="I14" s="802" t="s">
        <v>1236</v>
      </c>
      <c r="J14" s="689"/>
      <c r="K14" s="689"/>
      <c r="L14" s="689"/>
    </row>
    <row r="15" spans="1:14" ht="39" thickBot="1" x14ac:dyDescent="0.3">
      <c r="A15" s="694" t="s">
        <v>1155</v>
      </c>
      <c r="B15" s="797" t="s">
        <v>1156</v>
      </c>
      <c r="C15" s="696" t="s">
        <v>1157</v>
      </c>
      <c r="D15" s="804" t="s">
        <v>1237</v>
      </c>
      <c r="E15" s="804" t="s">
        <v>1238</v>
      </c>
      <c r="F15" s="804" t="s">
        <v>1239</v>
      </c>
      <c r="G15" s="804" t="s">
        <v>1240</v>
      </c>
      <c r="H15" s="804" t="s">
        <v>1241</v>
      </c>
      <c r="I15" s="804" t="s">
        <v>1242</v>
      </c>
      <c r="J15" s="695" t="s">
        <v>8</v>
      </c>
      <c r="K15" s="694" t="s">
        <v>1155</v>
      </c>
      <c r="L15" s="709"/>
    </row>
    <row r="16" spans="1:14" x14ac:dyDescent="0.25">
      <c r="A16" s="697">
        <v>1</v>
      </c>
      <c r="B16" s="714" t="s">
        <v>1169</v>
      </c>
      <c r="C16" s="698"/>
      <c r="D16" s="700"/>
      <c r="E16" s="689"/>
      <c r="F16" s="689"/>
      <c r="G16" s="689"/>
      <c r="H16" s="689"/>
      <c r="I16" s="689"/>
      <c r="J16" s="689"/>
      <c r="K16" s="697">
        <v>1</v>
      </c>
      <c r="L16" s="709"/>
    </row>
    <row r="17" spans="1:12" x14ac:dyDescent="0.25">
      <c r="A17" s="697">
        <f t="shared" ref="A17:A47" si="0">+A16+1</f>
        <v>2</v>
      </c>
      <c r="B17" s="714" t="s">
        <v>1170</v>
      </c>
      <c r="C17" s="697"/>
      <c r="D17" s="689"/>
      <c r="E17" s="689"/>
      <c r="F17" s="689"/>
      <c r="G17" s="689"/>
      <c r="H17" s="689"/>
      <c r="I17" s="689"/>
      <c r="J17" s="692"/>
      <c r="K17" s="697">
        <f t="shared" ref="K17:K47" si="1">+K16+1</f>
        <v>2</v>
      </c>
      <c r="L17" s="709"/>
    </row>
    <row r="18" spans="1:12" x14ac:dyDescent="0.25">
      <c r="A18" s="697">
        <f t="shared" si="0"/>
        <v>3</v>
      </c>
      <c r="B18" s="714" t="s">
        <v>1171</v>
      </c>
      <c r="C18" s="697">
        <v>190</v>
      </c>
      <c r="D18" s="715"/>
      <c r="E18" s="715"/>
      <c r="F18" s="689">
        <f>+D18*$I$9</f>
        <v>0</v>
      </c>
      <c r="G18" s="689">
        <f>+E18-F18</f>
        <v>0</v>
      </c>
      <c r="H18" s="689">
        <f>IF(+$I$8="No",0,'Order 864-1'!K15)</f>
        <v>0</v>
      </c>
      <c r="I18" s="689">
        <f t="shared" ref="I18:I20" si="2">+G18-H18</f>
        <v>0</v>
      </c>
      <c r="J18" s="692" t="s">
        <v>258</v>
      </c>
      <c r="K18" s="697">
        <f t="shared" si="1"/>
        <v>3</v>
      </c>
      <c r="L18" s="709"/>
    </row>
    <row r="19" spans="1:12" x14ac:dyDescent="0.25">
      <c r="A19" s="697">
        <f t="shared" si="0"/>
        <v>4</v>
      </c>
      <c r="B19" s="714" t="s">
        <v>1172</v>
      </c>
      <c r="C19" s="697">
        <v>190</v>
      </c>
      <c r="D19" s="715"/>
      <c r="E19" s="715"/>
      <c r="F19" s="689">
        <f>+D19*$I$9</f>
        <v>0</v>
      </c>
      <c r="G19" s="689">
        <f>+E19-F19</f>
        <v>0</v>
      </c>
      <c r="H19" s="689">
        <f>IF(+$I$8="No",0,'Order 864-1'!K16)</f>
        <v>0</v>
      </c>
      <c r="I19" s="689">
        <f t="shared" si="2"/>
        <v>0</v>
      </c>
      <c r="J19" s="692" t="s">
        <v>258</v>
      </c>
      <c r="K19" s="697">
        <f t="shared" si="1"/>
        <v>4</v>
      </c>
      <c r="L19" s="709"/>
    </row>
    <row r="20" spans="1:12" x14ac:dyDescent="0.25">
      <c r="A20" s="697">
        <f t="shared" si="0"/>
        <v>5</v>
      </c>
      <c r="B20" s="714" t="s">
        <v>1173</v>
      </c>
      <c r="C20" s="697">
        <v>190</v>
      </c>
      <c r="D20" s="715"/>
      <c r="E20" s="715"/>
      <c r="F20" s="689">
        <f>+D20*$I$9</f>
        <v>0</v>
      </c>
      <c r="G20" s="689">
        <f>+E20-F20</f>
        <v>0</v>
      </c>
      <c r="H20" s="689">
        <f>IF(+$I$8="No",0,'Order 864-1'!K17)</f>
        <v>0</v>
      </c>
      <c r="I20" s="689">
        <f t="shared" si="2"/>
        <v>0</v>
      </c>
      <c r="J20" s="692" t="s">
        <v>258</v>
      </c>
      <c r="K20" s="697">
        <f t="shared" si="1"/>
        <v>5</v>
      </c>
      <c r="L20" s="709"/>
    </row>
    <row r="21" spans="1:12" x14ac:dyDescent="0.25">
      <c r="A21" s="697">
        <f t="shared" si="0"/>
        <v>6</v>
      </c>
      <c r="B21" s="714" t="s">
        <v>1174</v>
      </c>
      <c r="C21" s="697"/>
      <c r="D21" s="715"/>
      <c r="E21" s="715"/>
      <c r="F21" s="689"/>
      <c r="G21" s="689"/>
      <c r="H21" s="689"/>
      <c r="I21" s="689"/>
      <c r="J21" s="692"/>
      <c r="K21" s="697">
        <f t="shared" si="1"/>
        <v>6</v>
      </c>
      <c r="L21" s="709"/>
    </row>
    <row r="22" spans="1:12" x14ac:dyDescent="0.25">
      <c r="A22" s="697">
        <f t="shared" si="0"/>
        <v>7</v>
      </c>
      <c r="B22" s="714" t="s">
        <v>1175</v>
      </c>
      <c r="C22" s="697">
        <v>190</v>
      </c>
      <c r="D22" s="715"/>
      <c r="E22" s="715"/>
      <c r="F22" s="689">
        <f>+D22*$I$9</f>
        <v>0</v>
      </c>
      <c r="G22" s="689">
        <f>+E22-F22</f>
        <v>0</v>
      </c>
      <c r="H22" s="689">
        <f>IF(+$I$8="No",0,'Order 864-1'!K19)</f>
        <v>0</v>
      </c>
      <c r="I22" s="689">
        <f t="shared" ref="I22" si="3">+G22-H22</f>
        <v>0</v>
      </c>
      <c r="J22" s="692" t="s">
        <v>258</v>
      </c>
      <c r="K22" s="697">
        <f t="shared" si="1"/>
        <v>7</v>
      </c>
      <c r="L22" s="709"/>
    </row>
    <row r="23" spans="1:12" x14ac:dyDescent="0.25">
      <c r="A23" s="697">
        <f t="shared" si="0"/>
        <v>8</v>
      </c>
      <c r="B23" s="714" t="s">
        <v>1176</v>
      </c>
      <c r="C23" s="697"/>
      <c r="D23" s="719"/>
      <c r="E23" s="719"/>
      <c r="F23" s="689"/>
      <c r="G23" s="689"/>
      <c r="H23" s="689"/>
      <c r="I23" s="689"/>
      <c r="J23" s="692"/>
      <c r="K23" s="697">
        <f t="shared" si="1"/>
        <v>8</v>
      </c>
      <c r="L23" s="709"/>
    </row>
    <row r="24" spans="1:12" x14ac:dyDescent="0.25">
      <c r="A24" s="697">
        <f t="shared" si="0"/>
        <v>9</v>
      </c>
      <c r="B24" s="714" t="s">
        <v>1177</v>
      </c>
      <c r="C24" s="697">
        <v>283</v>
      </c>
      <c r="D24" s="719"/>
      <c r="E24" s="719"/>
      <c r="F24" s="689">
        <f>+D24*$I$9</f>
        <v>0</v>
      </c>
      <c r="G24" s="689">
        <f>+E24-F24</f>
        <v>0</v>
      </c>
      <c r="H24" s="689">
        <f>IF(+$I$8="No",0,'Order 864-1'!K21)</f>
        <v>0</v>
      </c>
      <c r="I24" s="689">
        <f t="shared" ref="I24:I25" si="4">+G24-H24</f>
        <v>0</v>
      </c>
      <c r="J24" s="692" t="s">
        <v>258</v>
      </c>
      <c r="K24" s="697">
        <f t="shared" si="1"/>
        <v>9</v>
      </c>
      <c r="L24" s="709"/>
    </row>
    <row r="25" spans="1:12" x14ac:dyDescent="0.25">
      <c r="A25" s="697">
        <f t="shared" si="0"/>
        <v>10</v>
      </c>
      <c r="B25" s="714" t="s">
        <v>1178</v>
      </c>
      <c r="C25" s="697">
        <v>283</v>
      </c>
      <c r="D25" s="719"/>
      <c r="E25" s="719"/>
      <c r="F25" s="689">
        <f>+D25*$I$9</f>
        <v>0</v>
      </c>
      <c r="G25" s="689">
        <f>+E25-F25</f>
        <v>0</v>
      </c>
      <c r="H25" s="689">
        <f>IF(+$I$8="No",0,'Order 864-1'!K22)</f>
        <v>0</v>
      </c>
      <c r="I25" s="689">
        <f t="shared" si="4"/>
        <v>0</v>
      </c>
      <c r="J25" s="692" t="s">
        <v>258</v>
      </c>
      <c r="K25" s="697">
        <f t="shared" si="1"/>
        <v>10</v>
      </c>
      <c r="L25" s="709"/>
    </row>
    <row r="26" spans="1:12" x14ac:dyDescent="0.25">
      <c r="A26" s="697">
        <f t="shared" si="0"/>
        <v>11</v>
      </c>
      <c r="B26" s="730"/>
      <c r="C26" s="744"/>
      <c r="D26" s="711"/>
      <c r="E26" s="711"/>
      <c r="F26" s="711"/>
      <c r="G26" s="711"/>
      <c r="H26" s="711"/>
      <c r="I26" s="711"/>
      <c r="J26" s="714"/>
      <c r="K26" s="697">
        <f t="shared" si="1"/>
        <v>11</v>
      </c>
      <c r="L26" s="744"/>
    </row>
    <row r="27" spans="1:12" ht="15.75" thickBot="1" x14ac:dyDescent="0.3">
      <c r="A27" s="697">
        <f t="shared" si="0"/>
        <v>12</v>
      </c>
      <c r="B27" s="730" t="s">
        <v>1179</v>
      </c>
      <c r="C27" s="714"/>
      <c r="D27" s="712">
        <f>SUM(D17:D25)</f>
        <v>0</v>
      </c>
      <c r="E27" s="712">
        <f t="shared" ref="E27:I27" si="5">SUM(E17:E25)</f>
        <v>0</v>
      </c>
      <c r="F27" s="712">
        <f t="shared" si="5"/>
        <v>0</v>
      </c>
      <c r="G27" s="712">
        <f t="shared" si="5"/>
        <v>0</v>
      </c>
      <c r="H27" s="712">
        <f t="shared" si="5"/>
        <v>0</v>
      </c>
      <c r="I27" s="712">
        <f t="shared" si="5"/>
        <v>0</v>
      </c>
      <c r="J27" s="730" t="s">
        <v>1180</v>
      </c>
      <c r="K27" s="697">
        <f t="shared" si="1"/>
        <v>12</v>
      </c>
      <c r="L27" s="744"/>
    </row>
    <row r="28" spans="1:12" ht="15.75" thickTop="1" x14ac:dyDescent="0.25">
      <c r="A28" s="697">
        <f t="shared" si="0"/>
        <v>13</v>
      </c>
      <c r="B28" s="745"/>
      <c r="C28" s="746"/>
      <c r="D28" s="713"/>
      <c r="E28" s="713"/>
      <c r="F28" s="713"/>
      <c r="G28" s="713"/>
      <c r="H28" s="713"/>
      <c r="I28" s="713"/>
      <c r="J28" s="714"/>
      <c r="K28" s="697">
        <f t="shared" si="1"/>
        <v>13</v>
      </c>
      <c r="L28" s="744"/>
    </row>
    <row r="29" spans="1:12" x14ac:dyDescent="0.25">
      <c r="A29" s="697">
        <f t="shared" si="0"/>
        <v>14</v>
      </c>
      <c r="B29" s="714" t="s">
        <v>1181</v>
      </c>
      <c r="C29" s="735"/>
      <c r="D29" s="714"/>
      <c r="E29" s="714"/>
      <c r="F29" s="714"/>
      <c r="G29" s="714"/>
      <c r="H29" s="714"/>
      <c r="I29" s="714"/>
      <c r="J29" s="714"/>
      <c r="K29" s="697">
        <f t="shared" si="1"/>
        <v>14</v>
      </c>
      <c r="L29" s="729"/>
    </row>
    <row r="30" spans="1:12" x14ac:dyDescent="0.25">
      <c r="A30" s="697">
        <f t="shared" si="0"/>
        <v>15</v>
      </c>
      <c r="B30" s="714" t="s">
        <v>1182</v>
      </c>
      <c r="C30" s="729">
        <v>190</v>
      </c>
      <c r="D30" s="719"/>
      <c r="E30" s="719"/>
      <c r="F30" s="714">
        <f>+D30*$I$9</f>
        <v>0</v>
      </c>
      <c r="G30" s="714">
        <f>+E30-F30</f>
        <v>0</v>
      </c>
      <c r="H30" s="714">
        <f>IF(+$I$8="No",0,'Order 864-1'!K27)</f>
        <v>0</v>
      </c>
      <c r="I30" s="714">
        <f>+G30-H30</f>
        <v>0</v>
      </c>
      <c r="J30" s="730" t="s">
        <v>258</v>
      </c>
      <c r="K30" s="697">
        <f t="shared" si="1"/>
        <v>15</v>
      </c>
      <c r="L30" s="729"/>
    </row>
    <row r="31" spans="1:12" x14ac:dyDescent="0.25">
      <c r="A31" s="697">
        <f t="shared" si="0"/>
        <v>16</v>
      </c>
      <c r="B31" s="714" t="s">
        <v>1183</v>
      </c>
      <c r="C31" s="729"/>
      <c r="D31" s="719"/>
      <c r="E31" s="719"/>
      <c r="F31" s="714"/>
      <c r="G31" s="714"/>
      <c r="H31" s="714"/>
      <c r="I31" s="714"/>
      <c r="J31" s="730"/>
      <c r="K31" s="697">
        <f t="shared" si="1"/>
        <v>16</v>
      </c>
      <c r="L31" s="729"/>
    </row>
    <row r="32" spans="1:12" x14ac:dyDescent="0.25">
      <c r="A32" s="697">
        <f t="shared" si="0"/>
        <v>17</v>
      </c>
      <c r="B32" s="714" t="s">
        <v>1184</v>
      </c>
      <c r="C32" s="729">
        <v>282</v>
      </c>
      <c r="D32" s="719"/>
      <c r="E32" s="719"/>
      <c r="F32" s="714">
        <f t="shared" ref="F32:F33" si="6">+D32*$I$9</f>
        <v>0</v>
      </c>
      <c r="G32" s="714">
        <f t="shared" ref="G32:G33" si="7">+E32-F32</f>
        <v>0</v>
      </c>
      <c r="H32" s="714">
        <f>IF(+$I$8="No",0,'Order 864-1'!K29)</f>
        <v>0</v>
      </c>
      <c r="I32" s="714">
        <f t="shared" ref="I32:I33" si="8">+G32-H32</f>
        <v>0</v>
      </c>
      <c r="J32" s="730" t="s">
        <v>258</v>
      </c>
      <c r="K32" s="697">
        <f t="shared" si="1"/>
        <v>17</v>
      </c>
      <c r="L32" s="729"/>
    </row>
    <row r="33" spans="1:12" x14ac:dyDescent="0.25">
      <c r="A33" s="697">
        <f t="shared" si="0"/>
        <v>18</v>
      </c>
      <c r="B33" s="714" t="s">
        <v>1185</v>
      </c>
      <c r="C33" s="729">
        <v>282</v>
      </c>
      <c r="D33" s="719"/>
      <c r="E33" s="719"/>
      <c r="F33" s="714">
        <f t="shared" si="6"/>
        <v>0</v>
      </c>
      <c r="G33" s="714">
        <f t="shared" si="7"/>
        <v>0</v>
      </c>
      <c r="H33" s="714">
        <f>IF(+$I$8="No",0,'Order 864-1'!K30)</f>
        <v>0</v>
      </c>
      <c r="I33" s="714">
        <f t="shared" si="8"/>
        <v>0</v>
      </c>
      <c r="J33" s="730" t="s">
        <v>258</v>
      </c>
      <c r="K33" s="697">
        <f t="shared" si="1"/>
        <v>18</v>
      </c>
      <c r="L33" s="729"/>
    </row>
    <row r="34" spans="1:12" x14ac:dyDescent="0.25">
      <c r="A34" s="697">
        <f t="shared" si="0"/>
        <v>19</v>
      </c>
      <c r="B34" s="730" t="s">
        <v>1186</v>
      </c>
      <c r="C34" s="731"/>
      <c r="D34" s="722">
        <f t="shared" ref="D34:I34" si="9">SUM(D30:D33)</f>
        <v>0</v>
      </c>
      <c r="E34" s="722">
        <f t="shared" si="9"/>
        <v>0</v>
      </c>
      <c r="F34" s="722">
        <f t="shared" si="9"/>
        <v>0</v>
      </c>
      <c r="G34" s="722">
        <f t="shared" si="9"/>
        <v>0</v>
      </c>
      <c r="H34" s="722">
        <f t="shared" si="9"/>
        <v>0</v>
      </c>
      <c r="I34" s="722">
        <f t="shared" si="9"/>
        <v>0</v>
      </c>
      <c r="J34" s="730" t="s">
        <v>1187</v>
      </c>
      <c r="K34" s="697">
        <f t="shared" si="1"/>
        <v>19</v>
      </c>
      <c r="L34" s="729"/>
    </row>
    <row r="35" spans="1:12" x14ac:dyDescent="0.25">
      <c r="A35" s="697">
        <f t="shared" si="0"/>
        <v>20</v>
      </c>
      <c r="B35" s="714"/>
      <c r="C35" s="731"/>
      <c r="D35" s="714"/>
      <c r="E35" s="714"/>
      <c r="F35" s="714"/>
      <c r="G35" s="714"/>
      <c r="H35" s="714"/>
      <c r="I35" s="714"/>
      <c r="J35" s="714"/>
      <c r="K35" s="697">
        <f t="shared" si="1"/>
        <v>20</v>
      </c>
      <c r="L35" s="729"/>
    </row>
    <row r="36" spans="1:12" x14ac:dyDescent="0.25">
      <c r="A36" s="697">
        <f t="shared" si="0"/>
        <v>21</v>
      </c>
      <c r="B36" s="714" t="s">
        <v>1188</v>
      </c>
      <c r="C36" s="736"/>
      <c r="D36" s="714"/>
      <c r="E36" s="714"/>
      <c r="F36" s="714"/>
      <c r="G36" s="714"/>
      <c r="H36" s="714"/>
      <c r="I36" s="714"/>
      <c r="J36" s="714"/>
      <c r="K36" s="697">
        <f t="shared" si="1"/>
        <v>21</v>
      </c>
      <c r="L36" s="729"/>
    </row>
    <row r="37" spans="1:12" x14ac:dyDescent="0.25">
      <c r="A37" s="697">
        <f t="shared" si="0"/>
        <v>22</v>
      </c>
      <c r="B37" s="714" t="s">
        <v>1189</v>
      </c>
      <c r="C37" s="729">
        <v>282</v>
      </c>
      <c r="D37" s="719"/>
      <c r="E37" s="719"/>
      <c r="F37" s="714">
        <f t="shared" ref="F37:F39" si="10">+D37*$I$9</f>
        <v>0</v>
      </c>
      <c r="G37" s="714">
        <f t="shared" ref="G37:G39" si="11">+E37-F37</f>
        <v>0</v>
      </c>
      <c r="H37" s="714">
        <f>IF(+$I$8="No",0,'Order 864-1'!K34)</f>
        <v>0</v>
      </c>
      <c r="I37" s="714">
        <f t="shared" ref="I37:I39" si="12">+G37-H37</f>
        <v>0</v>
      </c>
      <c r="J37" s="730" t="s">
        <v>258</v>
      </c>
      <c r="K37" s="697">
        <f t="shared" si="1"/>
        <v>22</v>
      </c>
      <c r="L37" s="729"/>
    </row>
    <row r="38" spans="1:12" x14ac:dyDescent="0.25">
      <c r="A38" s="697">
        <f t="shared" si="0"/>
        <v>23</v>
      </c>
      <c r="B38" s="714" t="s">
        <v>1190</v>
      </c>
      <c r="C38" s="729">
        <v>282</v>
      </c>
      <c r="D38" s="719"/>
      <c r="E38" s="719"/>
      <c r="F38" s="714">
        <f t="shared" si="10"/>
        <v>0</v>
      </c>
      <c r="G38" s="714">
        <f t="shared" si="11"/>
        <v>0</v>
      </c>
      <c r="H38" s="714">
        <f>IF(+$I$8="No",0,'Order 864-1'!K35)</f>
        <v>0</v>
      </c>
      <c r="I38" s="714">
        <f t="shared" si="12"/>
        <v>0</v>
      </c>
      <c r="J38" s="730" t="s">
        <v>258</v>
      </c>
      <c r="K38" s="697">
        <f t="shared" si="1"/>
        <v>23</v>
      </c>
      <c r="L38" s="729"/>
    </row>
    <row r="39" spans="1:12" x14ac:dyDescent="0.25">
      <c r="A39" s="697">
        <f t="shared" si="0"/>
        <v>24</v>
      </c>
      <c r="B39" s="714" t="s">
        <v>1191</v>
      </c>
      <c r="C39" s="737">
        <v>282</v>
      </c>
      <c r="D39" s="719"/>
      <c r="E39" s="719"/>
      <c r="F39" s="714">
        <f t="shared" si="10"/>
        <v>0</v>
      </c>
      <c r="G39" s="714">
        <f t="shared" si="11"/>
        <v>0</v>
      </c>
      <c r="H39" s="714">
        <f>IF(+$I$8="No",0,'Order 864-1'!K36)</f>
        <v>0</v>
      </c>
      <c r="I39" s="714">
        <f t="shared" si="12"/>
        <v>0</v>
      </c>
      <c r="J39" s="730" t="s">
        <v>258</v>
      </c>
      <c r="K39" s="697">
        <f t="shared" si="1"/>
        <v>24</v>
      </c>
      <c r="L39" s="729"/>
    </row>
    <row r="40" spans="1:12" x14ac:dyDescent="0.25">
      <c r="A40" s="697">
        <f t="shared" si="0"/>
        <v>25</v>
      </c>
      <c r="B40" s="730" t="s">
        <v>1186</v>
      </c>
      <c r="C40" s="731"/>
      <c r="D40" s="722">
        <f t="shared" ref="D40:I40" si="13">SUM(D37:D39)</f>
        <v>0</v>
      </c>
      <c r="E40" s="722">
        <f t="shared" si="13"/>
        <v>0</v>
      </c>
      <c r="F40" s="722">
        <f t="shared" si="13"/>
        <v>0</v>
      </c>
      <c r="G40" s="722">
        <f t="shared" si="13"/>
        <v>0</v>
      </c>
      <c r="H40" s="722">
        <f t="shared" si="13"/>
        <v>0</v>
      </c>
      <c r="I40" s="722">
        <f t="shared" si="13"/>
        <v>0</v>
      </c>
      <c r="J40" s="730" t="s">
        <v>1192</v>
      </c>
      <c r="K40" s="697">
        <f t="shared" si="1"/>
        <v>25</v>
      </c>
      <c r="L40" s="729"/>
    </row>
    <row r="41" spans="1:12" x14ac:dyDescent="0.25">
      <c r="A41" s="697">
        <f t="shared" si="0"/>
        <v>26</v>
      </c>
      <c r="B41" s="714"/>
      <c r="C41" s="731"/>
      <c r="D41" s="738"/>
      <c r="E41" s="732"/>
      <c r="F41" s="738"/>
      <c r="G41" s="738"/>
      <c r="H41" s="738"/>
      <c r="I41" s="738"/>
      <c r="J41" s="714"/>
      <c r="K41" s="697">
        <f t="shared" si="1"/>
        <v>26</v>
      </c>
      <c r="L41" s="729"/>
    </row>
    <row r="42" spans="1:12" x14ac:dyDescent="0.25">
      <c r="A42" s="697">
        <f t="shared" si="0"/>
        <v>27</v>
      </c>
      <c r="B42" s="714" t="s">
        <v>1188</v>
      </c>
      <c r="C42" s="731"/>
      <c r="D42" s="731"/>
      <c r="E42" s="734"/>
      <c r="F42" s="731"/>
      <c r="G42" s="731"/>
      <c r="H42" s="731"/>
      <c r="I42" s="731"/>
      <c r="J42" s="714"/>
      <c r="K42" s="697">
        <f t="shared" si="1"/>
        <v>27</v>
      </c>
      <c r="L42" s="729"/>
    </row>
    <row r="43" spans="1:12" x14ac:dyDescent="0.25">
      <c r="A43" s="697">
        <f t="shared" si="0"/>
        <v>28</v>
      </c>
      <c r="B43" s="714" t="s">
        <v>1193</v>
      </c>
      <c r="C43" s="737">
        <v>282</v>
      </c>
      <c r="D43" s="747"/>
      <c r="E43" s="747"/>
      <c r="F43" s="748">
        <f>+D43*$I$9</f>
        <v>0</v>
      </c>
      <c r="G43" s="748">
        <f>+E43-F43</f>
        <v>0</v>
      </c>
      <c r="H43" s="748">
        <f>IF(+$I$8="No",0,'Order 864-1'!K40)</f>
        <v>0</v>
      </c>
      <c r="I43" s="748">
        <f>+G43-H43</f>
        <v>0</v>
      </c>
      <c r="J43" s="730" t="s">
        <v>258</v>
      </c>
      <c r="K43" s="697">
        <f t="shared" si="1"/>
        <v>28</v>
      </c>
      <c r="L43" s="729"/>
    </row>
    <row r="44" spans="1:12" x14ac:dyDescent="0.25">
      <c r="A44" s="697">
        <f t="shared" si="0"/>
        <v>29</v>
      </c>
      <c r="B44" s="714"/>
      <c r="C44" s="731"/>
      <c r="D44" s="738"/>
      <c r="E44" s="738"/>
      <c r="F44" s="738"/>
      <c r="G44" s="738"/>
      <c r="H44" s="738"/>
      <c r="I44" s="738"/>
      <c r="J44" s="714"/>
      <c r="K44" s="697">
        <f t="shared" si="1"/>
        <v>29</v>
      </c>
      <c r="L44" s="729"/>
    </row>
    <row r="45" spans="1:12" ht="15.75" thickBot="1" x14ac:dyDescent="0.3">
      <c r="A45" s="697">
        <f t="shared" si="0"/>
        <v>30</v>
      </c>
      <c r="B45" s="730" t="s">
        <v>1194</v>
      </c>
      <c r="C45" s="731"/>
      <c r="D45" s="712">
        <f t="shared" ref="D45:I45" si="14">+D43+D40+D34</f>
        <v>0</v>
      </c>
      <c r="E45" s="712">
        <f t="shared" si="14"/>
        <v>0</v>
      </c>
      <c r="F45" s="712">
        <f t="shared" si="14"/>
        <v>0</v>
      </c>
      <c r="G45" s="712">
        <f t="shared" si="14"/>
        <v>0</v>
      </c>
      <c r="H45" s="712">
        <f t="shared" si="14"/>
        <v>0</v>
      </c>
      <c r="I45" s="712">
        <f t="shared" si="14"/>
        <v>0</v>
      </c>
      <c r="J45" s="798" t="s">
        <v>1195</v>
      </c>
      <c r="K45" s="697">
        <f t="shared" si="1"/>
        <v>30</v>
      </c>
      <c r="L45" s="729"/>
    </row>
    <row r="46" spans="1:12" ht="15.75" thickTop="1" x14ac:dyDescent="0.25">
      <c r="A46" s="697">
        <f t="shared" si="0"/>
        <v>31</v>
      </c>
      <c r="B46" s="714"/>
      <c r="C46" s="731"/>
      <c r="D46" s="739"/>
      <c r="E46" s="739"/>
      <c r="F46" s="739"/>
      <c r="G46" s="739"/>
      <c r="H46" s="739"/>
      <c r="I46" s="739"/>
      <c r="J46" s="714"/>
      <c r="K46" s="697">
        <f t="shared" si="1"/>
        <v>31</v>
      </c>
      <c r="L46" s="729"/>
    </row>
    <row r="47" spans="1:12" ht="15.75" thickBot="1" x14ac:dyDescent="0.3">
      <c r="A47" s="697">
        <f t="shared" si="0"/>
        <v>32</v>
      </c>
      <c r="B47" s="730" t="s">
        <v>1196</v>
      </c>
      <c r="C47" s="714"/>
      <c r="D47" s="712">
        <f t="shared" ref="D47:I47" si="15">D45+D27</f>
        <v>0</v>
      </c>
      <c r="E47" s="712">
        <f t="shared" si="15"/>
        <v>0</v>
      </c>
      <c r="F47" s="712">
        <f t="shared" si="15"/>
        <v>0</v>
      </c>
      <c r="G47" s="712">
        <f t="shared" si="15"/>
        <v>0</v>
      </c>
      <c r="H47" s="712">
        <f t="shared" si="15"/>
        <v>0</v>
      </c>
      <c r="I47" s="712">
        <f t="shared" si="15"/>
        <v>0</v>
      </c>
      <c r="J47" s="730" t="s">
        <v>1197</v>
      </c>
      <c r="K47" s="697">
        <f t="shared" si="1"/>
        <v>32</v>
      </c>
      <c r="L47" s="729"/>
    </row>
    <row r="48" spans="1:12" ht="15.75" thickTop="1" x14ac:dyDescent="0.25">
      <c r="A48" s="729"/>
      <c r="B48" s="714"/>
      <c r="C48" s="714"/>
      <c r="D48" s="714"/>
      <c r="E48" s="714"/>
      <c r="F48" s="714"/>
      <c r="G48" s="714"/>
      <c r="H48" s="714"/>
      <c r="I48" s="714"/>
      <c r="J48" s="714"/>
      <c r="K48" s="714"/>
      <c r="L48" s="714"/>
    </row>
    <row r="49" spans="1:12" x14ac:dyDescent="0.25">
      <c r="A49" s="729"/>
      <c r="B49" s="701" t="s">
        <v>1243</v>
      </c>
      <c r="C49" s="714"/>
      <c r="D49" s="714"/>
      <c r="E49" s="714"/>
      <c r="F49" s="714"/>
      <c r="G49" s="714"/>
      <c r="H49" s="714"/>
      <c r="I49" s="714"/>
      <c r="J49" s="714"/>
      <c r="K49" s="714"/>
      <c r="L49" s="714"/>
    </row>
    <row r="50" spans="1:12" ht="16.5" x14ac:dyDescent="0.35">
      <c r="A50" s="729"/>
      <c r="B50" s="742" t="s">
        <v>1244</v>
      </c>
      <c r="C50" s="714"/>
      <c r="D50" s="714"/>
      <c r="E50" s="714"/>
      <c r="F50" s="714"/>
      <c r="G50" s="714"/>
      <c r="H50" s="714"/>
      <c r="I50" s="714"/>
      <c r="J50" s="714"/>
      <c r="K50" s="714"/>
      <c r="L50" s="714"/>
    </row>
    <row r="51" spans="1:12" x14ac:dyDescent="0.25">
      <c r="A51" s="729"/>
      <c r="B51" s="742" t="s">
        <v>1245</v>
      </c>
      <c r="C51" s="714"/>
      <c r="D51" s="714"/>
      <c r="E51" s="714"/>
      <c r="F51" s="714"/>
      <c r="G51" s="714"/>
      <c r="H51" s="714"/>
      <c r="I51" s="714"/>
      <c r="J51" s="714"/>
      <c r="K51" s="714"/>
      <c r="L51" s="714"/>
    </row>
    <row r="52" spans="1:12" x14ac:dyDescent="0.25">
      <c r="A52" s="729"/>
      <c r="B52" s="701" t="s">
        <v>1198</v>
      </c>
      <c r="C52" s="740"/>
      <c r="D52" s="714"/>
      <c r="E52" s="714"/>
      <c r="F52" s="714"/>
      <c r="G52" s="714"/>
      <c r="H52" s="714"/>
      <c r="I52" s="714"/>
      <c r="J52" s="714"/>
      <c r="K52" s="714"/>
      <c r="L52" s="714"/>
    </row>
    <row r="53" spans="1:12" x14ac:dyDescent="0.25">
      <c r="A53" s="729"/>
      <c r="B53" s="812" t="s">
        <v>1199</v>
      </c>
      <c r="C53" s="741"/>
      <c r="D53" s="741"/>
      <c r="E53" s="741"/>
      <c r="F53" s="714"/>
      <c r="G53" s="714"/>
      <c r="H53" s="714"/>
      <c r="I53" s="714"/>
      <c r="J53" s="714"/>
      <c r="K53" s="714"/>
      <c r="L53" s="714"/>
    </row>
    <row r="54" spans="1:12" x14ac:dyDescent="0.25">
      <c r="A54" s="741"/>
      <c r="B54" s="812" t="s">
        <v>1517</v>
      </c>
      <c r="C54" s="741"/>
      <c r="D54" s="741"/>
      <c r="E54" s="741"/>
      <c r="F54" s="741"/>
      <c r="G54" s="741"/>
      <c r="H54" s="741"/>
      <c r="I54" s="741"/>
      <c r="J54" s="714"/>
      <c r="K54" s="714"/>
      <c r="L54" s="714"/>
    </row>
    <row r="55" spans="1:12" x14ac:dyDescent="0.25">
      <c r="A55" s="741"/>
      <c r="B55" s="812" t="s">
        <v>1200</v>
      </c>
      <c r="C55" s="741"/>
      <c r="D55" s="741"/>
      <c r="E55" s="741"/>
      <c r="F55" s="741"/>
      <c r="G55" s="741"/>
      <c r="H55" s="741"/>
      <c r="I55" s="741"/>
      <c r="J55" s="714"/>
      <c r="K55" s="714"/>
      <c r="L55" s="714"/>
    </row>
    <row r="56" spans="1:12" x14ac:dyDescent="0.25">
      <c r="A56" s="741"/>
      <c r="B56" s="812" t="s">
        <v>1201</v>
      </c>
      <c r="C56" s="741"/>
      <c r="D56" s="741"/>
      <c r="E56" s="741"/>
      <c r="F56" s="741"/>
      <c r="G56" s="741"/>
      <c r="H56" s="741"/>
      <c r="I56" s="741"/>
      <c r="J56" s="714"/>
      <c r="K56" s="714"/>
      <c r="L56" s="714"/>
    </row>
    <row r="57" spans="1:12" x14ac:dyDescent="0.25">
      <c r="A57" s="741"/>
      <c r="B57" s="812" t="s">
        <v>1202</v>
      </c>
      <c r="C57" s="741"/>
      <c r="D57" s="741"/>
      <c r="E57" s="741"/>
      <c r="F57" s="741"/>
      <c r="G57" s="741"/>
      <c r="H57" s="741"/>
      <c r="I57" s="741"/>
      <c r="J57" s="714"/>
      <c r="K57" s="714"/>
      <c r="L57" s="714"/>
    </row>
    <row r="58" spans="1:12" x14ac:dyDescent="0.25">
      <c r="A58" s="749"/>
      <c r="B58" s="812" t="s">
        <v>1203</v>
      </c>
      <c r="C58" s="749"/>
      <c r="D58" s="749"/>
      <c r="E58" s="749"/>
      <c r="F58" s="749"/>
      <c r="G58" s="749"/>
      <c r="H58" s="749"/>
      <c r="I58" s="749"/>
      <c r="J58" s="714"/>
      <c r="K58" s="714"/>
      <c r="L58" s="714"/>
    </row>
    <row r="59" spans="1:12" x14ac:dyDescent="0.25">
      <c r="A59" s="729"/>
      <c r="B59" s="812" t="s">
        <v>1204</v>
      </c>
      <c r="C59" s="714"/>
      <c r="D59" s="714"/>
      <c r="E59" s="714"/>
      <c r="F59" s="714"/>
      <c r="G59" s="750"/>
      <c r="H59" s="750"/>
      <c r="I59" s="750"/>
      <c r="J59" s="731"/>
      <c r="K59" s="731"/>
      <c r="L59" s="731"/>
    </row>
    <row r="60" spans="1:12" x14ac:dyDescent="0.25">
      <c r="A60" s="729"/>
      <c r="B60" s="812" t="s">
        <v>1205</v>
      </c>
      <c r="C60" s="714"/>
      <c r="D60" s="714"/>
      <c r="E60" s="714"/>
      <c r="F60" s="714"/>
      <c r="G60" s="750"/>
      <c r="H60" s="750"/>
      <c r="I60" s="750"/>
      <c r="J60" s="731"/>
      <c r="K60" s="731"/>
      <c r="L60" s="731"/>
    </row>
    <row r="61" spans="1:12" x14ac:dyDescent="0.25">
      <c r="A61" s="729"/>
      <c r="B61" s="812" t="s">
        <v>1206</v>
      </c>
      <c r="C61" s="751"/>
      <c r="D61" s="752"/>
      <c r="E61" s="714"/>
      <c r="F61" s="714"/>
      <c r="G61" s="750"/>
      <c r="H61" s="750"/>
      <c r="I61" s="750"/>
      <c r="J61" s="731"/>
      <c r="K61" s="731"/>
      <c r="L61" s="731"/>
    </row>
    <row r="62" spans="1:12" x14ac:dyDescent="0.25">
      <c r="A62" s="697"/>
      <c r="B62" s="742"/>
      <c r="C62" s="714"/>
      <c r="D62" s="714"/>
      <c r="E62" s="714"/>
      <c r="F62" s="714"/>
      <c r="G62" s="750"/>
      <c r="H62" s="750"/>
      <c r="I62" s="750"/>
      <c r="J62" s="731"/>
      <c r="K62" s="731"/>
      <c r="L62" s="731"/>
    </row>
    <row r="63" spans="1:12" x14ac:dyDescent="0.25">
      <c r="A63" s="697"/>
      <c r="B63" s="699"/>
      <c r="C63" s="703"/>
      <c r="D63" s="691"/>
      <c r="E63" s="689"/>
      <c r="F63" s="689"/>
      <c r="J63" s="710"/>
      <c r="K63" s="710"/>
      <c r="L63" s="710"/>
    </row>
    <row r="64" spans="1:12" x14ac:dyDescent="0.25">
      <c r="A64" s="697"/>
      <c r="B64" s="699"/>
      <c r="C64" s="703"/>
      <c r="D64" s="704"/>
      <c r="E64" s="689"/>
      <c r="F64" s="689"/>
      <c r="J64" s="710"/>
      <c r="K64" s="710"/>
      <c r="L64" s="710"/>
    </row>
    <row r="65" spans="1:12" x14ac:dyDescent="0.25">
      <c r="A65" s="697"/>
      <c r="B65" s="702"/>
      <c r="C65" s="699"/>
      <c r="D65" s="699"/>
      <c r="E65" s="699"/>
      <c r="F65" s="699"/>
      <c r="J65" s="710"/>
      <c r="K65" s="710"/>
      <c r="L65" s="710"/>
    </row>
    <row r="66" spans="1:12" x14ac:dyDescent="0.25">
      <c r="A66" s="699"/>
      <c r="B66" s="699"/>
      <c r="C66" s="703"/>
      <c r="D66" s="691"/>
      <c r="E66" s="699"/>
      <c r="F66" s="699"/>
      <c r="J66" s="710"/>
      <c r="K66" s="710"/>
      <c r="L66" s="710"/>
    </row>
    <row r="67" spans="1:12" x14ac:dyDescent="0.25">
      <c r="A67" s="699"/>
      <c r="B67" s="699"/>
      <c r="C67" s="703"/>
      <c r="D67" s="704"/>
      <c r="E67" s="699"/>
      <c r="F67" s="699"/>
      <c r="J67" s="710"/>
      <c r="K67" s="710"/>
      <c r="L67" s="710"/>
    </row>
    <row r="68" spans="1:12" x14ac:dyDescent="0.25">
      <c r="A68" s="699"/>
      <c r="B68" s="702"/>
      <c r="C68" s="699"/>
      <c r="D68" s="699"/>
      <c r="E68" s="699"/>
      <c r="F68" s="699"/>
      <c r="J68" s="710"/>
      <c r="K68" s="710"/>
      <c r="L68" s="710"/>
    </row>
    <row r="69" spans="1:12" x14ac:dyDescent="0.25">
      <c r="J69" s="710"/>
      <c r="K69" s="710"/>
      <c r="L69" s="710"/>
    </row>
    <row r="70" spans="1:12" x14ac:dyDescent="0.25">
      <c r="J70" s="710"/>
      <c r="K70" s="710"/>
      <c r="L70" s="710"/>
    </row>
    <row r="71" spans="1:12" x14ac:dyDescent="0.25">
      <c r="J71" s="710"/>
      <c r="K71" s="710"/>
      <c r="L71" s="710"/>
    </row>
    <row r="72" spans="1:12" x14ac:dyDescent="0.25">
      <c r="J72" s="710"/>
      <c r="K72" s="710"/>
      <c r="L72" s="710"/>
    </row>
    <row r="73" spans="1:12" x14ac:dyDescent="0.25">
      <c r="J73" s="710"/>
      <c r="K73" s="710"/>
      <c r="L73" s="710"/>
    </row>
    <row r="74" spans="1:12" x14ac:dyDescent="0.25">
      <c r="J74" s="710"/>
      <c r="K74" s="710"/>
      <c r="L74" s="710"/>
    </row>
    <row r="75" spans="1:12" x14ac:dyDescent="0.25">
      <c r="J75" s="710"/>
      <c r="K75" s="710"/>
      <c r="L75" s="710"/>
    </row>
    <row r="76" spans="1:12" x14ac:dyDescent="0.25">
      <c r="J76" s="710"/>
      <c r="K76" s="710"/>
      <c r="L76" s="710"/>
    </row>
    <row r="77" spans="1:12" x14ac:dyDescent="0.25">
      <c r="J77" s="710"/>
      <c r="K77" s="710"/>
      <c r="L77" s="710"/>
    </row>
    <row r="78" spans="1:12" x14ac:dyDescent="0.25">
      <c r="J78" s="710"/>
      <c r="K78" s="710"/>
      <c r="L78" s="710"/>
    </row>
    <row r="79" spans="1:12" x14ac:dyDescent="0.25">
      <c r="J79" s="710"/>
      <c r="K79" s="710"/>
      <c r="L79" s="710"/>
    </row>
    <row r="80" spans="1:12" x14ac:dyDescent="0.25">
      <c r="J80" s="710"/>
      <c r="K80" s="710"/>
      <c r="L80" s="710"/>
    </row>
    <row r="81" spans="10:12" x14ac:dyDescent="0.25">
      <c r="J81" s="710"/>
      <c r="K81" s="710"/>
      <c r="L81" s="710"/>
    </row>
    <row r="82" spans="10:12" x14ac:dyDescent="0.25">
      <c r="J82" s="710"/>
      <c r="K82" s="710"/>
      <c r="L82" s="710"/>
    </row>
    <row r="83" spans="10:12" x14ac:dyDescent="0.25">
      <c r="J83" s="710"/>
      <c r="K83" s="710"/>
      <c r="L83" s="710"/>
    </row>
    <row r="84" spans="10:12" x14ac:dyDescent="0.25">
      <c r="J84" s="710"/>
      <c r="K84" s="710"/>
      <c r="L84" s="710"/>
    </row>
    <row r="85" spans="10:12" x14ac:dyDescent="0.25">
      <c r="J85" s="710"/>
      <c r="K85" s="710"/>
      <c r="L85" s="710"/>
    </row>
    <row r="86" spans="10:12" x14ac:dyDescent="0.25">
      <c r="J86" s="710"/>
      <c r="K86" s="710"/>
      <c r="L86" s="710"/>
    </row>
    <row r="87" spans="10:12" x14ac:dyDescent="0.25">
      <c r="J87" s="710"/>
      <c r="K87" s="710"/>
      <c r="L87" s="710"/>
    </row>
    <row r="88" spans="10:12" x14ac:dyDescent="0.25">
      <c r="J88" s="710"/>
      <c r="K88" s="710"/>
      <c r="L88" s="710"/>
    </row>
    <row r="89" spans="10:12" x14ac:dyDescent="0.25">
      <c r="J89" s="710"/>
      <c r="K89" s="710"/>
      <c r="L89" s="710"/>
    </row>
    <row r="90" spans="10:12" x14ac:dyDescent="0.25">
      <c r="J90" s="710"/>
      <c r="K90" s="710"/>
      <c r="L90" s="710"/>
    </row>
    <row r="91" spans="10:12" x14ac:dyDescent="0.25">
      <c r="J91" s="710"/>
      <c r="K91" s="710"/>
      <c r="L91" s="710"/>
    </row>
    <row r="92" spans="10:12" x14ac:dyDescent="0.25">
      <c r="J92" s="710"/>
      <c r="K92" s="710"/>
      <c r="L92" s="710"/>
    </row>
    <row r="93" spans="10:12" x14ac:dyDescent="0.25">
      <c r="J93" s="710"/>
      <c r="K93" s="710"/>
      <c r="L93" s="710"/>
    </row>
    <row r="94" spans="10:12" x14ac:dyDescent="0.25">
      <c r="J94" s="710"/>
      <c r="K94" s="710"/>
      <c r="L94" s="710"/>
    </row>
    <row r="95" spans="10:12" x14ac:dyDescent="0.25">
      <c r="J95" s="710"/>
      <c r="K95" s="710"/>
      <c r="L95" s="710"/>
    </row>
    <row r="96" spans="10:12" x14ac:dyDescent="0.25">
      <c r="J96" s="710"/>
      <c r="K96" s="710"/>
      <c r="L96" s="710"/>
    </row>
    <row r="97" spans="10:12" x14ac:dyDescent="0.25">
      <c r="J97" s="710"/>
      <c r="K97" s="710"/>
      <c r="L97" s="710"/>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Normal="100" workbookViewId="0"/>
  </sheetViews>
  <sheetFormatPr defaultColWidth="14.5703125" defaultRowHeight="15" x14ac:dyDescent="0.25"/>
  <cols>
    <col min="1" max="1" width="5.7109375" style="750" customWidth="1"/>
    <col min="2" max="2" width="49" style="750" customWidth="1"/>
    <col min="3" max="3" width="8.7109375" style="750" customWidth="1"/>
    <col min="4" max="9" width="15.7109375" style="750" customWidth="1"/>
    <col min="10" max="10" width="16.42578125" style="750" customWidth="1"/>
    <col min="11" max="11" width="17.28515625" style="750" customWidth="1"/>
    <col min="12" max="12" width="18.7109375" style="750" customWidth="1"/>
    <col min="13" max="13" width="15.7109375" style="750" customWidth="1"/>
    <col min="14" max="14" width="17.28515625" style="750" customWidth="1"/>
    <col min="15" max="15" width="30.5703125" style="750" customWidth="1"/>
    <col min="16" max="16" width="5.7109375" style="750" customWidth="1"/>
    <col min="17" max="16384" width="14.5703125" style="750"/>
  </cols>
  <sheetData>
    <row r="1" spans="1:17" ht="15.75" x14ac:dyDescent="0.25">
      <c r="A1" s="753"/>
      <c r="B1" s="754" t="s">
        <v>0</v>
      </c>
      <c r="C1" s="755"/>
      <c r="D1" s="755"/>
      <c r="E1" s="755"/>
      <c r="F1" s="755"/>
      <c r="G1" s="755"/>
      <c r="H1" s="755"/>
      <c r="I1" s="755"/>
      <c r="J1" s="755"/>
      <c r="K1" s="755"/>
      <c r="L1" s="755"/>
      <c r="M1" s="755"/>
      <c r="N1" s="755"/>
      <c r="O1" s="755"/>
    </row>
    <row r="2" spans="1:17" x14ac:dyDescent="0.25">
      <c r="A2" s="756"/>
      <c r="B2" s="754" t="s">
        <v>1246</v>
      </c>
      <c r="C2" s="755"/>
      <c r="D2" s="755"/>
      <c r="E2" s="755"/>
      <c r="F2" s="755"/>
      <c r="G2" s="755"/>
      <c r="H2" s="755"/>
      <c r="I2" s="755"/>
      <c r="J2" s="755"/>
      <c r="K2" s="755"/>
      <c r="L2" s="755"/>
      <c r="M2" s="755"/>
      <c r="N2" s="755"/>
      <c r="O2" s="755"/>
    </row>
    <row r="3" spans="1:17" x14ac:dyDescent="0.25">
      <c r="A3" s="756"/>
      <c r="B3" s="725" t="s">
        <v>1137</v>
      </c>
      <c r="C3" s="755"/>
      <c r="D3" s="755"/>
      <c r="E3" s="755"/>
      <c r="F3" s="755"/>
      <c r="G3" s="755"/>
      <c r="H3" s="755"/>
      <c r="I3" s="755"/>
      <c r="J3" s="755"/>
      <c r="K3" s="755"/>
      <c r="L3" s="755"/>
      <c r="M3" s="755"/>
      <c r="N3" s="755"/>
      <c r="O3" s="755"/>
    </row>
    <row r="4" spans="1:17" x14ac:dyDescent="0.25">
      <c r="A4" s="757"/>
      <c r="B4" s="758" t="s">
        <v>1482</v>
      </c>
      <c r="C4" s="759"/>
      <c r="D4" s="759"/>
      <c r="E4" s="759"/>
      <c r="F4" s="759"/>
      <c r="G4" s="759"/>
      <c r="H4" s="759"/>
      <c r="I4" s="759"/>
      <c r="J4" s="759"/>
      <c r="K4" s="759"/>
      <c r="L4" s="759"/>
      <c r="M4" s="759"/>
      <c r="N4" s="759"/>
      <c r="O4" s="760"/>
      <c r="P4" s="761"/>
      <c r="Q4" s="761"/>
    </row>
    <row r="5" spans="1:17" x14ac:dyDescent="0.25">
      <c r="A5" s="757"/>
      <c r="B5" s="1327" t="s">
        <v>4</v>
      </c>
      <c r="C5" s="1327"/>
      <c r="D5" s="1327"/>
      <c r="E5" s="1327"/>
      <c r="F5" s="1327"/>
      <c r="G5" s="1327"/>
      <c r="H5" s="1327"/>
      <c r="I5" s="1327"/>
      <c r="J5" s="1327"/>
      <c r="K5" s="1327"/>
      <c r="L5" s="1327"/>
      <c r="M5" s="1327"/>
      <c r="N5" s="1327"/>
      <c r="O5" s="1327"/>
      <c r="P5" s="761"/>
      <c r="Q5" s="761"/>
    </row>
    <row r="6" spans="1:17" x14ac:dyDescent="0.25">
      <c r="A6" s="757"/>
      <c r="B6" s="725"/>
      <c r="C6" s="778"/>
      <c r="D6" s="778"/>
      <c r="E6" s="778"/>
      <c r="F6" s="778"/>
      <c r="G6" s="778"/>
      <c r="H6" s="778"/>
      <c r="I6" s="778"/>
      <c r="J6" s="778"/>
      <c r="K6" s="778"/>
      <c r="L6" s="778"/>
      <c r="M6" s="778"/>
      <c r="N6" s="778"/>
      <c r="O6" s="779"/>
      <c r="P6" s="761"/>
      <c r="Q6" s="761"/>
    </row>
    <row r="7" spans="1:17" x14ac:dyDescent="0.25">
      <c r="A7" s="714"/>
      <c r="B7" s="780"/>
      <c r="C7" s="780"/>
      <c r="D7" s="714"/>
      <c r="E7" s="714"/>
      <c r="F7" s="714"/>
      <c r="G7" s="714"/>
      <c r="H7" s="714"/>
      <c r="I7" s="714"/>
      <c r="J7" s="714"/>
      <c r="K7" s="714"/>
      <c r="L7" s="731"/>
      <c r="M7" s="752" t="s">
        <v>1138</v>
      </c>
      <c r="N7" s="764">
        <v>2023</v>
      </c>
      <c r="O7" s="765"/>
      <c r="P7" s="749"/>
      <c r="Q7" s="749"/>
    </row>
    <row r="8" spans="1:17" x14ac:dyDescent="0.25">
      <c r="A8" s="714"/>
      <c r="B8" s="714"/>
      <c r="C8" s="714"/>
      <c r="D8" s="714"/>
      <c r="E8" s="714"/>
      <c r="F8" s="714"/>
      <c r="G8" s="714"/>
      <c r="H8" s="714"/>
      <c r="I8" s="714"/>
      <c r="J8" s="714"/>
      <c r="K8" s="714"/>
      <c r="L8" s="714"/>
      <c r="M8" s="714"/>
      <c r="N8" s="714"/>
      <c r="O8" s="765"/>
      <c r="P8" s="749"/>
      <c r="Q8" s="749"/>
    </row>
    <row r="9" spans="1:17" x14ac:dyDescent="0.25">
      <c r="A9" s="730"/>
      <c r="B9" s="766" t="s">
        <v>1139</v>
      </c>
      <c r="C9" s="766" t="s">
        <v>1140</v>
      </c>
      <c r="D9" s="766" t="s">
        <v>1141</v>
      </c>
      <c r="E9" s="766" t="s">
        <v>1142</v>
      </c>
      <c r="F9" s="766" t="s">
        <v>1143</v>
      </c>
      <c r="G9" s="766" t="s">
        <v>1144</v>
      </c>
      <c r="H9" s="766" t="s">
        <v>1145</v>
      </c>
      <c r="I9" s="766" t="s">
        <v>1146</v>
      </c>
      <c r="J9" s="766" t="s">
        <v>1147</v>
      </c>
      <c r="K9" s="766" t="s">
        <v>1148</v>
      </c>
      <c r="L9" s="766" t="s">
        <v>1149</v>
      </c>
      <c r="M9" s="766" t="s">
        <v>1150</v>
      </c>
      <c r="N9" s="766" t="s">
        <v>1151</v>
      </c>
      <c r="O9" s="767"/>
      <c r="P9" s="768"/>
      <c r="Q9" s="768"/>
    </row>
    <row r="10" spans="1:17" ht="15.75" thickBot="1" x14ac:dyDescent="0.3">
      <c r="A10" s="714"/>
      <c r="B10" s="730"/>
      <c r="C10" s="730"/>
      <c r="D10" s="730"/>
      <c r="E10" s="730"/>
      <c r="F10" s="730"/>
      <c r="G10" s="730"/>
      <c r="H10" s="730"/>
      <c r="I10" s="730"/>
      <c r="J10" s="730"/>
      <c r="K10" s="730"/>
      <c r="L10" s="730"/>
      <c r="M10" s="730"/>
      <c r="N10" s="730"/>
      <c r="O10" s="767"/>
      <c r="P10" s="767"/>
      <c r="Q10" s="767"/>
    </row>
    <row r="11" spans="1:17" ht="15.75" thickBot="1" x14ac:dyDescent="0.3">
      <c r="A11" s="714"/>
      <c r="B11" s="730"/>
      <c r="C11" s="730"/>
      <c r="D11" s="769"/>
      <c r="E11" s="769"/>
      <c r="F11" s="769"/>
      <c r="G11" s="769"/>
      <c r="H11" s="769"/>
      <c r="I11" s="769"/>
      <c r="J11" s="805" t="s">
        <v>258</v>
      </c>
      <c r="K11" s="795" t="s">
        <v>1152</v>
      </c>
      <c r="L11" s="770" t="s">
        <v>1248</v>
      </c>
      <c r="M11" s="770" t="s">
        <v>1154</v>
      </c>
      <c r="N11" s="770" t="s">
        <v>1154</v>
      </c>
      <c r="O11" s="767"/>
      <c r="P11" s="767"/>
      <c r="Q11" s="767"/>
    </row>
    <row r="12" spans="1:17" ht="72.75" customHeight="1" thickBot="1" x14ac:dyDescent="0.3">
      <c r="A12" s="771" t="s">
        <v>1155</v>
      </c>
      <c r="B12" s="797" t="s">
        <v>1156</v>
      </c>
      <c r="C12" s="772" t="s">
        <v>1157</v>
      </c>
      <c r="D12" s="773" t="s">
        <v>1158</v>
      </c>
      <c r="E12" s="773" t="s">
        <v>1159</v>
      </c>
      <c r="F12" s="773" t="s">
        <v>1160</v>
      </c>
      <c r="G12" s="773" t="s">
        <v>1161</v>
      </c>
      <c r="H12" s="774" t="s">
        <v>1162</v>
      </c>
      <c r="I12" s="773" t="s">
        <v>1163</v>
      </c>
      <c r="J12" s="773" t="s">
        <v>1164</v>
      </c>
      <c r="K12" s="773" t="s">
        <v>1165</v>
      </c>
      <c r="L12" s="774" t="s">
        <v>1166</v>
      </c>
      <c r="M12" s="773" t="s">
        <v>1167</v>
      </c>
      <c r="N12" s="773" t="s">
        <v>1168</v>
      </c>
      <c r="O12" s="797" t="s">
        <v>8</v>
      </c>
      <c r="P12" s="771" t="s">
        <v>1155</v>
      </c>
      <c r="Q12" s="775"/>
    </row>
    <row r="13" spans="1:17" x14ac:dyDescent="0.25">
      <c r="A13" s="729">
        <v>1</v>
      </c>
      <c r="B13" s="714" t="s">
        <v>1169</v>
      </c>
      <c r="C13" s="736"/>
      <c r="D13" s="714"/>
      <c r="E13" s="714"/>
      <c r="F13" s="714"/>
      <c r="G13" s="714"/>
      <c r="H13" s="714"/>
      <c r="I13" s="714"/>
      <c r="J13" s="714"/>
      <c r="K13" s="714"/>
      <c r="L13" s="714"/>
      <c r="M13" s="714"/>
      <c r="N13" s="714"/>
      <c r="O13" s="741"/>
      <c r="P13" s="729">
        <v>1</v>
      </c>
      <c r="Q13" s="749"/>
    </row>
    <row r="14" spans="1:17" x14ac:dyDescent="0.25">
      <c r="A14" s="729">
        <f t="shared" ref="A14:A44" si="0">+A13+1</f>
        <v>2</v>
      </c>
      <c r="B14" s="714" t="s">
        <v>1170</v>
      </c>
      <c r="C14" s="729"/>
      <c r="D14" s="714"/>
      <c r="E14" s="714"/>
      <c r="F14" s="719"/>
      <c r="G14" s="719"/>
      <c r="H14" s="719"/>
      <c r="I14" s="719"/>
      <c r="J14" s="714"/>
      <c r="K14" s="714"/>
      <c r="L14" s="714"/>
      <c r="M14" s="714"/>
      <c r="N14" s="714"/>
      <c r="O14" s="730"/>
      <c r="P14" s="729">
        <f t="shared" ref="P14:P44" si="1">+P13+1</f>
        <v>2</v>
      </c>
      <c r="Q14" s="749"/>
    </row>
    <row r="15" spans="1:17" x14ac:dyDescent="0.25">
      <c r="A15" s="729">
        <f t="shared" si="0"/>
        <v>3</v>
      </c>
      <c r="B15" s="714" t="s">
        <v>1171</v>
      </c>
      <c r="C15" s="729">
        <v>190</v>
      </c>
      <c r="D15" s="714">
        <f>'Order 864-1'!M15</f>
        <v>0</v>
      </c>
      <c r="E15" s="714">
        <f>'Order 864-1'!N15</f>
        <v>0</v>
      </c>
      <c r="F15" s="719"/>
      <c r="G15" s="719"/>
      <c r="H15" s="719"/>
      <c r="I15" s="719"/>
      <c r="J15" s="714">
        <f>'Order 864-1'!J15+H15+I15</f>
        <v>-121.75572065244999</v>
      </c>
      <c r="K15" s="714">
        <f t="shared" ref="K15:K17" si="2">SUM(D15:I15)</f>
        <v>0</v>
      </c>
      <c r="L15" s="714">
        <f>'Order 864-4'!I21</f>
        <v>0</v>
      </c>
      <c r="M15" s="714">
        <f>IF(SUM($K$15:$L$17)&lt;0,0,SUM($K15:$L15))</f>
        <v>0</v>
      </c>
      <c r="N15" s="714">
        <f>IF(SUM($K$15:$L$17)&lt;0,SUM($K15:$L15),0)</f>
        <v>0</v>
      </c>
      <c r="O15" s="730" t="s">
        <v>258</v>
      </c>
      <c r="P15" s="729">
        <f t="shared" si="1"/>
        <v>3</v>
      </c>
      <c r="Q15" s="749"/>
    </row>
    <row r="16" spans="1:17" x14ac:dyDescent="0.25">
      <c r="A16" s="729">
        <f t="shared" si="0"/>
        <v>4</v>
      </c>
      <c r="B16" s="714" t="s">
        <v>1172</v>
      </c>
      <c r="C16" s="729">
        <v>190</v>
      </c>
      <c r="D16" s="714">
        <f>'Order 864-1'!M16</f>
        <v>0</v>
      </c>
      <c r="E16" s="714">
        <f>'Order 864-1'!N16</f>
        <v>0</v>
      </c>
      <c r="F16" s="719"/>
      <c r="G16" s="719"/>
      <c r="H16" s="719"/>
      <c r="I16" s="719"/>
      <c r="J16" s="714">
        <f>'Order 864-1'!J16+H16+I16</f>
        <v>-67.238548636628707</v>
      </c>
      <c r="K16" s="714">
        <f t="shared" si="2"/>
        <v>0</v>
      </c>
      <c r="L16" s="714">
        <f>'Order 864-4'!I23</f>
        <v>0</v>
      </c>
      <c r="M16" s="714">
        <f>IF(SUM($K$15:$L$17)&lt;0,0,SUM($K16:$L16))</f>
        <v>0</v>
      </c>
      <c r="N16" s="714">
        <f>IF(SUM($K$15:$L$17)&lt;0,SUM($K16:$L16),0)</f>
        <v>0</v>
      </c>
      <c r="O16" s="730" t="s">
        <v>258</v>
      </c>
      <c r="P16" s="729">
        <f t="shared" si="1"/>
        <v>4</v>
      </c>
      <c r="Q16" s="749"/>
    </row>
    <row r="17" spans="1:17" x14ac:dyDescent="0.25">
      <c r="A17" s="729">
        <f t="shared" si="0"/>
        <v>5</v>
      </c>
      <c r="B17" s="714" t="s">
        <v>1173</v>
      </c>
      <c r="C17" s="729">
        <v>190</v>
      </c>
      <c r="D17" s="714">
        <f>'Order 864-1'!M17</f>
        <v>0</v>
      </c>
      <c r="E17" s="714">
        <f>'Order 864-1'!N17</f>
        <v>0</v>
      </c>
      <c r="F17" s="719"/>
      <c r="G17" s="719"/>
      <c r="H17" s="719"/>
      <c r="I17" s="719"/>
      <c r="J17" s="714">
        <f>'Order 864-1'!J17+H17+I17</f>
        <v>-214.4</v>
      </c>
      <c r="K17" s="714">
        <f t="shared" si="2"/>
        <v>0</v>
      </c>
      <c r="L17" s="714">
        <f>'Order 864-4'!I26</f>
        <v>0</v>
      </c>
      <c r="M17" s="714">
        <f>IF(SUM($K$15:$L$17)&lt;0,0,SUM($K17:$L17))</f>
        <v>0</v>
      </c>
      <c r="N17" s="714">
        <f>IF(SUM($K$15:$L$17)&lt;0,SUM($K17:$L17),0)</f>
        <v>0</v>
      </c>
      <c r="O17" s="730" t="s">
        <v>258</v>
      </c>
      <c r="P17" s="729">
        <f t="shared" si="1"/>
        <v>5</v>
      </c>
      <c r="Q17" s="749"/>
    </row>
    <row r="18" spans="1:17" x14ac:dyDescent="0.25">
      <c r="A18" s="729">
        <f t="shared" si="0"/>
        <v>6</v>
      </c>
      <c r="B18" s="714" t="s">
        <v>1174</v>
      </c>
      <c r="C18" s="729"/>
      <c r="D18" s="714"/>
      <c r="E18" s="714"/>
      <c r="F18" s="719"/>
      <c r="G18" s="719"/>
      <c r="H18" s="719"/>
      <c r="I18" s="719"/>
      <c r="J18" s="714">
        <f>'Order 864-1'!J18+H18+I18</f>
        <v>0</v>
      </c>
      <c r="K18" s="714"/>
      <c r="L18" s="714"/>
      <c r="M18" s="714"/>
      <c r="N18" s="714"/>
      <c r="O18" s="730"/>
      <c r="P18" s="729">
        <f t="shared" si="1"/>
        <v>6</v>
      </c>
      <c r="Q18" s="749"/>
    </row>
    <row r="19" spans="1:17" x14ac:dyDescent="0.25">
      <c r="A19" s="729">
        <f t="shared" si="0"/>
        <v>7</v>
      </c>
      <c r="B19" s="714" t="s">
        <v>1175</v>
      </c>
      <c r="C19" s="729">
        <v>190</v>
      </c>
      <c r="D19" s="714">
        <f>'Order 864-1'!M19</f>
        <v>0</v>
      </c>
      <c r="E19" s="714">
        <f>'Order 864-1'!N19</f>
        <v>0</v>
      </c>
      <c r="F19" s="719"/>
      <c r="G19" s="719"/>
      <c r="H19" s="719"/>
      <c r="I19" s="719"/>
      <c r="J19" s="714">
        <f>'Order 864-1'!J19+H19+I19</f>
        <v>-555.29460583790205</v>
      </c>
      <c r="K19" s="714">
        <f t="shared" ref="K19" si="3">SUM(D19:I19)</f>
        <v>0</v>
      </c>
      <c r="L19" s="714">
        <f>'Order 864-4'!I23</f>
        <v>0</v>
      </c>
      <c r="M19" s="714">
        <f>IF(SUM($K$19:$L$19)&lt;0,0,SUM($K19:$L19))</f>
        <v>0</v>
      </c>
      <c r="N19" s="714">
        <f>IF(SUM($K$19:$L$19)&lt;0,SUM($K19:$L19),0)</f>
        <v>0</v>
      </c>
      <c r="O19" s="730" t="s">
        <v>258</v>
      </c>
      <c r="P19" s="729">
        <f t="shared" si="1"/>
        <v>7</v>
      </c>
      <c r="Q19" s="749"/>
    </row>
    <row r="20" spans="1:17" x14ac:dyDescent="0.25">
      <c r="A20" s="729">
        <f t="shared" si="0"/>
        <v>8</v>
      </c>
      <c r="B20" s="714" t="s">
        <v>1176</v>
      </c>
      <c r="C20" s="729"/>
      <c r="D20" s="714"/>
      <c r="E20" s="714"/>
      <c r="F20" s="719"/>
      <c r="G20" s="719"/>
      <c r="H20" s="719"/>
      <c r="I20" s="719"/>
      <c r="J20" s="714">
        <f>'Order 864-1'!J20+H20+I20</f>
        <v>0</v>
      </c>
      <c r="K20" s="714"/>
      <c r="L20" s="714"/>
      <c r="M20" s="714"/>
      <c r="N20" s="714"/>
      <c r="O20" s="730"/>
      <c r="P20" s="729">
        <f t="shared" si="1"/>
        <v>8</v>
      </c>
      <c r="Q20" s="749"/>
    </row>
    <row r="21" spans="1:17" x14ac:dyDescent="0.25">
      <c r="A21" s="729">
        <f t="shared" si="0"/>
        <v>9</v>
      </c>
      <c r="B21" s="714" t="s">
        <v>1177</v>
      </c>
      <c r="C21" s="729">
        <v>283</v>
      </c>
      <c r="D21" s="714">
        <f>'Order 864-1'!M21</f>
        <v>0</v>
      </c>
      <c r="E21" s="714">
        <f>'Order 864-1'!N21</f>
        <v>0</v>
      </c>
      <c r="F21" s="719"/>
      <c r="G21" s="719"/>
      <c r="H21" s="719"/>
      <c r="I21" s="719"/>
      <c r="J21" s="714">
        <f>'Order 864-1'!J21+H21+I21</f>
        <v>-21828.386489952001</v>
      </c>
      <c r="K21" s="714">
        <f t="shared" ref="K21:K22" si="4">SUM(D21:I21)</f>
        <v>0</v>
      </c>
      <c r="L21" s="714">
        <f>'Order 864-4'!I26</f>
        <v>0</v>
      </c>
      <c r="M21" s="714">
        <f>IF(SUM($K$21:$L$22)&lt;0,0,SUM($K21:$L21))</f>
        <v>0</v>
      </c>
      <c r="N21" s="714">
        <f>IF(SUM($K$21:$L$22)&lt;0,SUM($K21:$L21),0)</f>
        <v>0</v>
      </c>
      <c r="O21" s="730" t="s">
        <v>258</v>
      </c>
      <c r="P21" s="729">
        <f t="shared" si="1"/>
        <v>9</v>
      </c>
      <c r="Q21" s="749"/>
    </row>
    <row r="22" spans="1:17" x14ac:dyDescent="0.25">
      <c r="A22" s="729">
        <f t="shared" si="0"/>
        <v>10</v>
      </c>
      <c r="B22" s="714" t="s">
        <v>1178</v>
      </c>
      <c r="C22" s="729">
        <v>283</v>
      </c>
      <c r="D22" s="714">
        <f>'Order 864-1'!M22</f>
        <v>0</v>
      </c>
      <c r="E22" s="714">
        <f>'Order 864-1'!N22</f>
        <v>0</v>
      </c>
      <c r="F22" s="719"/>
      <c r="G22" s="719"/>
      <c r="H22" s="719"/>
      <c r="I22" s="719"/>
      <c r="J22" s="714">
        <f>'Order 864-1'!J22+H22+I22</f>
        <v>24387.763684080001</v>
      </c>
      <c r="K22" s="714">
        <f t="shared" si="4"/>
        <v>0</v>
      </c>
      <c r="L22" s="714">
        <f>'Order 864-4'!I27</f>
        <v>0</v>
      </c>
      <c r="M22" s="714">
        <f>IF(SUM($K$21:$L$22)&lt;0,0,SUM($K22:$L22))</f>
        <v>0</v>
      </c>
      <c r="N22" s="714">
        <f>IF(SUM($K$21:$L$22)&lt;0,SUM($K22:$L22),0)</f>
        <v>0</v>
      </c>
      <c r="O22" s="730" t="s">
        <v>258</v>
      </c>
      <c r="P22" s="729">
        <f t="shared" si="1"/>
        <v>10</v>
      </c>
      <c r="Q22" s="749"/>
    </row>
    <row r="23" spans="1:17" x14ac:dyDescent="0.25">
      <c r="A23" s="729">
        <f t="shared" si="0"/>
        <v>11</v>
      </c>
      <c r="B23" s="730"/>
      <c r="C23" s="731"/>
      <c r="D23" s="781"/>
      <c r="E23" s="781"/>
      <c r="F23" s="781"/>
      <c r="G23" s="781"/>
      <c r="H23" s="781"/>
      <c r="I23" s="781"/>
      <c r="J23" s="781"/>
      <c r="K23" s="781"/>
      <c r="L23" s="781"/>
      <c r="M23" s="781"/>
      <c r="N23" s="781"/>
      <c r="O23" s="714"/>
      <c r="P23" s="729">
        <f t="shared" si="1"/>
        <v>11</v>
      </c>
      <c r="Q23" s="749"/>
    </row>
    <row r="24" spans="1:17" ht="15.75" thickBot="1" x14ac:dyDescent="0.3">
      <c r="A24" s="729">
        <f t="shared" si="0"/>
        <v>12</v>
      </c>
      <c r="B24" s="730" t="s">
        <v>1179</v>
      </c>
      <c r="C24" s="762"/>
      <c r="D24" s="712">
        <f>SUM(D14:D22)</f>
        <v>0</v>
      </c>
      <c r="E24" s="712">
        <f t="shared" ref="E24:L24" si="5">SUM(E14:E22)</f>
        <v>0</v>
      </c>
      <c r="F24" s="712">
        <f t="shared" si="5"/>
        <v>0</v>
      </c>
      <c r="G24" s="712">
        <f t="shared" si="5"/>
        <v>0</v>
      </c>
      <c r="H24" s="712">
        <f t="shared" si="5"/>
        <v>0</v>
      </c>
      <c r="I24" s="712">
        <f t="shared" si="5"/>
        <v>0</v>
      </c>
      <c r="J24" s="712">
        <f t="shared" ref="J24" si="6">SUM(J14:J22)</f>
        <v>1600.6883190010194</v>
      </c>
      <c r="K24" s="712">
        <f t="shared" si="5"/>
        <v>0</v>
      </c>
      <c r="L24" s="712">
        <f t="shared" si="5"/>
        <v>0</v>
      </c>
      <c r="M24" s="712">
        <f t="shared" ref="M24:N24" si="7">SUM(M14:M22)</f>
        <v>0</v>
      </c>
      <c r="N24" s="712">
        <f t="shared" si="7"/>
        <v>0</v>
      </c>
      <c r="O24" s="730" t="s">
        <v>1180</v>
      </c>
      <c r="P24" s="729">
        <f t="shared" si="1"/>
        <v>12</v>
      </c>
      <c r="Q24" s="749"/>
    </row>
    <row r="25" spans="1:17" ht="15.75" thickTop="1" x14ac:dyDescent="0.25">
      <c r="A25" s="729">
        <f t="shared" si="0"/>
        <v>13</v>
      </c>
      <c r="B25" s="714"/>
      <c r="C25" s="714"/>
      <c r="D25" s="734"/>
      <c r="E25" s="734"/>
      <c r="F25" s="734"/>
      <c r="G25" s="734"/>
      <c r="H25" s="734"/>
      <c r="I25" s="734"/>
      <c r="J25" s="734"/>
      <c r="K25" s="734"/>
      <c r="L25" s="734"/>
      <c r="M25" s="734"/>
      <c r="N25" s="734"/>
      <c r="O25" s="714"/>
      <c r="P25" s="729">
        <f t="shared" si="1"/>
        <v>13</v>
      </c>
      <c r="Q25" s="749"/>
    </row>
    <row r="26" spans="1:17" x14ac:dyDescent="0.25">
      <c r="A26" s="729">
        <f t="shared" si="0"/>
        <v>14</v>
      </c>
      <c r="B26" s="714" t="s">
        <v>1181</v>
      </c>
      <c r="C26" s="735"/>
      <c r="D26" s="734"/>
      <c r="E26" s="734"/>
      <c r="F26" s="734"/>
      <c r="G26" s="734"/>
      <c r="H26" s="734"/>
      <c r="I26" s="734"/>
      <c r="J26" s="734"/>
      <c r="K26" s="734"/>
      <c r="L26" s="734"/>
      <c r="M26" s="734"/>
      <c r="N26" s="734"/>
      <c r="O26" s="714"/>
      <c r="P26" s="729">
        <f t="shared" si="1"/>
        <v>14</v>
      </c>
      <c r="Q26" s="749"/>
    </row>
    <row r="27" spans="1:17" x14ac:dyDescent="0.25">
      <c r="A27" s="729">
        <f t="shared" si="0"/>
        <v>15</v>
      </c>
      <c r="B27" s="714" t="s">
        <v>1182</v>
      </c>
      <c r="C27" s="729">
        <v>190</v>
      </c>
      <c r="D27" s="714">
        <f>'Order 864-1'!M27</f>
        <v>103895.54690487018</v>
      </c>
      <c r="E27" s="714">
        <f>'Order 864-1'!N27</f>
        <v>0</v>
      </c>
      <c r="F27" s="719">
        <v>0.90138205020686579</v>
      </c>
      <c r="G27" s="719"/>
      <c r="H27" s="719">
        <v>-1514.1074670462056</v>
      </c>
      <c r="I27" s="719"/>
      <c r="J27" s="714">
        <f>'Order 864-1'!J27+F27+H27+I27</f>
        <v>-8076.7681258620214</v>
      </c>
      <c r="K27" s="714">
        <f>SUM(D27:I27)</f>
        <v>102382.34081987417</v>
      </c>
      <c r="L27" s="714">
        <f>'Order 864-4'!I30</f>
        <v>0</v>
      </c>
      <c r="M27" s="714">
        <f>IF(SUM($K$27:$L$27)&lt;0,0,SUM($K27:$L27))</f>
        <v>102382.34081987417</v>
      </c>
      <c r="N27" s="714">
        <f>IF(SUM($K$27:$L$27)&lt;0,SUM($K27:$L27),0)</f>
        <v>0</v>
      </c>
      <c r="O27" s="730" t="s">
        <v>258</v>
      </c>
      <c r="P27" s="729">
        <f t="shared" si="1"/>
        <v>15</v>
      </c>
      <c r="Q27" s="749"/>
    </row>
    <row r="28" spans="1:17" x14ac:dyDescent="0.25">
      <c r="A28" s="729">
        <f t="shared" si="0"/>
        <v>16</v>
      </c>
      <c r="B28" s="714" t="s">
        <v>1183</v>
      </c>
      <c r="C28" s="729"/>
      <c r="D28" s="714"/>
      <c r="E28" s="714"/>
      <c r="F28" s="719"/>
      <c r="G28" s="719"/>
      <c r="H28" s="719"/>
      <c r="I28" s="719"/>
      <c r="J28" s="714">
        <f>'Order 864-1'!J28+H28+I28</f>
        <v>0</v>
      </c>
      <c r="K28" s="714"/>
      <c r="L28" s="714"/>
      <c r="M28" s="714"/>
      <c r="N28" s="714"/>
      <c r="O28" s="730"/>
      <c r="P28" s="729">
        <f t="shared" si="1"/>
        <v>16</v>
      </c>
      <c r="Q28" s="749"/>
    </row>
    <row r="29" spans="1:17" x14ac:dyDescent="0.25">
      <c r="A29" s="729">
        <f t="shared" si="0"/>
        <v>17</v>
      </c>
      <c r="B29" s="714" t="s">
        <v>1184</v>
      </c>
      <c r="C29" s="729">
        <v>282</v>
      </c>
      <c r="D29" s="714">
        <f>'Order 864-1'!M29</f>
        <v>0</v>
      </c>
      <c r="E29" s="714">
        <f>'Order 864-1'!N29</f>
        <v>-372692.10873469402</v>
      </c>
      <c r="F29" s="719"/>
      <c r="G29" s="719">
        <v>-2.2720399999339134</v>
      </c>
      <c r="H29" s="719"/>
      <c r="I29" s="719">
        <v>5608.7849830611513</v>
      </c>
      <c r="J29" s="714">
        <f>'Order 864-1'!J29+H29+I29</f>
        <v>28636.96241348785</v>
      </c>
      <c r="K29" s="714">
        <f t="shared" ref="K29" si="8">SUM(D29:I29)</f>
        <v>-367085.59579163283</v>
      </c>
      <c r="L29" s="714">
        <f>'Order 864-4'!I34</f>
        <v>0</v>
      </c>
      <c r="M29" s="714">
        <f>IF(SUM($K$29:$L$30)&lt;0,0,SUM($K29:$L29))</f>
        <v>0</v>
      </c>
      <c r="N29" s="714">
        <f>IF(SUM($K$29:$L$30)&lt;0,SUM($K29:$L29),0)</f>
        <v>-367085.59579163283</v>
      </c>
      <c r="O29" s="730" t="s">
        <v>258</v>
      </c>
      <c r="P29" s="729">
        <f t="shared" si="1"/>
        <v>17</v>
      </c>
      <c r="Q29" s="749"/>
    </row>
    <row r="30" spans="1:17" x14ac:dyDescent="0.25">
      <c r="A30" s="729">
        <f t="shared" si="0"/>
        <v>18</v>
      </c>
      <c r="B30" s="714" t="s">
        <v>1185</v>
      </c>
      <c r="C30" s="729">
        <v>282</v>
      </c>
      <c r="D30" s="714">
        <f>'Order 864-1'!M30</f>
        <v>0</v>
      </c>
      <c r="E30" s="714">
        <f>'Order 864-1'!N30</f>
        <v>6737.1819999999998</v>
      </c>
      <c r="F30" s="719"/>
      <c r="G30" s="719">
        <v>-1.2999999944440788E-4</v>
      </c>
      <c r="H30" s="719"/>
      <c r="I30" s="719">
        <v>-878.60697000000073</v>
      </c>
      <c r="J30" s="714">
        <f>'Order 864-1'!J30+H30+I30</f>
        <v>-6157.067970000001</v>
      </c>
      <c r="K30" s="714">
        <f>SUM(D30:I30)</f>
        <v>5858.5748999999996</v>
      </c>
      <c r="L30" s="714">
        <f>'Order 864-4'!I36</f>
        <v>0</v>
      </c>
      <c r="M30" s="714">
        <f>IF(SUM($K$29:$L$30)&lt;0,0,SUM($K30:$L30))</f>
        <v>0</v>
      </c>
      <c r="N30" s="714">
        <f>IF(SUM($K$29:$L$30)&lt;0,SUM($K30:$L30),0)</f>
        <v>5858.5748999999996</v>
      </c>
      <c r="O30" s="730" t="s">
        <v>258</v>
      </c>
      <c r="P30" s="729">
        <f t="shared" si="1"/>
        <v>18</v>
      </c>
      <c r="Q30" s="749"/>
    </row>
    <row r="31" spans="1:17" x14ac:dyDescent="0.25">
      <c r="A31" s="729">
        <f t="shared" si="0"/>
        <v>19</v>
      </c>
      <c r="B31" s="730" t="s">
        <v>1186</v>
      </c>
      <c r="C31" s="763"/>
      <c r="D31" s="722">
        <f t="shared" ref="D31:N31" si="9">SUM(D27:D30)</f>
        <v>103895.54690487018</v>
      </c>
      <c r="E31" s="722">
        <f t="shared" si="9"/>
        <v>-365954.92673469405</v>
      </c>
      <c r="F31" s="722">
        <f t="shared" si="9"/>
        <v>0.90138205020686579</v>
      </c>
      <c r="G31" s="722">
        <f t="shared" si="9"/>
        <v>-2.2721699999333578</v>
      </c>
      <c r="H31" s="722">
        <f t="shared" si="9"/>
        <v>-1514.1074670462056</v>
      </c>
      <c r="I31" s="722">
        <f t="shared" si="9"/>
        <v>4730.1780130611505</v>
      </c>
      <c r="J31" s="722">
        <f t="shared" si="9"/>
        <v>14403.126317625829</v>
      </c>
      <c r="K31" s="722">
        <f t="shared" si="9"/>
        <v>-258844.68007175869</v>
      </c>
      <c r="L31" s="722">
        <f t="shared" si="9"/>
        <v>0</v>
      </c>
      <c r="M31" s="722">
        <f t="shared" si="9"/>
        <v>102382.34081987417</v>
      </c>
      <c r="N31" s="722">
        <f t="shared" si="9"/>
        <v>-361227.02089163283</v>
      </c>
      <c r="O31" s="730" t="s">
        <v>1187</v>
      </c>
      <c r="P31" s="729">
        <f t="shared" si="1"/>
        <v>19</v>
      </c>
      <c r="Q31" s="749"/>
    </row>
    <row r="32" spans="1:17" x14ac:dyDescent="0.25">
      <c r="A32" s="729">
        <f t="shared" si="0"/>
        <v>20</v>
      </c>
      <c r="B32" s="714"/>
      <c r="C32" s="731"/>
      <c r="D32" s="714"/>
      <c r="E32" s="714"/>
      <c r="F32" s="714"/>
      <c r="G32" s="714"/>
      <c r="H32" s="714"/>
      <c r="I32" s="714"/>
      <c r="J32" s="714"/>
      <c r="K32" s="714"/>
      <c r="L32" s="714"/>
      <c r="M32" s="714"/>
      <c r="N32" s="714"/>
      <c r="O32" s="714"/>
      <c r="P32" s="729">
        <f t="shared" si="1"/>
        <v>20</v>
      </c>
      <c r="Q32" s="749"/>
    </row>
    <row r="33" spans="1:17" x14ac:dyDescent="0.25">
      <c r="A33" s="729">
        <f t="shared" si="0"/>
        <v>21</v>
      </c>
      <c r="B33" s="714" t="s">
        <v>1188</v>
      </c>
      <c r="C33" s="736"/>
      <c r="D33" s="714"/>
      <c r="E33" s="714"/>
      <c r="F33" s="714"/>
      <c r="G33" s="714"/>
      <c r="H33" s="714"/>
      <c r="I33" s="714"/>
      <c r="J33" s="714"/>
      <c r="K33" s="714"/>
      <c r="L33" s="714"/>
      <c r="M33" s="714"/>
      <c r="N33" s="714"/>
      <c r="O33" s="714"/>
      <c r="P33" s="729">
        <f t="shared" si="1"/>
        <v>21</v>
      </c>
      <c r="Q33" s="749"/>
    </row>
    <row r="34" spans="1:17" x14ac:dyDescent="0.25">
      <c r="A34" s="729">
        <f t="shared" si="0"/>
        <v>22</v>
      </c>
      <c r="B34" s="714" t="s">
        <v>1189</v>
      </c>
      <c r="C34" s="729">
        <v>282</v>
      </c>
      <c r="D34" s="714">
        <f>'Order 864-1'!M34</f>
        <v>0</v>
      </c>
      <c r="E34" s="714">
        <f>'Order 864-1'!N34</f>
        <v>-11886.480999999998</v>
      </c>
      <c r="F34" s="719"/>
      <c r="G34" s="719">
        <v>-6.7990000001373119E-2</v>
      </c>
      <c r="H34" s="719"/>
      <c r="I34" s="719">
        <v>269.07151999999951</v>
      </c>
      <c r="J34" s="714">
        <f>'Order 864-1'!J34+H34+I34</f>
        <v>1588.2458836363603</v>
      </c>
      <c r="K34" s="714">
        <f t="shared" ref="K34:K36" si="10">SUM(D34:I34)</f>
        <v>-11617.47747</v>
      </c>
      <c r="L34" s="714">
        <f>'Order 864-4'!I37</f>
        <v>0</v>
      </c>
      <c r="M34" s="714">
        <f>IF(SUM($K$34:$L$34)&lt;0,0,SUM($K34:$L34))</f>
        <v>0</v>
      </c>
      <c r="N34" s="714">
        <f>IF(SUM($K$34:$L$34)&lt;0,SUM($K34:$L34),0)</f>
        <v>-11617.47747</v>
      </c>
      <c r="O34" s="730" t="s">
        <v>258</v>
      </c>
      <c r="P34" s="729">
        <f t="shared" si="1"/>
        <v>22</v>
      </c>
      <c r="Q34" s="749"/>
    </row>
    <row r="35" spans="1:17" x14ac:dyDescent="0.25">
      <c r="A35" s="729">
        <f t="shared" si="0"/>
        <v>23</v>
      </c>
      <c r="B35" s="714" t="s">
        <v>1190</v>
      </c>
      <c r="C35" s="729">
        <v>282</v>
      </c>
      <c r="D35" s="714">
        <f>'Order 864-1'!M35</f>
        <v>0</v>
      </c>
      <c r="E35" s="714">
        <f>'Order 864-1'!N35</f>
        <v>-31184.416999999998</v>
      </c>
      <c r="F35" s="719"/>
      <c r="G35" s="719">
        <v>-0.16733000000022002</v>
      </c>
      <c r="H35" s="719"/>
      <c r="I35" s="719">
        <v>970.71198999999979</v>
      </c>
      <c r="J35" s="714">
        <f>'Order 864-1'!J35+H35+I35</f>
        <v>8448.7112627272691</v>
      </c>
      <c r="K35" s="714">
        <f t="shared" si="10"/>
        <v>-30213.872339999998</v>
      </c>
      <c r="L35" s="714">
        <f>'Order 864-4'!I38</f>
        <v>0</v>
      </c>
      <c r="M35" s="714">
        <f>IF(SUM($K$35:$L$35)&lt;0,0,SUM($K35:$L35))</f>
        <v>0</v>
      </c>
      <c r="N35" s="714">
        <f>IF(SUM($K$35:$L$35)&lt;0,SUM($K35:$L35),0)</f>
        <v>-30213.872339999998</v>
      </c>
      <c r="O35" s="730" t="s">
        <v>258</v>
      </c>
      <c r="P35" s="729">
        <f t="shared" si="1"/>
        <v>23</v>
      </c>
      <c r="Q35" s="749"/>
    </row>
    <row r="36" spans="1:17" x14ac:dyDescent="0.25">
      <c r="A36" s="729">
        <f t="shared" si="0"/>
        <v>24</v>
      </c>
      <c r="B36" s="714" t="s">
        <v>1191</v>
      </c>
      <c r="C36" s="737">
        <v>282</v>
      </c>
      <c r="D36" s="714">
        <f>'Order 864-1'!M36</f>
        <v>13313.875902532822</v>
      </c>
      <c r="E36" s="714">
        <f>'Order 864-1'!N36</f>
        <v>0</v>
      </c>
      <c r="F36" s="719">
        <v>512.6372495318185</v>
      </c>
      <c r="G36" s="719"/>
      <c r="H36" s="719">
        <v>-239.16859536159149</v>
      </c>
      <c r="I36" s="719"/>
      <c r="J36" s="714">
        <f>'Order 864-1'!J36+H36+I36</f>
        <v>207.2711322649298</v>
      </c>
      <c r="K36" s="714">
        <f t="shared" si="10"/>
        <v>13587.34455670305</v>
      </c>
      <c r="L36" s="714">
        <f>'Order 864-4'!I39</f>
        <v>0</v>
      </c>
      <c r="M36" s="714">
        <f>IF(SUM($K$36:$L$36)&lt;0,0,SUM($K36:$L36))</f>
        <v>13587.34455670305</v>
      </c>
      <c r="N36" s="714">
        <f>IF(SUM($K$36:$L$36)&lt;0,SUM($K36:$L36),0)</f>
        <v>0</v>
      </c>
      <c r="O36" s="730" t="s">
        <v>258</v>
      </c>
      <c r="P36" s="729">
        <f t="shared" si="1"/>
        <v>24</v>
      </c>
      <c r="Q36" s="749"/>
    </row>
    <row r="37" spans="1:17" x14ac:dyDescent="0.25">
      <c r="A37" s="729">
        <f t="shared" si="0"/>
        <v>25</v>
      </c>
      <c r="B37" s="730" t="s">
        <v>1186</v>
      </c>
      <c r="C37" s="763"/>
      <c r="D37" s="722">
        <f t="shared" ref="D37:L37" si="11">SUM(D34:D36)</f>
        <v>13313.875902532822</v>
      </c>
      <c r="E37" s="722">
        <f t="shared" si="11"/>
        <v>-43070.897999999994</v>
      </c>
      <c r="F37" s="722">
        <f t="shared" si="11"/>
        <v>512.6372495318185</v>
      </c>
      <c r="G37" s="722">
        <f t="shared" si="11"/>
        <v>-0.23532000000159314</v>
      </c>
      <c r="H37" s="722">
        <f t="shared" si="11"/>
        <v>-239.16859536159149</v>
      </c>
      <c r="I37" s="722">
        <f t="shared" si="11"/>
        <v>1239.7835099999993</v>
      </c>
      <c r="J37" s="722">
        <f t="shared" ref="J37" si="12">SUM(J34:J36)</f>
        <v>10244.22827862856</v>
      </c>
      <c r="K37" s="722">
        <f t="shared" si="11"/>
        <v>-28244.005253296949</v>
      </c>
      <c r="L37" s="722">
        <f t="shared" si="11"/>
        <v>0</v>
      </c>
      <c r="M37" s="722">
        <f>SUM(M34:M36)</f>
        <v>13587.34455670305</v>
      </c>
      <c r="N37" s="722">
        <f>SUM(N34:N36)</f>
        <v>-41831.34981</v>
      </c>
      <c r="O37" s="730" t="s">
        <v>1192</v>
      </c>
      <c r="P37" s="729">
        <f t="shared" si="1"/>
        <v>25</v>
      </c>
      <c r="Q37" s="749"/>
    </row>
    <row r="38" spans="1:17" x14ac:dyDescent="0.25">
      <c r="A38" s="729">
        <f t="shared" si="0"/>
        <v>26</v>
      </c>
      <c r="B38" s="714"/>
      <c r="C38" s="731"/>
      <c r="D38" s="732"/>
      <c r="E38" s="732"/>
      <c r="F38" s="732"/>
      <c r="G38" s="732"/>
      <c r="H38" s="732"/>
      <c r="I38" s="732"/>
      <c r="J38" s="732"/>
      <c r="K38" s="732"/>
      <c r="L38" s="732"/>
      <c r="M38" s="732"/>
      <c r="N38" s="732"/>
      <c r="O38" s="714"/>
      <c r="P38" s="729">
        <f t="shared" si="1"/>
        <v>26</v>
      </c>
      <c r="Q38" s="749"/>
    </row>
    <row r="39" spans="1:17" x14ac:dyDescent="0.25">
      <c r="A39" s="729">
        <f t="shared" si="0"/>
        <v>27</v>
      </c>
      <c r="B39" s="714" t="s">
        <v>1188</v>
      </c>
      <c r="C39" s="731"/>
      <c r="D39" s="734"/>
      <c r="E39" s="734"/>
      <c r="F39" s="734"/>
      <c r="G39" s="734"/>
      <c r="H39" s="734"/>
      <c r="I39" s="734"/>
      <c r="J39" s="734"/>
      <c r="K39" s="734"/>
      <c r="L39" s="734"/>
      <c r="M39" s="734"/>
      <c r="N39" s="734"/>
      <c r="O39" s="714"/>
      <c r="P39" s="729">
        <f t="shared" si="1"/>
        <v>27</v>
      </c>
      <c r="Q39" s="749"/>
    </row>
    <row r="40" spans="1:17" x14ac:dyDescent="0.25">
      <c r="A40" s="729">
        <f t="shared" si="0"/>
        <v>28</v>
      </c>
      <c r="B40" s="714" t="s">
        <v>1193</v>
      </c>
      <c r="C40" s="737">
        <v>282</v>
      </c>
      <c r="D40" s="748">
        <f>'Order 864-1'!M40</f>
        <v>38052.302119052831</v>
      </c>
      <c r="E40" s="748">
        <f>'Order 864-1'!N40</f>
        <v>0</v>
      </c>
      <c r="F40" s="782">
        <v>-527.88322231766836</v>
      </c>
      <c r="G40" s="782"/>
      <c r="H40" s="782">
        <v>-546.85222120492688</v>
      </c>
      <c r="I40" s="782"/>
      <c r="J40" s="714">
        <f>'Order 864-1'!J40+H40+I40</f>
        <v>-2929.0259505396548</v>
      </c>
      <c r="K40" s="714">
        <f t="shared" ref="K40" si="13">SUM(D40:I40)</f>
        <v>36977.566675530237</v>
      </c>
      <c r="L40" s="714">
        <f>'Order 864-4'!I43</f>
        <v>0</v>
      </c>
      <c r="M40" s="714">
        <f>IF(SUM($K$40:$L$40)&lt;0,0,SUM($K40:$L40))</f>
        <v>36977.566675530237</v>
      </c>
      <c r="N40" s="714">
        <f>IF(SUM($K$40:$L$40)&lt;0,SUM($K40:$L40),0)</f>
        <v>0</v>
      </c>
      <c r="O40" s="730" t="s">
        <v>258</v>
      </c>
      <c r="P40" s="729">
        <f t="shared" si="1"/>
        <v>28</v>
      </c>
      <c r="Q40" s="749"/>
    </row>
    <row r="41" spans="1:17" x14ac:dyDescent="0.25">
      <c r="A41" s="729">
        <f t="shared" si="0"/>
        <v>29</v>
      </c>
      <c r="B41" s="714"/>
      <c r="C41" s="731"/>
      <c r="D41" s="738"/>
      <c r="E41" s="738"/>
      <c r="F41" s="738"/>
      <c r="G41" s="738"/>
      <c r="H41" s="738"/>
      <c r="I41" s="738"/>
      <c r="J41" s="738"/>
      <c r="K41" s="738"/>
      <c r="L41" s="738"/>
      <c r="M41" s="738"/>
      <c r="N41" s="738"/>
      <c r="O41" s="714"/>
      <c r="P41" s="729">
        <f t="shared" si="1"/>
        <v>29</v>
      </c>
      <c r="Q41" s="749"/>
    </row>
    <row r="42" spans="1:17" ht="15.75" thickBot="1" x14ac:dyDescent="0.3">
      <c r="A42" s="729">
        <f t="shared" si="0"/>
        <v>30</v>
      </c>
      <c r="B42" s="730" t="s">
        <v>1194</v>
      </c>
      <c r="C42" s="763"/>
      <c r="D42" s="712">
        <f t="shared" ref="D42:L42" si="14">D31+D37+D40</f>
        <v>155261.72492645582</v>
      </c>
      <c r="E42" s="712">
        <f t="shared" si="14"/>
        <v>-409025.82473469403</v>
      </c>
      <c r="F42" s="712">
        <f t="shared" si="14"/>
        <v>-14.34459073564301</v>
      </c>
      <c r="G42" s="712">
        <f t="shared" si="14"/>
        <v>-2.5074899999349509</v>
      </c>
      <c r="H42" s="712">
        <f t="shared" si="14"/>
        <v>-2300.1282836127239</v>
      </c>
      <c r="I42" s="712">
        <f t="shared" si="14"/>
        <v>5969.9615230611498</v>
      </c>
      <c r="J42" s="712">
        <f t="shared" si="14"/>
        <v>21718.328645714733</v>
      </c>
      <c r="K42" s="712">
        <f>K31+K37+K40</f>
        <v>-250111.11864952539</v>
      </c>
      <c r="L42" s="712">
        <f t="shared" si="14"/>
        <v>0</v>
      </c>
      <c r="M42" s="712">
        <f t="shared" ref="M42:N42" si="15">+M40+M37+M31</f>
        <v>152947.25205210745</v>
      </c>
      <c r="N42" s="712">
        <f t="shared" si="15"/>
        <v>-403058.37070163281</v>
      </c>
      <c r="O42" s="798" t="s">
        <v>1195</v>
      </c>
      <c r="P42" s="729">
        <f t="shared" si="1"/>
        <v>30</v>
      </c>
      <c r="Q42" s="749"/>
    </row>
    <row r="43" spans="1:17" ht="15.75" thickTop="1" x14ac:dyDescent="0.25">
      <c r="A43" s="729">
        <f t="shared" si="0"/>
        <v>31</v>
      </c>
      <c r="B43" s="714"/>
      <c r="C43" s="714"/>
      <c r="D43" s="739"/>
      <c r="E43" s="739"/>
      <c r="F43" s="739"/>
      <c r="G43" s="739"/>
      <c r="H43" s="739"/>
      <c r="I43" s="739"/>
      <c r="J43" s="739"/>
      <c r="K43" s="739"/>
      <c r="L43" s="739"/>
      <c r="M43" s="739"/>
      <c r="N43" s="739"/>
      <c r="O43" s="714"/>
      <c r="P43" s="729">
        <f t="shared" si="1"/>
        <v>31</v>
      </c>
      <c r="Q43" s="749"/>
    </row>
    <row r="44" spans="1:17" ht="15.75" thickBot="1" x14ac:dyDescent="0.3">
      <c r="A44" s="729">
        <f t="shared" si="0"/>
        <v>32</v>
      </c>
      <c r="B44" s="730" t="s">
        <v>1196</v>
      </c>
      <c r="C44" s="762"/>
      <c r="D44" s="712">
        <f t="shared" ref="D44:N44" si="16">D24+D42</f>
        <v>155261.72492645582</v>
      </c>
      <c r="E44" s="712">
        <f t="shared" si="16"/>
        <v>-409025.82473469403</v>
      </c>
      <c r="F44" s="712">
        <f t="shared" si="16"/>
        <v>-14.34459073564301</v>
      </c>
      <c r="G44" s="712">
        <f t="shared" si="16"/>
        <v>-2.5074899999349509</v>
      </c>
      <c r="H44" s="712">
        <f t="shared" si="16"/>
        <v>-2300.1282836127239</v>
      </c>
      <c r="I44" s="712">
        <f t="shared" si="16"/>
        <v>5969.9615230611498</v>
      </c>
      <c r="J44" s="712">
        <f t="shared" si="16"/>
        <v>23319.016964715753</v>
      </c>
      <c r="K44" s="712">
        <f t="shared" si="16"/>
        <v>-250111.11864952539</v>
      </c>
      <c r="L44" s="712">
        <f t="shared" si="16"/>
        <v>0</v>
      </c>
      <c r="M44" s="712">
        <f t="shared" si="16"/>
        <v>152947.25205210745</v>
      </c>
      <c r="N44" s="712">
        <f t="shared" si="16"/>
        <v>-403058.37070163281</v>
      </c>
      <c r="O44" s="730" t="s">
        <v>1197</v>
      </c>
      <c r="P44" s="729">
        <f t="shared" si="1"/>
        <v>32</v>
      </c>
      <c r="Q44" s="749"/>
    </row>
    <row r="45" spans="1:17" ht="15.75" thickTop="1" x14ac:dyDescent="0.25">
      <c r="A45" s="776"/>
      <c r="B45" s="714"/>
      <c r="C45" s="714"/>
      <c r="D45" s="714"/>
      <c r="E45" s="714"/>
      <c r="F45" s="714"/>
      <c r="G45" s="714"/>
      <c r="H45" s="714"/>
      <c r="I45" s="714"/>
      <c r="J45" s="714"/>
      <c r="K45" s="714"/>
      <c r="L45" s="714"/>
      <c r="M45" s="714">
        <f>'AF-2'!E35-M44</f>
        <v>0</v>
      </c>
      <c r="N45" s="714">
        <f>N44-'AF-2'!G35</f>
        <v>0</v>
      </c>
      <c r="O45" s="749"/>
      <c r="P45" s="749"/>
      <c r="Q45" s="749"/>
    </row>
    <row r="46" spans="1:17" x14ac:dyDescent="0.25">
      <c r="A46" s="776"/>
      <c r="B46" s="701" t="s">
        <v>1198</v>
      </c>
      <c r="C46" s="740"/>
      <c r="D46" s="714"/>
      <c r="E46" s="714"/>
      <c r="F46" s="714"/>
      <c r="G46" s="714"/>
      <c r="H46" s="714"/>
      <c r="I46" s="714"/>
      <c r="J46" s="714"/>
      <c r="K46" s="714"/>
      <c r="L46" s="714"/>
      <c r="M46" s="714"/>
      <c r="N46" s="714"/>
      <c r="O46" s="749"/>
      <c r="P46" s="749"/>
      <c r="Q46" s="749"/>
    </row>
    <row r="47" spans="1:17" x14ac:dyDescent="0.25">
      <c r="A47" s="776"/>
      <c r="B47" s="812" t="s">
        <v>1199</v>
      </c>
      <c r="C47" s="740"/>
      <c r="D47" s="714"/>
      <c r="E47" s="714"/>
      <c r="F47" s="714"/>
      <c r="G47" s="714"/>
      <c r="H47" s="714"/>
      <c r="I47" s="714"/>
      <c r="J47" s="714"/>
      <c r="K47" s="714"/>
      <c r="L47" s="714"/>
      <c r="M47" s="714"/>
      <c r="N47" s="714"/>
      <c r="O47" s="749"/>
      <c r="P47" s="749"/>
      <c r="Q47" s="749"/>
    </row>
    <row r="48" spans="1:17" x14ac:dyDescent="0.25">
      <c r="A48" s="776"/>
      <c r="B48" s="812" t="s">
        <v>1249</v>
      </c>
      <c r="C48" s="741"/>
      <c r="D48" s="741"/>
      <c r="E48" s="741"/>
      <c r="F48" s="714"/>
      <c r="G48" s="714"/>
      <c r="H48" s="714"/>
      <c r="I48" s="714"/>
      <c r="J48" s="714"/>
      <c r="K48" s="714"/>
      <c r="L48"/>
      <c r="M48" s="714"/>
      <c r="N48" s="714"/>
      <c r="O48" s="749"/>
      <c r="P48" s="749"/>
      <c r="Q48" s="749"/>
    </row>
    <row r="49" spans="1:17" x14ac:dyDescent="0.25">
      <c r="A49" s="776"/>
      <c r="B49" s="812" t="s">
        <v>1200</v>
      </c>
      <c r="C49" s="714"/>
      <c r="D49" s="714"/>
      <c r="E49" s="714"/>
      <c r="F49" s="714"/>
      <c r="G49" s="714"/>
      <c r="H49" s="714"/>
      <c r="I49" s="714"/>
      <c r="J49" s="714"/>
      <c r="K49" s="714"/>
      <c r="L49" s="714"/>
      <c r="M49" s="714"/>
      <c r="P49" s="749"/>
      <c r="Q49" s="749"/>
    </row>
    <row r="50" spans="1:17" x14ac:dyDescent="0.25">
      <c r="A50" s="776"/>
      <c r="B50" s="812" t="s">
        <v>1201</v>
      </c>
      <c r="C50" s="714"/>
      <c r="D50" s="806"/>
      <c r="E50" s="714"/>
      <c r="F50" s="714"/>
      <c r="G50" s="714"/>
      <c r="H50" s="714"/>
      <c r="I50" s="714"/>
      <c r="J50" s="714"/>
      <c r="K50" s="714"/>
      <c r="L50" s="714"/>
      <c r="M50" s="714"/>
      <c r="P50" s="749"/>
      <c r="Q50" s="749"/>
    </row>
    <row r="51" spans="1:17" x14ac:dyDescent="0.25">
      <c r="A51" s="776"/>
      <c r="B51" s="812" t="s">
        <v>1202</v>
      </c>
      <c r="C51" s="751"/>
      <c r="D51" s="783"/>
      <c r="E51" s="752"/>
      <c r="F51" s="714"/>
      <c r="G51" s="714"/>
      <c r="H51" s="714"/>
      <c r="I51" s="714"/>
      <c r="J51" s="714"/>
      <c r="K51" s="714"/>
      <c r="L51" s="714"/>
      <c r="M51" s="714"/>
      <c r="P51" s="749"/>
      <c r="Q51" s="749"/>
    </row>
    <row r="52" spans="1:17" x14ac:dyDescent="0.25">
      <c r="B52" s="812" t="s">
        <v>1203</v>
      </c>
      <c r="C52" s="751"/>
      <c r="D52" s="752"/>
      <c r="E52" s="752"/>
    </row>
    <row r="53" spans="1:17" x14ac:dyDescent="0.25">
      <c r="B53" s="812" t="s">
        <v>1204</v>
      </c>
      <c r="C53" s="751"/>
      <c r="D53" s="777"/>
      <c r="E53" s="777"/>
    </row>
    <row r="54" spans="1:17" x14ac:dyDescent="0.25">
      <c r="B54" s="812" t="s">
        <v>1205</v>
      </c>
      <c r="C54" s="741"/>
      <c r="D54" s="741"/>
      <c r="E54" s="741"/>
    </row>
    <row r="55" spans="1:17" x14ac:dyDescent="0.25">
      <c r="B55" s="812" t="s">
        <v>1206</v>
      </c>
    </row>
    <row r="56" spans="1:17" x14ac:dyDescent="0.25">
      <c r="B56" s="812" t="s">
        <v>1207</v>
      </c>
    </row>
    <row r="58" spans="1:17" x14ac:dyDescent="0.25">
      <c r="B58" s="742"/>
      <c r="C58" s="714"/>
      <c r="D58" s="714"/>
      <c r="E58" s="714"/>
      <c r="F58" s="731"/>
      <c r="G58" s="731"/>
      <c r="H58" s="776" t="s">
        <v>1208</v>
      </c>
      <c r="I58" s="776" t="s">
        <v>1209</v>
      </c>
      <c r="J58" s="776" t="s">
        <v>1210</v>
      </c>
      <c r="K58" s="776" t="s">
        <v>1211</v>
      </c>
      <c r="L58" s="776" t="s">
        <v>1212</v>
      </c>
    </row>
    <row r="59" spans="1:17" x14ac:dyDescent="0.25">
      <c r="B59" s="742"/>
      <c r="C59" s="714"/>
      <c r="D59" s="714"/>
      <c r="E59" s="714"/>
      <c r="F59" s="731"/>
      <c r="G59" s="731"/>
      <c r="H59" s="766" t="s">
        <v>1150</v>
      </c>
      <c r="I59" s="766" t="s">
        <v>1151</v>
      </c>
      <c r="J59" s="731"/>
    </row>
    <row r="60" spans="1:17" ht="39" x14ac:dyDescent="0.25">
      <c r="B60" s="813" t="s">
        <v>1213</v>
      </c>
      <c r="C60" s="714"/>
      <c r="D60" s="814" t="s">
        <v>1214</v>
      </c>
      <c r="E60" s="729"/>
      <c r="F60" s="731"/>
      <c r="G60" s="731"/>
      <c r="H60" s="815" t="s">
        <v>1167</v>
      </c>
      <c r="I60" s="815" t="s">
        <v>1168</v>
      </c>
      <c r="J60" s="815" t="s">
        <v>1215</v>
      </c>
      <c r="K60" s="815" t="s">
        <v>1216</v>
      </c>
      <c r="L60" s="815" t="s">
        <v>1217</v>
      </c>
    </row>
    <row r="61" spans="1:17" x14ac:dyDescent="0.25">
      <c r="B61" s="751" t="s">
        <v>1218</v>
      </c>
      <c r="C61" s="816" t="s">
        <v>1131</v>
      </c>
      <c r="D61" s="817">
        <v>0.21</v>
      </c>
      <c r="E61" s="818"/>
      <c r="F61" s="731"/>
      <c r="G61" s="751" t="s">
        <v>1219</v>
      </c>
      <c r="H61" s="714">
        <f>M24</f>
        <v>0</v>
      </c>
      <c r="I61" s="714">
        <f>N24</f>
        <v>0</v>
      </c>
      <c r="J61" s="819">
        <f>D66-1</f>
        <v>0.38857260290711548</v>
      </c>
      <c r="K61" s="714">
        <f>H61*J61</f>
        <v>0</v>
      </c>
      <c r="L61" s="714">
        <f>I61*J61</f>
        <v>0</v>
      </c>
    </row>
    <row r="62" spans="1:17" x14ac:dyDescent="0.25">
      <c r="B62" s="751" t="s">
        <v>1220</v>
      </c>
      <c r="C62" s="816" t="s">
        <v>1133</v>
      </c>
      <c r="D62" s="817">
        <v>8.8400000000000006E-2</v>
      </c>
      <c r="E62" s="818"/>
      <c r="F62" s="731"/>
      <c r="G62" s="751" t="s">
        <v>1221</v>
      </c>
      <c r="H62" s="714">
        <f>M42</f>
        <v>152947.25205210745</v>
      </c>
      <c r="I62" s="714">
        <f>N42</f>
        <v>-403058.37070163281</v>
      </c>
      <c r="J62" s="819">
        <f>D66-1</f>
        <v>0.38857260290711548</v>
      </c>
      <c r="K62" s="714">
        <f>H62*J62</f>
        <v>59431.111837378048</v>
      </c>
      <c r="L62" s="714">
        <f>I62*J62</f>
        <v>-156617.4402270345</v>
      </c>
    </row>
    <row r="63" spans="1:17" x14ac:dyDescent="0.25">
      <c r="B63" s="751" t="s">
        <v>1222</v>
      </c>
      <c r="C63" s="816" t="s">
        <v>1223</v>
      </c>
      <c r="D63" s="821">
        <f>-D62*D61</f>
        <v>-1.8564000000000001E-2</v>
      </c>
      <c r="E63" s="818"/>
      <c r="F63" s="818"/>
      <c r="G63" s="743"/>
      <c r="H63" s="743"/>
      <c r="I63" s="743"/>
      <c r="J63" s="743"/>
      <c r="K63" s="743"/>
      <c r="L63" s="743"/>
    </row>
    <row r="64" spans="1:17" x14ac:dyDescent="0.25">
      <c r="B64" s="751" t="s">
        <v>1224</v>
      </c>
      <c r="C64" s="816" t="s">
        <v>1225</v>
      </c>
      <c r="D64" s="822">
        <f>SUM(D61:D63)</f>
        <v>0.27983599999999997</v>
      </c>
      <c r="E64" s="820"/>
      <c r="F64" s="818"/>
    </row>
    <row r="65" spans="2:6" x14ac:dyDescent="0.25">
      <c r="B65" s="751" t="s">
        <v>1226</v>
      </c>
      <c r="C65" s="816" t="s">
        <v>1227</v>
      </c>
      <c r="D65" s="822">
        <f>1-D64</f>
        <v>0.72016400000000003</v>
      </c>
      <c r="E65" s="820"/>
      <c r="F65" s="818"/>
    </row>
    <row r="66" spans="2:6" x14ac:dyDescent="0.25">
      <c r="B66" s="751" t="s">
        <v>1215</v>
      </c>
      <c r="C66" s="816" t="s">
        <v>1228</v>
      </c>
      <c r="D66" s="823">
        <f>1/D65</f>
        <v>1.3885726029071155</v>
      </c>
      <c r="E66" s="819"/>
      <c r="F66" s="819"/>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Normal="100" workbookViewId="0"/>
  </sheetViews>
  <sheetFormatPr defaultColWidth="14.5703125" defaultRowHeight="15" x14ac:dyDescent="0.25"/>
  <cols>
    <col min="1" max="1" width="5.7109375" style="750" customWidth="1"/>
    <col min="2" max="2" width="45.7109375" style="750" customWidth="1"/>
    <col min="3" max="3" width="8.7109375" style="750" customWidth="1"/>
    <col min="4" max="9" width="16.5703125" style="750" customWidth="1"/>
    <col min="10" max="10" width="45.7109375" style="750" customWidth="1"/>
    <col min="11" max="11" width="5.7109375" style="750" customWidth="1"/>
    <col min="12" max="12" width="15.7109375" style="750" customWidth="1"/>
    <col min="13" max="16384" width="14.5703125" style="750"/>
  </cols>
  <sheetData>
    <row r="1" spans="1:12" x14ac:dyDescent="0.25">
      <c r="A1" s="756"/>
      <c r="B1" s="754" t="s">
        <v>0</v>
      </c>
      <c r="C1" s="755"/>
      <c r="D1" s="755"/>
      <c r="E1" s="755"/>
      <c r="F1" s="755"/>
      <c r="G1" s="755"/>
      <c r="H1" s="755"/>
      <c r="I1" s="755"/>
      <c r="J1" s="755"/>
      <c r="K1" s="756"/>
    </row>
    <row r="2" spans="1:12" x14ac:dyDescent="0.25">
      <c r="A2" s="756"/>
      <c r="B2" s="754" t="s">
        <v>1250</v>
      </c>
      <c r="C2" s="755"/>
      <c r="D2" s="755"/>
      <c r="E2" s="755"/>
      <c r="F2" s="755"/>
      <c r="G2" s="755"/>
      <c r="H2" s="755"/>
      <c r="I2" s="755"/>
      <c r="J2" s="755"/>
      <c r="K2" s="756"/>
    </row>
    <row r="3" spans="1:12" x14ac:dyDescent="0.25">
      <c r="A3" s="756"/>
      <c r="B3" s="725" t="s">
        <v>1137</v>
      </c>
      <c r="C3" s="755"/>
      <c r="D3" s="755"/>
      <c r="E3" s="755"/>
      <c r="F3" s="755"/>
      <c r="G3" s="755"/>
      <c r="H3" s="755"/>
      <c r="I3" s="755"/>
      <c r="J3" s="755"/>
      <c r="K3" s="756"/>
    </row>
    <row r="4" spans="1:12" x14ac:dyDescent="0.25">
      <c r="A4" s="762"/>
      <c r="B4" s="784" t="s">
        <v>1482</v>
      </c>
      <c r="C4" s="785"/>
      <c r="D4" s="785"/>
      <c r="E4" s="785"/>
      <c r="F4" s="785"/>
      <c r="G4" s="785"/>
      <c r="H4" s="785"/>
      <c r="I4" s="785"/>
      <c r="J4" s="785"/>
      <c r="K4" s="786"/>
      <c r="L4" s="761"/>
    </row>
    <row r="5" spans="1:12" x14ac:dyDescent="0.25">
      <c r="A5" s="762"/>
      <c r="B5" s="1327" t="s">
        <v>4</v>
      </c>
      <c r="C5" s="1327"/>
      <c r="D5" s="1327"/>
      <c r="E5" s="1327"/>
      <c r="F5" s="1327"/>
      <c r="G5" s="1327"/>
      <c r="H5" s="1327"/>
      <c r="I5" s="1327"/>
      <c r="J5" s="1327"/>
      <c r="K5" s="786"/>
      <c r="L5" s="761"/>
    </row>
    <row r="6" spans="1:12" x14ac:dyDescent="0.25">
      <c r="A6" s="714"/>
      <c r="B6" s="787"/>
      <c r="C6" s="730"/>
      <c r="D6" s="730"/>
      <c r="E6" s="730"/>
      <c r="F6" s="730"/>
      <c r="G6" s="730"/>
      <c r="H6" s="730"/>
      <c r="I6" s="730"/>
      <c r="J6" s="765"/>
      <c r="K6" s="765"/>
      <c r="L6" s="749"/>
    </row>
    <row r="7" spans="1:12" x14ac:dyDescent="0.25">
      <c r="A7" s="714"/>
      <c r="B7" s="787"/>
      <c r="C7" s="730"/>
      <c r="D7" s="730"/>
      <c r="E7" s="730"/>
      <c r="F7" s="730"/>
      <c r="G7" s="730"/>
      <c r="H7" s="752" t="s">
        <v>1138</v>
      </c>
      <c r="I7" s="764">
        <v>2023</v>
      </c>
      <c r="J7" s="765"/>
      <c r="K7" s="765"/>
      <c r="L7" s="749"/>
    </row>
    <row r="8" spans="1:12" x14ac:dyDescent="0.25">
      <c r="A8" s="714"/>
      <c r="B8" s="787"/>
      <c r="C8" s="730"/>
      <c r="D8" s="730"/>
      <c r="E8" s="730"/>
      <c r="F8" s="730"/>
      <c r="G8" s="730"/>
      <c r="H8" s="752" t="s">
        <v>1230</v>
      </c>
      <c r="I8" s="788" t="s">
        <v>949</v>
      </c>
      <c r="J8" s="765"/>
      <c r="K8" s="765"/>
      <c r="L8" s="749"/>
    </row>
    <row r="9" spans="1:12" x14ac:dyDescent="0.25">
      <c r="A9" s="714"/>
      <c r="B9" s="714"/>
      <c r="C9" s="714"/>
      <c r="D9" s="714"/>
      <c r="E9" s="714"/>
      <c r="F9" s="714"/>
      <c r="G9" s="714"/>
      <c r="H9" s="751" t="s">
        <v>1231</v>
      </c>
      <c r="I9" s="789"/>
      <c r="J9" s="765"/>
      <c r="K9" s="765"/>
      <c r="L9" s="749"/>
    </row>
    <row r="10" spans="1:12" x14ac:dyDescent="0.25">
      <c r="A10" s="714"/>
      <c r="B10" s="714"/>
      <c r="C10" s="714"/>
      <c r="D10" s="714"/>
      <c r="E10" s="714"/>
      <c r="F10" s="714"/>
      <c r="G10" s="714"/>
      <c r="H10" s="751"/>
      <c r="I10" s="751"/>
      <c r="J10" s="765"/>
      <c r="K10" s="765"/>
      <c r="L10" s="749"/>
    </row>
    <row r="11" spans="1:12" x14ac:dyDescent="0.25">
      <c r="A11" s="730"/>
      <c r="B11" s="766" t="s">
        <v>1139</v>
      </c>
      <c r="C11" s="766" t="s">
        <v>1140</v>
      </c>
      <c r="D11" s="766" t="s">
        <v>1141</v>
      </c>
      <c r="E11" s="766" t="s">
        <v>1142</v>
      </c>
      <c r="F11" s="766" t="s">
        <v>1143</v>
      </c>
      <c r="G11" s="766" t="s">
        <v>1144</v>
      </c>
      <c r="H11" s="766" t="s">
        <v>1145</v>
      </c>
      <c r="I11" s="766" t="s">
        <v>1146</v>
      </c>
      <c r="J11" s="765"/>
      <c r="K11" s="765"/>
      <c r="L11" s="749"/>
    </row>
    <row r="12" spans="1:12" ht="15.75" thickBot="1" x14ac:dyDescent="0.3">
      <c r="A12" s="714"/>
      <c r="B12" s="730"/>
      <c r="C12" s="730"/>
      <c r="D12" s="714"/>
      <c r="E12" s="714"/>
      <c r="F12" s="714"/>
      <c r="G12" s="714"/>
      <c r="H12" s="714"/>
      <c r="I12" s="714"/>
      <c r="J12" s="765"/>
      <c r="K12" s="765"/>
      <c r="L12" s="749"/>
    </row>
    <row r="13" spans="1:12" ht="15.75" thickBot="1" x14ac:dyDescent="0.3">
      <c r="A13" s="714"/>
      <c r="B13" s="730"/>
      <c r="C13" s="730"/>
      <c r="D13" s="1331" t="s">
        <v>1251</v>
      </c>
      <c r="E13" s="1332"/>
      <c r="F13" s="1332"/>
      <c r="G13" s="1332"/>
      <c r="H13" s="1332"/>
      <c r="I13" s="1333"/>
      <c r="J13" s="765"/>
      <c r="K13" s="765"/>
      <c r="L13" s="749"/>
    </row>
    <row r="14" spans="1:12" ht="15.75" thickBot="1" x14ac:dyDescent="0.3">
      <c r="A14" s="714"/>
      <c r="B14" s="730"/>
      <c r="C14" s="730"/>
      <c r="D14" s="769"/>
      <c r="E14" s="769"/>
      <c r="F14" s="790" t="s">
        <v>1233</v>
      </c>
      <c r="G14" s="791" t="s">
        <v>1234</v>
      </c>
      <c r="H14" s="790" t="s">
        <v>1252</v>
      </c>
      <c r="I14" s="790" t="s">
        <v>1236</v>
      </c>
      <c r="J14" s="765"/>
      <c r="K14" s="765"/>
      <c r="L14" s="749"/>
    </row>
    <row r="15" spans="1:12" ht="39" thickBot="1" x14ac:dyDescent="0.3">
      <c r="A15" s="771" t="s">
        <v>1155</v>
      </c>
      <c r="B15" s="797" t="s">
        <v>1156</v>
      </c>
      <c r="C15" s="772" t="s">
        <v>1157</v>
      </c>
      <c r="D15" s="773" t="s">
        <v>1237</v>
      </c>
      <c r="E15" s="773" t="s">
        <v>1238</v>
      </c>
      <c r="F15" s="773" t="s">
        <v>1239</v>
      </c>
      <c r="G15" s="773" t="s">
        <v>1240</v>
      </c>
      <c r="H15" s="773" t="s">
        <v>1241</v>
      </c>
      <c r="I15" s="773" t="s">
        <v>1242</v>
      </c>
      <c r="J15" s="797" t="s">
        <v>8</v>
      </c>
      <c r="K15" s="771" t="s">
        <v>1155</v>
      </c>
      <c r="L15" s="744"/>
    </row>
    <row r="16" spans="1:12" x14ac:dyDescent="0.25">
      <c r="A16" s="729">
        <v>1</v>
      </c>
      <c r="B16" s="714" t="s">
        <v>1169</v>
      </c>
      <c r="C16" s="736"/>
      <c r="D16" s="714"/>
      <c r="E16" s="714"/>
      <c r="F16" s="714"/>
      <c r="G16" s="714"/>
      <c r="H16" s="714"/>
      <c r="I16" s="714"/>
      <c r="J16" s="714"/>
      <c r="K16" s="729">
        <v>1</v>
      </c>
      <c r="L16" s="749"/>
    </row>
    <row r="17" spans="1:12" x14ac:dyDescent="0.25">
      <c r="A17" s="729">
        <f t="shared" ref="A17:A47" si="0">+A16+1</f>
        <v>2</v>
      </c>
      <c r="B17" s="714" t="s">
        <v>1170</v>
      </c>
      <c r="C17" s="729"/>
      <c r="D17" s="719"/>
      <c r="E17" s="719"/>
      <c r="F17" s="714"/>
      <c r="G17" s="714"/>
      <c r="H17" s="714"/>
      <c r="I17" s="714"/>
      <c r="J17" s="730"/>
      <c r="K17" s="729">
        <f t="shared" ref="K17:K47" si="1">+K16+1</f>
        <v>2</v>
      </c>
      <c r="L17" s="749"/>
    </row>
    <row r="18" spans="1:12" x14ac:dyDescent="0.25">
      <c r="A18" s="729">
        <f t="shared" si="0"/>
        <v>3</v>
      </c>
      <c r="B18" s="714" t="s">
        <v>1171</v>
      </c>
      <c r="C18" s="729">
        <v>190</v>
      </c>
      <c r="D18" s="719"/>
      <c r="E18" s="719"/>
      <c r="F18" s="714">
        <f t="shared" ref="F18:F20" si="2">+D18*$I$9</f>
        <v>0</v>
      </c>
      <c r="G18" s="714">
        <f t="shared" ref="G18:G20" si="3">+E18-F18</f>
        <v>0</v>
      </c>
      <c r="H18" s="714">
        <f>IF(+$I$8="No",0,'Order 864-3'!K15)</f>
        <v>0</v>
      </c>
      <c r="I18" s="714">
        <f t="shared" ref="I18:I20" si="4">+G18-H18</f>
        <v>0</v>
      </c>
      <c r="J18" s="730" t="s">
        <v>258</v>
      </c>
      <c r="K18" s="729">
        <f t="shared" si="1"/>
        <v>3</v>
      </c>
      <c r="L18" s="749"/>
    </row>
    <row r="19" spans="1:12" x14ac:dyDescent="0.25">
      <c r="A19" s="729">
        <f t="shared" si="0"/>
        <v>4</v>
      </c>
      <c r="B19" s="714" t="s">
        <v>1172</v>
      </c>
      <c r="C19" s="729">
        <v>190</v>
      </c>
      <c r="D19" s="719"/>
      <c r="E19" s="719"/>
      <c r="F19" s="714">
        <f t="shared" si="2"/>
        <v>0</v>
      </c>
      <c r="G19" s="714">
        <f t="shared" si="3"/>
        <v>0</v>
      </c>
      <c r="H19" s="714">
        <f>IF(+$I$8="No",0,'Order 864-3'!K16)</f>
        <v>0</v>
      </c>
      <c r="I19" s="714">
        <f t="shared" si="4"/>
        <v>0</v>
      </c>
      <c r="J19" s="730" t="s">
        <v>258</v>
      </c>
      <c r="K19" s="729">
        <f t="shared" si="1"/>
        <v>4</v>
      </c>
      <c r="L19" s="749"/>
    </row>
    <row r="20" spans="1:12" x14ac:dyDescent="0.25">
      <c r="A20" s="729">
        <f t="shared" si="0"/>
        <v>5</v>
      </c>
      <c r="B20" s="714" t="s">
        <v>1173</v>
      </c>
      <c r="C20" s="729">
        <v>190</v>
      </c>
      <c r="D20" s="719"/>
      <c r="E20" s="719"/>
      <c r="F20" s="714">
        <f t="shared" si="2"/>
        <v>0</v>
      </c>
      <c r="G20" s="714">
        <f t="shared" si="3"/>
        <v>0</v>
      </c>
      <c r="H20" s="714">
        <f>IF(+$I$8="No",0,'Order 864-3'!K17)</f>
        <v>0</v>
      </c>
      <c r="I20" s="714">
        <f t="shared" si="4"/>
        <v>0</v>
      </c>
      <c r="J20" s="730" t="s">
        <v>258</v>
      </c>
      <c r="K20" s="729">
        <f t="shared" si="1"/>
        <v>5</v>
      </c>
      <c r="L20" s="749"/>
    </row>
    <row r="21" spans="1:12" x14ac:dyDescent="0.25">
      <c r="A21" s="729">
        <f t="shared" si="0"/>
        <v>6</v>
      </c>
      <c r="B21" s="714" t="s">
        <v>1174</v>
      </c>
      <c r="C21" s="729"/>
      <c r="D21" s="719"/>
      <c r="E21" s="719"/>
      <c r="F21" s="714"/>
      <c r="G21" s="714"/>
      <c r="H21" s="714"/>
      <c r="I21" s="714"/>
      <c r="J21" s="730"/>
      <c r="K21" s="729">
        <f t="shared" si="1"/>
        <v>6</v>
      </c>
      <c r="L21" s="749"/>
    </row>
    <row r="22" spans="1:12" x14ac:dyDescent="0.25">
      <c r="A22" s="729">
        <f t="shared" si="0"/>
        <v>7</v>
      </c>
      <c r="B22" s="714" t="s">
        <v>1175</v>
      </c>
      <c r="C22" s="729">
        <v>190</v>
      </c>
      <c r="D22" s="719"/>
      <c r="E22" s="719"/>
      <c r="F22" s="714">
        <f t="shared" ref="F22" si="5">+D22*$I$9</f>
        <v>0</v>
      </c>
      <c r="G22" s="714">
        <f t="shared" ref="G22" si="6">+E22-F22</f>
        <v>0</v>
      </c>
      <c r="H22" s="714">
        <f>IF(+$I$8="No",0,'Order 864-3'!K19)</f>
        <v>0</v>
      </c>
      <c r="I22" s="714">
        <f t="shared" ref="I22" si="7">+G22-H22</f>
        <v>0</v>
      </c>
      <c r="J22" s="730" t="s">
        <v>258</v>
      </c>
      <c r="K22" s="729">
        <f t="shared" si="1"/>
        <v>7</v>
      </c>
      <c r="L22" s="749"/>
    </row>
    <row r="23" spans="1:12" x14ac:dyDescent="0.25">
      <c r="A23" s="729">
        <f t="shared" si="0"/>
        <v>8</v>
      </c>
      <c r="B23" s="714" t="s">
        <v>1176</v>
      </c>
      <c r="C23" s="729"/>
      <c r="D23" s="719"/>
      <c r="E23" s="719"/>
      <c r="F23" s="714"/>
      <c r="G23" s="714"/>
      <c r="H23" s="714"/>
      <c r="I23" s="714"/>
      <c r="J23" s="730"/>
      <c r="K23" s="729">
        <f t="shared" si="1"/>
        <v>8</v>
      </c>
      <c r="L23" s="749"/>
    </row>
    <row r="24" spans="1:12" x14ac:dyDescent="0.25">
      <c r="A24" s="729">
        <f t="shared" si="0"/>
        <v>9</v>
      </c>
      <c r="B24" s="714" t="s">
        <v>1177</v>
      </c>
      <c r="C24" s="729">
        <v>283</v>
      </c>
      <c r="D24" s="719"/>
      <c r="E24" s="719"/>
      <c r="F24" s="714">
        <f t="shared" ref="F24:F25" si="8">+D24*$I$9</f>
        <v>0</v>
      </c>
      <c r="G24" s="714">
        <f t="shared" ref="G24:G25" si="9">+E24-F24</f>
        <v>0</v>
      </c>
      <c r="H24" s="714">
        <f>IF(+$I$8="No",0,'Order 864-3'!K21)</f>
        <v>0</v>
      </c>
      <c r="I24" s="714">
        <f t="shared" ref="I24:I25" si="10">+G24-H24</f>
        <v>0</v>
      </c>
      <c r="J24" s="730" t="s">
        <v>258</v>
      </c>
      <c r="K24" s="729">
        <f t="shared" si="1"/>
        <v>9</v>
      </c>
      <c r="L24" s="749"/>
    </row>
    <row r="25" spans="1:12" x14ac:dyDescent="0.25">
      <c r="A25" s="729">
        <f t="shared" si="0"/>
        <v>10</v>
      </c>
      <c r="B25" s="714" t="s">
        <v>1178</v>
      </c>
      <c r="C25" s="729">
        <v>283</v>
      </c>
      <c r="D25" s="747"/>
      <c r="E25" s="747"/>
      <c r="F25" s="748">
        <f t="shared" si="8"/>
        <v>0</v>
      </c>
      <c r="G25" s="748">
        <f t="shared" si="9"/>
        <v>0</v>
      </c>
      <c r="H25" s="748">
        <f>IF(+$I$8="No",0,'Order 864-3'!K22)</f>
        <v>0</v>
      </c>
      <c r="I25" s="748">
        <f t="shared" si="10"/>
        <v>0</v>
      </c>
      <c r="J25" s="730" t="s">
        <v>258</v>
      </c>
      <c r="K25" s="729">
        <f t="shared" si="1"/>
        <v>10</v>
      </c>
      <c r="L25" s="749"/>
    </row>
    <row r="26" spans="1:12" x14ac:dyDescent="0.25">
      <c r="A26" s="729">
        <f t="shared" si="0"/>
        <v>11</v>
      </c>
      <c r="B26" s="730"/>
      <c r="C26" s="731"/>
      <c r="D26" s="714"/>
      <c r="E26" s="714"/>
      <c r="F26" s="714"/>
      <c r="G26" s="714"/>
      <c r="H26" s="714"/>
      <c r="I26" s="714"/>
      <c r="J26" s="714"/>
      <c r="K26" s="729">
        <f t="shared" si="1"/>
        <v>11</v>
      </c>
      <c r="L26" s="749"/>
    </row>
    <row r="27" spans="1:12" ht="15.75" thickBot="1" x14ac:dyDescent="0.3">
      <c r="A27" s="729">
        <f t="shared" si="0"/>
        <v>12</v>
      </c>
      <c r="B27" s="730" t="s">
        <v>1179</v>
      </c>
      <c r="C27" s="731"/>
      <c r="D27" s="712">
        <f>SUM(D17:D25)</f>
        <v>0</v>
      </c>
      <c r="E27" s="712">
        <f t="shared" ref="E27:I27" si="11">SUM(E17:E25)</f>
        <v>0</v>
      </c>
      <c r="F27" s="712">
        <f t="shared" si="11"/>
        <v>0</v>
      </c>
      <c r="G27" s="712">
        <f t="shared" si="11"/>
        <v>0</v>
      </c>
      <c r="H27" s="712">
        <f t="shared" si="11"/>
        <v>0</v>
      </c>
      <c r="I27" s="712">
        <f t="shared" si="11"/>
        <v>0</v>
      </c>
      <c r="J27" s="730" t="s">
        <v>1180</v>
      </c>
      <c r="K27" s="729">
        <f t="shared" si="1"/>
        <v>12</v>
      </c>
      <c r="L27" s="749"/>
    </row>
    <row r="28" spans="1:12" ht="15.75" thickTop="1" x14ac:dyDescent="0.25">
      <c r="A28" s="729">
        <f t="shared" si="0"/>
        <v>13</v>
      </c>
      <c r="B28" s="745"/>
      <c r="C28" s="731"/>
      <c r="D28" s="734"/>
      <c r="E28" s="734"/>
      <c r="F28" s="734"/>
      <c r="G28" s="734"/>
      <c r="H28" s="734"/>
      <c r="I28" s="734"/>
      <c r="J28" s="714"/>
      <c r="K28" s="729">
        <f t="shared" si="1"/>
        <v>13</v>
      </c>
      <c r="L28" s="749"/>
    </row>
    <row r="29" spans="1:12" x14ac:dyDescent="0.25">
      <c r="A29" s="729">
        <f t="shared" si="0"/>
        <v>14</v>
      </c>
      <c r="B29" s="714" t="s">
        <v>1181</v>
      </c>
      <c r="C29" s="735"/>
      <c r="D29" s="714"/>
      <c r="E29" s="714"/>
      <c r="F29" s="714"/>
      <c r="G29" s="714"/>
      <c r="H29" s="714"/>
      <c r="I29" s="714"/>
      <c r="J29" s="714"/>
      <c r="K29" s="729">
        <f t="shared" si="1"/>
        <v>14</v>
      </c>
      <c r="L29" s="749"/>
    </row>
    <row r="30" spans="1:12" x14ac:dyDescent="0.25">
      <c r="A30" s="729">
        <f t="shared" si="0"/>
        <v>15</v>
      </c>
      <c r="B30" s="714" t="s">
        <v>1182</v>
      </c>
      <c r="C30" s="729">
        <v>190</v>
      </c>
      <c r="D30" s="792"/>
      <c r="E30" s="719"/>
      <c r="F30" s="714">
        <f>+D30*$I$9</f>
        <v>0</v>
      </c>
      <c r="G30" s="714">
        <f>+E30-F30</f>
        <v>0</v>
      </c>
      <c r="H30" s="714">
        <f>IF(+$I$8="No",0,'Order 864-3'!K27)</f>
        <v>0</v>
      </c>
      <c r="I30" s="714">
        <f>+G30-H30</f>
        <v>0</v>
      </c>
      <c r="J30" s="730" t="s">
        <v>258</v>
      </c>
      <c r="K30" s="729">
        <f t="shared" si="1"/>
        <v>15</v>
      </c>
      <c r="L30" s="749"/>
    </row>
    <row r="31" spans="1:12" x14ac:dyDescent="0.25">
      <c r="A31" s="729">
        <f t="shared" si="0"/>
        <v>16</v>
      </c>
      <c r="B31" s="714" t="s">
        <v>1183</v>
      </c>
      <c r="C31" s="729"/>
      <c r="D31" s="792"/>
      <c r="E31" s="719"/>
      <c r="F31" s="714"/>
      <c r="G31" s="714"/>
      <c r="H31" s="714"/>
      <c r="I31" s="714"/>
      <c r="J31" s="730"/>
      <c r="K31" s="729">
        <f t="shared" si="1"/>
        <v>16</v>
      </c>
      <c r="L31" s="749"/>
    </row>
    <row r="32" spans="1:12" x14ac:dyDescent="0.25">
      <c r="A32" s="729">
        <f t="shared" si="0"/>
        <v>17</v>
      </c>
      <c r="B32" s="714" t="s">
        <v>1184</v>
      </c>
      <c r="C32" s="729">
        <v>282</v>
      </c>
      <c r="D32" s="792"/>
      <c r="E32" s="719"/>
      <c r="F32" s="714">
        <f t="shared" ref="F32:F33" si="12">+D32*$I$9</f>
        <v>0</v>
      </c>
      <c r="G32" s="714">
        <f t="shared" ref="G32:G33" si="13">+E32-F32</f>
        <v>0</v>
      </c>
      <c r="H32" s="714">
        <f>IF(+$I$8="No",0,'Order 864-3'!K29)</f>
        <v>0</v>
      </c>
      <c r="I32" s="714">
        <f t="shared" ref="I32:I33" si="14">+G32-H32</f>
        <v>0</v>
      </c>
      <c r="J32" s="730" t="s">
        <v>258</v>
      </c>
      <c r="K32" s="729">
        <f t="shared" si="1"/>
        <v>17</v>
      </c>
      <c r="L32" s="749"/>
    </row>
    <row r="33" spans="1:12" x14ac:dyDescent="0.25">
      <c r="A33" s="729">
        <f t="shared" si="0"/>
        <v>18</v>
      </c>
      <c r="B33" s="714" t="s">
        <v>1185</v>
      </c>
      <c r="C33" s="729">
        <v>282</v>
      </c>
      <c r="D33" s="792"/>
      <c r="E33" s="719"/>
      <c r="F33" s="714">
        <f t="shared" si="12"/>
        <v>0</v>
      </c>
      <c r="G33" s="714">
        <f t="shared" si="13"/>
        <v>0</v>
      </c>
      <c r="H33" s="714">
        <f>IF(+$I$8="No",0,'Order 864-3'!K30)</f>
        <v>0</v>
      </c>
      <c r="I33" s="714">
        <f t="shared" si="14"/>
        <v>0</v>
      </c>
      <c r="J33" s="730" t="s">
        <v>258</v>
      </c>
      <c r="K33" s="729">
        <f t="shared" si="1"/>
        <v>18</v>
      </c>
      <c r="L33" s="749"/>
    </row>
    <row r="34" spans="1:12" x14ac:dyDescent="0.25">
      <c r="A34" s="729">
        <f t="shared" si="0"/>
        <v>19</v>
      </c>
      <c r="B34" s="730" t="s">
        <v>1186</v>
      </c>
      <c r="C34" s="731"/>
      <c r="D34" s="722">
        <f t="shared" ref="D34:I34" si="15">SUM(D30:D33)</f>
        <v>0</v>
      </c>
      <c r="E34" s="722">
        <f t="shared" si="15"/>
        <v>0</v>
      </c>
      <c r="F34" s="722">
        <f t="shared" si="15"/>
        <v>0</v>
      </c>
      <c r="G34" s="722">
        <f t="shared" si="15"/>
        <v>0</v>
      </c>
      <c r="H34" s="722">
        <f t="shared" si="15"/>
        <v>0</v>
      </c>
      <c r="I34" s="722">
        <f t="shared" si="15"/>
        <v>0</v>
      </c>
      <c r="J34" s="730" t="s">
        <v>1253</v>
      </c>
      <c r="K34" s="729">
        <f t="shared" si="1"/>
        <v>19</v>
      </c>
      <c r="L34" s="749"/>
    </row>
    <row r="35" spans="1:12" x14ac:dyDescent="0.25">
      <c r="A35" s="729">
        <f t="shared" si="0"/>
        <v>20</v>
      </c>
      <c r="B35" s="714"/>
      <c r="C35" s="731"/>
      <c r="D35" s="714"/>
      <c r="E35" s="714"/>
      <c r="F35" s="714"/>
      <c r="G35" s="714"/>
      <c r="H35" s="714"/>
      <c r="I35" s="714"/>
      <c r="J35" s="714"/>
      <c r="K35" s="729">
        <f t="shared" si="1"/>
        <v>20</v>
      </c>
      <c r="L35" s="749"/>
    </row>
    <row r="36" spans="1:12" x14ac:dyDescent="0.25">
      <c r="A36" s="729">
        <f t="shared" si="0"/>
        <v>21</v>
      </c>
      <c r="B36" s="714" t="s">
        <v>1188</v>
      </c>
      <c r="C36" s="736"/>
      <c r="D36" s="714"/>
      <c r="E36" s="714"/>
      <c r="F36" s="714"/>
      <c r="G36" s="714"/>
      <c r="H36" s="714"/>
      <c r="I36" s="714"/>
      <c r="J36" s="714"/>
      <c r="K36" s="729">
        <f t="shared" si="1"/>
        <v>21</v>
      </c>
      <c r="L36" s="749"/>
    </row>
    <row r="37" spans="1:12" x14ac:dyDescent="0.25">
      <c r="A37" s="729">
        <f t="shared" si="0"/>
        <v>22</v>
      </c>
      <c r="B37" s="714" t="s">
        <v>1189</v>
      </c>
      <c r="C37" s="729">
        <v>282</v>
      </c>
      <c r="D37" s="719"/>
      <c r="E37" s="719"/>
      <c r="F37" s="714">
        <f t="shared" ref="F37:F39" si="16">+D37*$I$9</f>
        <v>0</v>
      </c>
      <c r="G37" s="714">
        <f t="shared" ref="G37:G39" si="17">+E37-F37</f>
        <v>0</v>
      </c>
      <c r="H37" s="714">
        <f>IF(+$I$8="No",0,'Order 864-3'!K34)</f>
        <v>0</v>
      </c>
      <c r="I37" s="714">
        <f t="shared" ref="I37:I39" si="18">+G37-H37</f>
        <v>0</v>
      </c>
      <c r="J37" s="730" t="s">
        <v>258</v>
      </c>
      <c r="K37" s="729">
        <f t="shared" si="1"/>
        <v>22</v>
      </c>
      <c r="L37" s="749"/>
    </row>
    <row r="38" spans="1:12" x14ac:dyDescent="0.25">
      <c r="A38" s="729">
        <f t="shared" si="0"/>
        <v>23</v>
      </c>
      <c r="B38" s="714" t="s">
        <v>1190</v>
      </c>
      <c r="C38" s="729">
        <v>282</v>
      </c>
      <c r="D38" s="719"/>
      <c r="E38" s="719"/>
      <c r="F38" s="714">
        <f t="shared" si="16"/>
        <v>0</v>
      </c>
      <c r="G38" s="714">
        <f t="shared" si="17"/>
        <v>0</v>
      </c>
      <c r="H38" s="714">
        <f>IF(+$I$8="No",0,'Order 864-3'!K35)</f>
        <v>0</v>
      </c>
      <c r="I38" s="714">
        <f t="shared" si="18"/>
        <v>0</v>
      </c>
      <c r="J38" s="730" t="s">
        <v>258</v>
      </c>
      <c r="K38" s="729">
        <f t="shared" si="1"/>
        <v>23</v>
      </c>
      <c r="L38" s="749"/>
    </row>
    <row r="39" spans="1:12" x14ac:dyDescent="0.25">
      <c r="A39" s="729">
        <f t="shared" si="0"/>
        <v>24</v>
      </c>
      <c r="B39" s="714" t="s">
        <v>1191</v>
      </c>
      <c r="C39" s="737">
        <v>282</v>
      </c>
      <c r="D39" s="719"/>
      <c r="E39" s="719"/>
      <c r="F39" s="714">
        <f t="shared" si="16"/>
        <v>0</v>
      </c>
      <c r="G39" s="714">
        <f t="shared" si="17"/>
        <v>0</v>
      </c>
      <c r="H39" s="714">
        <f>IF(+$I$8="No",0,'Order 864-3'!K36)</f>
        <v>0</v>
      </c>
      <c r="I39" s="714">
        <f t="shared" si="18"/>
        <v>0</v>
      </c>
      <c r="J39" s="730" t="s">
        <v>258</v>
      </c>
      <c r="K39" s="729">
        <f t="shared" si="1"/>
        <v>24</v>
      </c>
      <c r="L39" s="749"/>
    </row>
    <row r="40" spans="1:12" x14ac:dyDescent="0.25">
      <c r="A40" s="729">
        <f t="shared" si="0"/>
        <v>25</v>
      </c>
      <c r="B40" s="730" t="s">
        <v>1186</v>
      </c>
      <c r="C40" s="731"/>
      <c r="D40" s="722">
        <f t="shared" ref="D40:I40" si="19">SUM(D37:D39)</f>
        <v>0</v>
      </c>
      <c r="E40" s="722">
        <f t="shared" si="19"/>
        <v>0</v>
      </c>
      <c r="F40" s="722">
        <f t="shared" si="19"/>
        <v>0</v>
      </c>
      <c r="G40" s="722">
        <f t="shared" si="19"/>
        <v>0</v>
      </c>
      <c r="H40" s="722">
        <f t="shared" si="19"/>
        <v>0</v>
      </c>
      <c r="I40" s="722">
        <f t="shared" si="19"/>
        <v>0</v>
      </c>
      <c r="J40" s="730" t="s">
        <v>1254</v>
      </c>
      <c r="K40" s="729">
        <f t="shared" si="1"/>
        <v>25</v>
      </c>
      <c r="L40" s="749"/>
    </row>
    <row r="41" spans="1:12" x14ac:dyDescent="0.25">
      <c r="A41" s="729">
        <f t="shared" si="0"/>
        <v>26</v>
      </c>
      <c r="B41" s="745"/>
      <c r="C41" s="731"/>
      <c r="D41" s="781"/>
      <c r="E41" s="781"/>
      <c r="F41" s="781"/>
      <c r="G41" s="781"/>
      <c r="H41" s="781"/>
      <c r="I41" s="781"/>
      <c r="J41" s="714"/>
      <c r="K41" s="729">
        <f t="shared" si="1"/>
        <v>26</v>
      </c>
      <c r="L41" s="749"/>
    </row>
    <row r="42" spans="1:12" x14ac:dyDescent="0.25">
      <c r="A42" s="729">
        <f t="shared" si="0"/>
        <v>27</v>
      </c>
      <c r="B42" s="714" t="s">
        <v>1188</v>
      </c>
      <c r="C42" s="731"/>
      <c r="D42" s="714"/>
      <c r="E42" s="714"/>
      <c r="F42" s="714"/>
      <c r="G42" s="714"/>
      <c r="H42" s="714"/>
      <c r="I42" s="714"/>
      <c r="J42" s="714"/>
      <c r="K42" s="729">
        <f t="shared" si="1"/>
        <v>27</v>
      </c>
      <c r="L42" s="749"/>
    </row>
    <row r="43" spans="1:12" x14ac:dyDescent="0.25">
      <c r="A43" s="729">
        <f t="shared" si="0"/>
        <v>28</v>
      </c>
      <c r="B43" s="714" t="s">
        <v>1193</v>
      </c>
      <c r="C43" s="737">
        <v>282</v>
      </c>
      <c r="D43" s="793"/>
      <c r="E43" s="793"/>
      <c r="F43" s="794">
        <f t="shared" ref="F43" si="20">+D43*$I$9</f>
        <v>0</v>
      </c>
      <c r="G43" s="794">
        <f>+E43-F43</f>
        <v>0</v>
      </c>
      <c r="H43" s="794">
        <f>IF(+$I$8="No",0,'Order 864-3'!K40)</f>
        <v>0</v>
      </c>
      <c r="I43" s="794">
        <f>+G43-H43</f>
        <v>0</v>
      </c>
      <c r="J43" s="730" t="s">
        <v>258</v>
      </c>
      <c r="K43" s="729">
        <f t="shared" si="1"/>
        <v>28</v>
      </c>
      <c r="L43" s="749"/>
    </row>
    <row r="44" spans="1:12" x14ac:dyDescent="0.25">
      <c r="A44" s="729">
        <f t="shared" si="0"/>
        <v>29</v>
      </c>
      <c r="B44" s="714"/>
      <c r="C44" s="731"/>
      <c r="D44" s="738"/>
      <c r="E44" s="738"/>
      <c r="F44" s="738"/>
      <c r="G44" s="738"/>
      <c r="H44" s="738"/>
      <c r="I44" s="738"/>
      <c r="J44" s="714"/>
      <c r="K44" s="729">
        <f t="shared" si="1"/>
        <v>29</v>
      </c>
      <c r="L44" s="749"/>
    </row>
    <row r="45" spans="1:12" ht="15.75" thickBot="1" x14ac:dyDescent="0.3">
      <c r="A45" s="729">
        <f t="shared" si="0"/>
        <v>30</v>
      </c>
      <c r="B45" s="730" t="s">
        <v>1194</v>
      </c>
      <c r="C45" s="731"/>
      <c r="D45" s="733">
        <f t="shared" ref="D45:I45" si="21">D34+D40+D43</f>
        <v>0</v>
      </c>
      <c r="E45" s="733">
        <f t="shared" si="21"/>
        <v>0</v>
      </c>
      <c r="F45" s="733">
        <f t="shared" si="21"/>
        <v>0</v>
      </c>
      <c r="G45" s="733">
        <f t="shared" si="21"/>
        <v>0</v>
      </c>
      <c r="H45" s="733">
        <f t="shared" si="21"/>
        <v>0</v>
      </c>
      <c r="I45" s="733">
        <f t="shared" si="21"/>
        <v>0</v>
      </c>
      <c r="J45" s="798" t="s">
        <v>1255</v>
      </c>
      <c r="K45" s="729">
        <f t="shared" si="1"/>
        <v>30</v>
      </c>
      <c r="L45" s="749"/>
    </row>
    <row r="46" spans="1:12" ht="15.75" thickTop="1" x14ac:dyDescent="0.25">
      <c r="A46" s="729">
        <f t="shared" si="0"/>
        <v>31</v>
      </c>
      <c r="B46" s="714"/>
      <c r="C46" s="731"/>
      <c r="D46" s="714"/>
      <c r="E46" s="714"/>
      <c r="F46" s="714"/>
      <c r="G46" s="714"/>
      <c r="H46" s="714"/>
      <c r="I46" s="714"/>
      <c r="J46" s="714"/>
      <c r="K46" s="729">
        <f t="shared" si="1"/>
        <v>31</v>
      </c>
      <c r="L46" s="749"/>
    </row>
    <row r="47" spans="1:12" ht="15.75" thickBot="1" x14ac:dyDescent="0.3">
      <c r="A47" s="729">
        <f t="shared" si="0"/>
        <v>32</v>
      </c>
      <c r="B47" s="730" t="s">
        <v>1196</v>
      </c>
      <c r="C47" s="714"/>
      <c r="D47" s="733">
        <f t="shared" ref="D47:I47" si="22">D27+D45</f>
        <v>0</v>
      </c>
      <c r="E47" s="733">
        <f t="shared" si="22"/>
        <v>0</v>
      </c>
      <c r="F47" s="733">
        <f t="shared" si="22"/>
        <v>0</v>
      </c>
      <c r="G47" s="733">
        <f t="shared" si="22"/>
        <v>0</v>
      </c>
      <c r="H47" s="733">
        <f t="shared" si="22"/>
        <v>0</v>
      </c>
      <c r="I47" s="733">
        <f t="shared" si="22"/>
        <v>0</v>
      </c>
      <c r="J47" s="730" t="s">
        <v>1256</v>
      </c>
      <c r="K47" s="729">
        <f t="shared" si="1"/>
        <v>32</v>
      </c>
      <c r="L47" s="749"/>
    </row>
    <row r="48" spans="1:12" ht="15.75" thickTop="1" x14ac:dyDescent="0.25">
      <c r="A48" s="776"/>
      <c r="B48" s="714"/>
      <c r="C48" s="714"/>
      <c r="D48" s="714"/>
      <c r="E48" s="714"/>
      <c r="F48" s="714"/>
      <c r="G48" s="714"/>
      <c r="H48" s="714"/>
      <c r="I48" s="714"/>
      <c r="J48" s="749"/>
      <c r="K48" s="749"/>
      <c r="L48" s="749"/>
    </row>
    <row r="49" spans="1:12" x14ac:dyDescent="0.25">
      <c r="A49" s="776"/>
      <c r="B49" s="701" t="s">
        <v>1243</v>
      </c>
      <c r="C49" s="714"/>
      <c r="D49" s="714"/>
      <c r="E49" s="714"/>
      <c r="F49" s="714"/>
      <c r="G49" s="714"/>
      <c r="H49" s="714"/>
      <c r="I49" s="714"/>
      <c r="J49" s="749"/>
      <c r="K49" s="749"/>
      <c r="L49" s="749"/>
    </row>
    <row r="50" spans="1:12" ht="16.5" x14ac:dyDescent="0.35">
      <c r="A50" s="776"/>
      <c r="B50" s="742" t="s">
        <v>1244</v>
      </c>
      <c r="C50" s="714"/>
      <c r="D50" s="714"/>
      <c r="E50" s="714"/>
      <c r="F50" s="714"/>
      <c r="G50" s="714"/>
      <c r="H50" s="714"/>
      <c r="I50" s="714"/>
      <c r="J50" s="749"/>
      <c r="K50" s="749"/>
      <c r="L50" s="749"/>
    </row>
    <row r="51" spans="1:12" x14ac:dyDescent="0.25">
      <c r="A51" s="776"/>
      <c r="B51" s="742" t="s">
        <v>1245</v>
      </c>
      <c r="C51" s="714"/>
      <c r="D51" s="714"/>
      <c r="E51" s="714"/>
      <c r="F51" s="714"/>
      <c r="G51" s="714"/>
      <c r="H51" s="714"/>
      <c r="I51" s="714"/>
      <c r="J51" s="749"/>
      <c r="K51" s="749"/>
      <c r="L51" s="749"/>
    </row>
    <row r="52" spans="1:12" x14ac:dyDescent="0.25">
      <c r="A52" s="776"/>
      <c r="B52" s="701" t="s">
        <v>1198</v>
      </c>
      <c r="C52" s="740"/>
      <c r="D52" s="714"/>
      <c r="E52" s="714"/>
      <c r="F52" s="714"/>
      <c r="G52" s="714"/>
      <c r="H52" s="714"/>
      <c r="I52" s="714"/>
      <c r="J52" s="749"/>
      <c r="K52" s="749"/>
      <c r="L52" s="749"/>
    </row>
    <row r="53" spans="1:12" x14ac:dyDescent="0.25">
      <c r="A53" s="776"/>
      <c r="B53" s="812" t="s">
        <v>1199</v>
      </c>
      <c r="C53" s="741"/>
      <c r="D53" s="741"/>
      <c r="E53" s="741"/>
      <c r="F53" s="714"/>
      <c r="G53" s="714"/>
      <c r="H53" s="714"/>
      <c r="I53" s="714"/>
      <c r="J53" s="749"/>
      <c r="K53" s="749"/>
      <c r="L53" s="749"/>
    </row>
    <row r="54" spans="1:12" x14ac:dyDescent="0.25">
      <c r="A54" s="776"/>
      <c r="B54" s="812" t="s">
        <v>1249</v>
      </c>
      <c r="C54" s="741"/>
      <c r="D54" s="741"/>
      <c r="E54" s="741"/>
      <c r="F54" s="714"/>
      <c r="G54" s="714"/>
      <c r="H54" s="714"/>
      <c r="I54" s="714"/>
      <c r="J54" s="749"/>
      <c r="K54" s="749"/>
      <c r="L54"/>
    </row>
    <row r="55" spans="1:12" x14ac:dyDescent="0.25">
      <c r="A55" s="776"/>
      <c r="B55" s="812" t="s">
        <v>1200</v>
      </c>
      <c r="C55" s="714"/>
      <c r="D55" s="714"/>
      <c r="E55" s="714"/>
      <c r="F55" s="741"/>
      <c r="G55" s="741"/>
      <c r="H55" s="714"/>
      <c r="I55" s="714"/>
      <c r="J55" s="749"/>
      <c r="K55" s="749"/>
      <c r="L55" s="749"/>
    </row>
    <row r="56" spans="1:12" x14ac:dyDescent="0.25">
      <c r="A56" s="741"/>
      <c r="B56" s="812" t="s">
        <v>1201</v>
      </c>
      <c r="C56" s="741"/>
      <c r="D56" s="741"/>
      <c r="E56" s="741"/>
      <c r="F56" s="741"/>
      <c r="G56" s="741"/>
      <c r="H56" s="741"/>
      <c r="I56" s="741"/>
      <c r="J56" s="749"/>
      <c r="K56" s="749"/>
      <c r="L56" s="749"/>
    </row>
    <row r="57" spans="1:12" x14ac:dyDescent="0.25">
      <c r="A57" s="741"/>
      <c r="B57" s="812" t="s">
        <v>1202</v>
      </c>
      <c r="C57" s="741"/>
      <c r="D57" s="741"/>
      <c r="E57" s="741"/>
      <c r="F57" s="741"/>
      <c r="G57" s="741"/>
      <c r="H57" s="741"/>
      <c r="I57" s="741"/>
      <c r="J57" s="749"/>
      <c r="K57" s="749"/>
      <c r="L57" s="749"/>
    </row>
    <row r="58" spans="1:12" x14ac:dyDescent="0.25">
      <c r="A58" s="741"/>
      <c r="B58" s="812" t="s">
        <v>1203</v>
      </c>
      <c r="C58" s="741"/>
      <c r="D58" s="741"/>
      <c r="E58" s="741"/>
      <c r="F58" s="741"/>
      <c r="G58" s="741"/>
      <c r="H58" s="741"/>
      <c r="I58" s="741"/>
      <c r="J58" s="749"/>
      <c r="K58" s="749"/>
      <c r="L58" s="749"/>
    </row>
    <row r="59" spans="1:12" x14ac:dyDescent="0.25">
      <c r="A59" s="741"/>
      <c r="B59" s="812" t="s">
        <v>1204</v>
      </c>
      <c r="C59" s="741"/>
      <c r="D59" s="741"/>
      <c r="E59" s="741"/>
      <c r="F59" s="741"/>
      <c r="G59" s="741"/>
      <c r="H59" s="741"/>
      <c r="I59" s="741"/>
      <c r="J59" s="749"/>
      <c r="K59" s="749"/>
      <c r="L59" s="749"/>
    </row>
    <row r="60" spans="1:12" x14ac:dyDescent="0.25">
      <c r="A60" s="741"/>
      <c r="B60" s="812" t="s">
        <v>1205</v>
      </c>
      <c r="C60" s="749"/>
      <c r="D60" s="749"/>
      <c r="E60" s="749"/>
      <c r="F60" s="741"/>
      <c r="G60" s="741"/>
      <c r="H60" s="741"/>
      <c r="I60" s="741"/>
      <c r="J60" s="749"/>
      <c r="K60" s="749"/>
      <c r="L60" s="749"/>
    </row>
    <row r="61" spans="1:12" x14ac:dyDescent="0.25">
      <c r="A61" s="741"/>
      <c r="B61" s="812" t="s">
        <v>1206</v>
      </c>
      <c r="C61" s="741"/>
      <c r="D61" s="741"/>
      <c r="E61" s="741"/>
      <c r="F61" s="741"/>
      <c r="G61" s="741"/>
      <c r="H61" s="741"/>
      <c r="I61" s="741"/>
      <c r="J61" s="749"/>
      <c r="K61" s="749"/>
      <c r="L61" s="749"/>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62"/>
  <sheetViews>
    <sheetView topLeftCell="A6" zoomScaleNormal="100" workbookViewId="0">
      <selection activeCell="B39" sqref="B39"/>
    </sheetView>
  </sheetViews>
  <sheetFormatPr defaultColWidth="9.28515625" defaultRowHeight="15.75" x14ac:dyDescent="0.25"/>
  <cols>
    <col min="1" max="1" width="5.28515625" style="341"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1" customWidth="1"/>
    <col min="15" max="15" width="13.5703125" style="5" customWidth="1"/>
    <col min="16" max="16" width="12.5703125" style="5" customWidth="1"/>
    <col min="17" max="16384" width="9.28515625" style="5"/>
  </cols>
  <sheetData>
    <row r="1" spans="1:14" x14ac:dyDescent="0.25">
      <c r="I1" s="277"/>
    </row>
    <row r="2" spans="1:14" x14ac:dyDescent="0.25">
      <c r="B2" s="1296" t="s">
        <v>0</v>
      </c>
      <c r="C2" s="1296"/>
      <c r="D2" s="1296"/>
      <c r="E2" s="1296"/>
      <c r="F2" s="1296"/>
      <c r="G2" s="1296"/>
      <c r="H2" s="1296"/>
      <c r="I2" s="1296"/>
      <c r="J2" s="1296"/>
      <c r="K2" s="1296"/>
      <c r="L2" s="1296"/>
      <c r="M2" s="1296"/>
      <c r="N2" s="483"/>
    </row>
    <row r="3" spans="1:14" x14ac:dyDescent="0.25">
      <c r="B3" s="1322" t="s">
        <v>1711</v>
      </c>
      <c r="C3" s="1322"/>
      <c r="D3" s="1322"/>
      <c r="E3" s="1322"/>
      <c r="F3" s="1322"/>
      <c r="G3" s="1322"/>
      <c r="H3" s="1322"/>
      <c r="I3" s="1322"/>
      <c r="J3" s="1322"/>
      <c r="K3" s="1322"/>
      <c r="L3" s="1322"/>
      <c r="M3" s="1322"/>
      <c r="N3" s="483"/>
    </row>
    <row r="4" spans="1:14" x14ac:dyDescent="0.25">
      <c r="B4" s="1322" t="s">
        <v>1483</v>
      </c>
      <c r="C4" s="1322"/>
      <c r="D4" s="1322"/>
      <c r="E4" s="1322"/>
      <c r="F4" s="1322"/>
      <c r="G4" s="1322"/>
      <c r="H4" s="1322"/>
      <c r="I4" s="1322"/>
      <c r="J4" s="1322"/>
      <c r="K4" s="1322"/>
      <c r="L4" s="1322"/>
      <c r="M4" s="1322"/>
      <c r="N4" s="483"/>
    </row>
    <row r="5" spans="1:14" x14ac:dyDescent="0.25">
      <c r="B5" s="1318" t="s">
        <v>4</v>
      </c>
      <c r="C5" s="1318"/>
      <c r="D5" s="1318"/>
      <c r="E5" s="1318"/>
      <c r="F5" s="1318"/>
      <c r="G5" s="1318"/>
      <c r="H5" s="1318"/>
      <c r="I5" s="1318"/>
      <c r="J5" s="1318"/>
      <c r="K5" s="1318"/>
      <c r="L5" s="1318"/>
      <c r="M5" s="1318"/>
      <c r="N5" s="483"/>
    </row>
    <row r="6" spans="1:14" x14ac:dyDescent="0.25">
      <c r="A6" s="483"/>
      <c r="B6" s="483"/>
      <c r="C6" s="483"/>
      <c r="D6" s="483"/>
      <c r="E6" s="483"/>
      <c r="F6" s="483"/>
      <c r="G6" s="483"/>
      <c r="H6" s="483"/>
      <c r="I6" s="483"/>
      <c r="J6" s="483"/>
      <c r="K6" s="483"/>
      <c r="L6" s="483"/>
      <c r="M6" s="483"/>
      <c r="N6" s="483"/>
    </row>
    <row r="7" spans="1:14" x14ac:dyDescent="0.25">
      <c r="A7" s="4" t="s">
        <v>5</v>
      </c>
      <c r="B7" s="340"/>
      <c r="E7" s="32"/>
      <c r="F7" s="254"/>
      <c r="G7" s="254"/>
      <c r="N7" s="4" t="s">
        <v>5</v>
      </c>
    </row>
    <row r="8" spans="1:14" x14ac:dyDescent="0.25">
      <c r="A8" s="4" t="s">
        <v>6</v>
      </c>
      <c r="B8" s="340"/>
      <c r="E8" s="32"/>
      <c r="F8" s="254"/>
      <c r="G8" s="254"/>
      <c r="N8" s="4" t="s">
        <v>6</v>
      </c>
    </row>
    <row r="9" spans="1:14" x14ac:dyDescent="0.25">
      <c r="A9" s="474"/>
      <c r="B9" s="340"/>
      <c r="E9" s="32"/>
      <c r="F9" s="849" t="s">
        <v>8</v>
      </c>
      <c r="G9" s="849"/>
      <c r="N9" s="474"/>
    </row>
    <row r="10" spans="1:14" ht="18.75" x14ac:dyDescent="0.25">
      <c r="A10" s="4">
        <v>1</v>
      </c>
      <c r="B10" s="32" t="s">
        <v>1257</v>
      </c>
      <c r="C10" s="29"/>
      <c r="E10" s="83">
        <f>'TO5 True-Up BK-1'!E93</f>
        <v>1077472.7112848759</v>
      </c>
      <c r="F10" s="32" t="s">
        <v>1590</v>
      </c>
      <c r="G10" s="32"/>
      <c r="H10" s="31"/>
      <c r="I10" s="31"/>
      <c r="N10" s="4">
        <f>A10</f>
        <v>1</v>
      </c>
    </row>
    <row r="11" spans="1:14" x14ac:dyDescent="0.25">
      <c r="A11" s="4">
        <f>A10+1</f>
        <v>2</v>
      </c>
      <c r="B11" s="5" t="s">
        <v>1258</v>
      </c>
      <c r="D11" s="225">
        <v>1.0274999999999999E-2</v>
      </c>
      <c r="E11" s="6">
        <f>E10*D11</f>
        <v>11071.032108452098</v>
      </c>
      <c r="F11" s="5" t="s">
        <v>1259</v>
      </c>
      <c r="H11" s="31"/>
      <c r="I11" s="488"/>
      <c r="J11" s="488"/>
      <c r="N11" s="4">
        <f>N10+1</f>
        <v>2</v>
      </c>
    </row>
    <row r="12" spans="1:14" ht="16.5" thickBot="1" x14ac:dyDescent="0.3">
      <c r="A12" s="4">
        <f t="shared" ref="A12:A35" si="0">A11+1</f>
        <v>3</v>
      </c>
      <c r="B12" s="5" t="s">
        <v>1511</v>
      </c>
      <c r="D12" s="225">
        <v>1.73E-3</v>
      </c>
      <c r="E12" s="682">
        <f>E10*D12</f>
        <v>1864.0277905228352</v>
      </c>
      <c r="F12" s="489" t="s">
        <v>1260</v>
      </c>
      <c r="G12" s="489"/>
      <c r="H12" s="4"/>
      <c r="I12" s="488"/>
      <c r="J12" s="488"/>
      <c r="N12" s="4">
        <f t="shared" ref="N12:N35" si="1">N11+1</f>
        <v>3</v>
      </c>
    </row>
    <row r="13" spans="1:14" ht="16.5" thickTop="1" x14ac:dyDescent="0.25">
      <c r="A13" s="4">
        <f t="shared" si="0"/>
        <v>4</v>
      </c>
      <c r="B13" s="5" t="s">
        <v>1261</v>
      </c>
      <c r="E13" s="10">
        <f>E10+E11+E12</f>
        <v>1090407.7711838509</v>
      </c>
      <c r="F13" s="489" t="s">
        <v>454</v>
      </c>
      <c r="G13" s="489"/>
      <c r="H13" s="4"/>
      <c r="I13" s="488"/>
      <c r="J13" s="488"/>
      <c r="N13" s="4">
        <f t="shared" si="1"/>
        <v>4</v>
      </c>
    </row>
    <row r="14" spans="1:14" x14ac:dyDescent="0.25">
      <c r="A14" s="4">
        <f t="shared" si="0"/>
        <v>5</v>
      </c>
      <c r="E14" s="342"/>
      <c r="I14" s="488"/>
      <c r="J14" s="488"/>
      <c r="N14" s="4">
        <f t="shared" si="1"/>
        <v>5</v>
      </c>
    </row>
    <row r="15" spans="1:14" x14ac:dyDescent="0.25">
      <c r="A15" s="4">
        <f t="shared" si="0"/>
        <v>6</v>
      </c>
      <c r="C15" s="490" t="s">
        <v>1139</v>
      </c>
      <c r="D15" s="490" t="s">
        <v>1140</v>
      </c>
      <c r="E15" s="490" t="s">
        <v>1141</v>
      </c>
      <c r="F15" s="490" t="s">
        <v>1142</v>
      </c>
      <c r="G15" s="490" t="s">
        <v>1143</v>
      </c>
      <c r="H15" s="490" t="s">
        <v>1144</v>
      </c>
      <c r="I15" s="490" t="s">
        <v>1145</v>
      </c>
      <c r="J15" s="490" t="s">
        <v>1146</v>
      </c>
      <c r="K15" s="490" t="s">
        <v>1147</v>
      </c>
      <c r="L15" s="490" t="s">
        <v>1148</v>
      </c>
      <c r="M15" s="490" t="s">
        <v>1149</v>
      </c>
      <c r="N15" s="4">
        <f t="shared" si="1"/>
        <v>6</v>
      </c>
    </row>
    <row r="16" spans="1:14" x14ac:dyDescent="0.25">
      <c r="A16" s="4">
        <f t="shared" si="0"/>
        <v>7</v>
      </c>
      <c r="B16" s="342" t="s">
        <v>1262</v>
      </c>
      <c r="C16" s="4"/>
      <c r="D16" s="4" t="s">
        <v>1263</v>
      </c>
      <c r="E16" s="4"/>
      <c r="F16" s="4" t="s">
        <v>1264</v>
      </c>
      <c r="G16" s="4"/>
      <c r="H16" s="34" t="s">
        <v>1265</v>
      </c>
      <c r="I16" s="34" t="s">
        <v>1266</v>
      </c>
      <c r="J16" s="4"/>
      <c r="K16" s="4" t="s">
        <v>1267</v>
      </c>
      <c r="L16" s="4" t="s">
        <v>1268</v>
      </c>
      <c r="M16" s="34" t="s">
        <v>1269</v>
      </c>
      <c r="N16" s="4">
        <f t="shared" si="1"/>
        <v>7</v>
      </c>
    </row>
    <row r="17" spans="1:21" x14ac:dyDescent="0.25">
      <c r="A17" s="4">
        <f t="shared" si="0"/>
        <v>8</v>
      </c>
      <c r="B17" s="342"/>
      <c r="C17" s="4"/>
      <c r="D17" s="4"/>
      <c r="E17" s="4"/>
      <c r="F17" s="4"/>
      <c r="G17" s="4"/>
      <c r="H17" s="34"/>
      <c r="I17" s="34"/>
      <c r="J17" s="4"/>
      <c r="K17" s="4"/>
      <c r="L17" s="4"/>
      <c r="M17" s="34"/>
      <c r="N17" s="4">
        <f t="shared" si="1"/>
        <v>8</v>
      </c>
    </row>
    <row r="18" spans="1:21" x14ac:dyDescent="0.25">
      <c r="A18" s="4">
        <f t="shared" si="0"/>
        <v>9</v>
      </c>
      <c r="C18" s="490"/>
      <c r="H18" s="483"/>
      <c r="K18" s="218" t="s">
        <v>1270</v>
      </c>
      <c r="M18" s="218" t="s">
        <v>1270</v>
      </c>
      <c r="N18" s="4">
        <f t="shared" si="1"/>
        <v>9</v>
      </c>
    </row>
    <row r="19" spans="1:21" x14ac:dyDescent="0.25">
      <c r="A19" s="4">
        <f t="shared" si="0"/>
        <v>10</v>
      </c>
      <c r="C19" s="490"/>
      <c r="F19" s="483"/>
      <c r="G19" s="483"/>
      <c r="H19" s="218"/>
      <c r="I19" s="218" t="s">
        <v>1271</v>
      </c>
      <c r="J19" s="218"/>
      <c r="K19" s="218" t="s">
        <v>1272</v>
      </c>
      <c r="M19" s="218" t="s">
        <v>1272</v>
      </c>
      <c r="N19" s="4">
        <f t="shared" si="1"/>
        <v>10</v>
      </c>
    </row>
    <row r="20" spans="1:21" x14ac:dyDescent="0.25">
      <c r="A20" s="4">
        <f t="shared" si="0"/>
        <v>11</v>
      </c>
      <c r="C20" s="218"/>
      <c r="D20" s="218" t="s">
        <v>1271</v>
      </c>
      <c r="E20" s="218" t="s">
        <v>1271</v>
      </c>
      <c r="F20" s="218" t="s">
        <v>1273</v>
      </c>
      <c r="G20" s="218"/>
      <c r="H20" s="218" t="s">
        <v>1274</v>
      </c>
      <c r="I20" s="218" t="s">
        <v>1272</v>
      </c>
      <c r="J20" s="218" t="s">
        <v>1271</v>
      </c>
      <c r="K20" s="218" t="s">
        <v>1275</v>
      </c>
      <c r="M20" s="218" t="s">
        <v>1275</v>
      </c>
      <c r="N20" s="4">
        <f t="shared" si="1"/>
        <v>11</v>
      </c>
    </row>
    <row r="21" spans="1:21" x14ac:dyDescent="0.25">
      <c r="A21" s="4">
        <f t="shared" si="0"/>
        <v>12</v>
      </c>
      <c r="C21" s="218"/>
      <c r="D21" s="218" t="s">
        <v>1276</v>
      </c>
      <c r="E21" s="218" t="s">
        <v>1276</v>
      </c>
      <c r="F21" s="218" t="s">
        <v>1276</v>
      </c>
      <c r="G21" s="218" t="s">
        <v>1277</v>
      </c>
      <c r="H21" s="218" t="s">
        <v>1276</v>
      </c>
      <c r="I21" s="218" t="s">
        <v>1275</v>
      </c>
      <c r="J21" s="218" t="s">
        <v>1278</v>
      </c>
      <c r="K21" s="218" t="s">
        <v>1279</v>
      </c>
      <c r="L21" s="218"/>
      <c r="M21" s="218" t="s">
        <v>1279</v>
      </c>
      <c r="N21" s="4">
        <f t="shared" si="1"/>
        <v>12</v>
      </c>
    </row>
    <row r="22" spans="1:21" ht="18.75" x14ac:dyDescent="0.25">
      <c r="A22" s="4">
        <f t="shared" si="0"/>
        <v>13</v>
      </c>
      <c r="B22" s="254" t="s">
        <v>255</v>
      </c>
      <c r="C22" s="254" t="s">
        <v>1280</v>
      </c>
      <c r="D22" s="254" t="s">
        <v>1281</v>
      </c>
      <c r="E22" s="254" t="s">
        <v>1990</v>
      </c>
      <c r="F22" s="254" t="s">
        <v>1282</v>
      </c>
      <c r="G22" s="254" t="s">
        <v>1283</v>
      </c>
      <c r="H22" s="254" t="s">
        <v>1284</v>
      </c>
      <c r="I22" s="254" t="s">
        <v>1279</v>
      </c>
      <c r="J22" s="254" t="s">
        <v>1285</v>
      </c>
      <c r="K22" s="254" t="s">
        <v>1286</v>
      </c>
      <c r="L22" s="502" t="s">
        <v>1278</v>
      </c>
      <c r="M22" s="254" t="s">
        <v>1287</v>
      </c>
      <c r="N22" s="4">
        <f t="shared" si="1"/>
        <v>13</v>
      </c>
      <c r="O22" s="277"/>
      <c r="P22" s="277"/>
      <c r="Q22"/>
      <c r="R22"/>
      <c r="S22"/>
      <c r="T22"/>
      <c r="U22"/>
    </row>
    <row r="23" spans="1:21" x14ac:dyDescent="0.25">
      <c r="A23" s="4">
        <f t="shared" si="0"/>
        <v>14</v>
      </c>
      <c r="B23" s="32" t="s">
        <v>1288</v>
      </c>
      <c r="C23" s="491" t="str">
        <f>RIGHT(B4,4)</f>
        <v>2023</v>
      </c>
      <c r="D23" s="141">
        <f t="shared" ref="D23:D34" si="2">$E$13/12</f>
        <v>90867.314265320907</v>
      </c>
      <c r="E23" s="1276">
        <f>E49</f>
        <v>97855.389083333328</v>
      </c>
      <c r="F23" s="142">
        <f t="shared" ref="F23:F34" si="3">$F$35/12</f>
        <v>-6675.1976666666669</v>
      </c>
      <c r="G23" s="142">
        <f>$G$35/12</f>
        <v>369.75</v>
      </c>
      <c r="H23" s="10">
        <f>SUM(E23:G23)</f>
        <v>91549.941416666668</v>
      </c>
      <c r="I23" s="142">
        <f>D23-H23</f>
        <v>-682.62715134576138</v>
      </c>
      <c r="J23" s="143">
        <v>5.4000000000000003E-3</v>
      </c>
      <c r="K23" s="144">
        <f>I23</f>
        <v>-682.62715134576138</v>
      </c>
      <c r="L23" s="141">
        <f>(I23/2)*J23</f>
        <v>-1.8430933086335559</v>
      </c>
      <c r="M23" s="141">
        <f t="shared" ref="M23:M34" si="4">K23+L23</f>
        <v>-684.47024465439495</v>
      </c>
      <c r="N23" s="4">
        <f t="shared" si="1"/>
        <v>14</v>
      </c>
      <c r="O23" s="116"/>
      <c r="P23" s="255"/>
    </row>
    <row r="24" spans="1:21" x14ac:dyDescent="0.25">
      <c r="A24" s="4">
        <f t="shared" si="0"/>
        <v>15</v>
      </c>
      <c r="B24" s="32" t="s">
        <v>1289</v>
      </c>
      <c r="C24" s="491" t="str">
        <f>C23</f>
        <v>2023</v>
      </c>
      <c r="D24" s="145">
        <f t="shared" si="2"/>
        <v>90867.314265320907</v>
      </c>
      <c r="E24" s="1276">
        <f t="shared" ref="E24:E34" si="5">E50</f>
        <v>97855.389083333328</v>
      </c>
      <c r="F24" s="116">
        <f t="shared" si="3"/>
        <v>-6675.1976666666669</v>
      </c>
      <c r="G24" s="116">
        <f>$G$35/12</f>
        <v>369.75</v>
      </c>
      <c r="H24" s="8">
        <f>SUM(E24:G24)</f>
        <v>91549.941416666668</v>
      </c>
      <c r="I24" s="116">
        <f t="shared" ref="I24:I34" si="6">D24-H24</f>
        <v>-682.62715134576138</v>
      </c>
      <c r="J24" s="143">
        <v>4.7999999999999996E-3</v>
      </c>
      <c r="K24" s="146">
        <f>M23+I24</f>
        <v>-1367.0973960001563</v>
      </c>
      <c r="L24" s="145">
        <f t="shared" ref="L24:L34" si="7">(M23+K24)/2*J24</f>
        <v>-4.9237623375709223</v>
      </c>
      <c r="M24" s="145">
        <f t="shared" si="4"/>
        <v>-1372.0211583377272</v>
      </c>
      <c r="N24" s="4">
        <f t="shared" si="1"/>
        <v>15</v>
      </c>
      <c r="O24" s="154"/>
    </row>
    <row r="25" spans="1:21" x14ac:dyDescent="0.25">
      <c r="A25" s="4">
        <f t="shared" si="0"/>
        <v>16</v>
      </c>
      <c r="B25" s="32" t="s">
        <v>1290</v>
      </c>
      <c r="C25" s="491" t="str">
        <f>C23</f>
        <v>2023</v>
      </c>
      <c r="D25" s="145">
        <f t="shared" si="2"/>
        <v>90867.314265320907</v>
      </c>
      <c r="E25" s="1276">
        <f t="shared" si="5"/>
        <v>97855.389083333328</v>
      </c>
      <c r="F25" s="116">
        <f t="shared" si="3"/>
        <v>-6675.1976666666669</v>
      </c>
      <c r="G25" s="116">
        <f t="shared" ref="G25:G34" si="8">$G$35/12</f>
        <v>369.75</v>
      </c>
      <c r="H25" s="8">
        <f t="shared" ref="H25:H33" si="9">SUM(E25:G25)</f>
        <v>91549.941416666668</v>
      </c>
      <c r="I25" s="116">
        <f t="shared" si="6"/>
        <v>-682.62715134576138</v>
      </c>
      <c r="J25" s="143">
        <v>5.4000000000000003E-3</v>
      </c>
      <c r="K25" s="146">
        <f>M24+I25</f>
        <v>-2054.6483096834886</v>
      </c>
      <c r="L25" s="145">
        <f>(M24+K25)/2*J25</f>
        <v>-9.2520075636572834</v>
      </c>
      <c r="M25" s="145">
        <f t="shared" si="4"/>
        <v>-2063.9003172471457</v>
      </c>
      <c r="N25" s="4">
        <f t="shared" si="1"/>
        <v>16</v>
      </c>
      <c r="O25" s="154"/>
    </row>
    <row r="26" spans="1:21" x14ac:dyDescent="0.25">
      <c r="A26" s="4">
        <f t="shared" si="0"/>
        <v>17</v>
      </c>
      <c r="B26" s="32" t="s">
        <v>1291</v>
      </c>
      <c r="C26" s="491" t="str">
        <f>C23</f>
        <v>2023</v>
      </c>
      <c r="D26" s="145">
        <f t="shared" si="2"/>
        <v>90867.314265320907</v>
      </c>
      <c r="E26" s="1276">
        <f t="shared" si="5"/>
        <v>97855.389083333328</v>
      </c>
      <c r="F26" s="116">
        <f t="shared" si="3"/>
        <v>-6675.1976666666669</v>
      </c>
      <c r="G26" s="116">
        <f t="shared" si="8"/>
        <v>369.75</v>
      </c>
      <c r="H26" s="8">
        <f t="shared" si="9"/>
        <v>91549.941416666668</v>
      </c>
      <c r="I26" s="116">
        <f>D26-H26</f>
        <v>-682.62715134576138</v>
      </c>
      <c r="J26" s="143">
        <v>6.1999999999999998E-3</v>
      </c>
      <c r="K26" s="146">
        <f>M25+I26</f>
        <v>-2746.5274685929071</v>
      </c>
      <c r="L26" s="145">
        <f>(M25+K26)/2*J26</f>
        <v>-14.912326136104163</v>
      </c>
      <c r="M26" s="145">
        <f t="shared" si="4"/>
        <v>-2761.4397947290113</v>
      </c>
      <c r="N26" s="4">
        <f t="shared" si="1"/>
        <v>17</v>
      </c>
      <c r="O26" s="154"/>
      <c r="Q26" s="492"/>
    </row>
    <row r="27" spans="1:21" x14ac:dyDescent="0.25">
      <c r="A27" s="4">
        <f t="shared" si="0"/>
        <v>18</v>
      </c>
      <c r="B27" s="32" t="s">
        <v>1292</v>
      </c>
      <c r="C27" s="491" t="str">
        <f>C23</f>
        <v>2023</v>
      </c>
      <c r="D27" s="145">
        <f t="shared" si="2"/>
        <v>90867.314265320907</v>
      </c>
      <c r="E27" s="1276">
        <f t="shared" si="5"/>
        <v>97855.389083333328</v>
      </c>
      <c r="F27" s="116">
        <f t="shared" si="3"/>
        <v>-6675.1976666666669</v>
      </c>
      <c r="G27" s="116">
        <f t="shared" si="8"/>
        <v>369.75</v>
      </c>
      <c r="H27" s="8">
        <f t="shared" si="9"/>
        <v>91549.941416666668</v>
      </c>
      <c r="I27" s="116">
        <f t="shared" si="6"/>
        <v>-682.62715134576138</v>
      </c>
      <c r="J27" s="143">
        <v>6.4000000000000003E-3</v>
      </c>
      <c r="K27" s="146">
        <f t="shared" ref="K27:K34" si="10">M26+I27</f>
        <v>-3444.0669460747727</v>
      </c>
      <c r="L27" s="145">
        <f t="shared" si="7"/>
        <v>-19.85762157057211</v>
      </c>
      <c r="M27" s="145">
        <f t="shared" si="4"/>
        <v>-3463.9245676453447</v>
      </c>
      <c r="N27" s="4">
        <f t="shared" si="1"/>
        <v>18</v>
      </c>
      <c r="O27" s="154"/>
    </row>
    <row r="28" spans="1:21" x14ac:dyDescent="0.25">
      <c r="A28" s="4">
        <f t="shared" si="0"/>
        <v>19</v>
      </c>
      <c r="B28" s="32" t="s">
        <v>1293</v>
      </c>
      <c r="C28" s="491" t="str">
        <f>C23</f>
        <v>2023</v>
      </c>
      <c r="D28" s="145">
        <f t="shared" si="2"/>
        <v>90867.314265320907</v>
      </c>
      <c r="E28" s="1276">
        <f t="shared" si="5"/>
        <v>97855.389083333328</v>
      </c>
      <c r="F28" s="116">
        <f t="shared" si="3"/>
        <v>-6675.1976666666669</v>
      </c>
      <c r="G28" s="116">
        <f t="shared" si="8"/>
        <v>369.75</v>
      </c>
      <c r="H28" s="8">
        <f t="shared" si="9"/>
        <v>91549.941416666668</v>
      </c>
      <c r="I28" s="116">
        <f t="shared" si="6"/>
        <v>-682.62715134576138</v>
      </c>
      <c r="J28" s="143">
        <v>6.1999999999999998E-3</v>
      </c>
      <c r="K28" s="146">
        <f t="shared" si="10"/>
        <v>-4146.5517189911061</v>
      </c>
      <c r="L28" s="145">
        <f>(M27+K28)/2*J28</f>
        <v>-23.592476488572995</v>
      </c>
      <c r="M28" s="145">
        <f t="shared" si="4"/>
        <v>-4170.1441954796792</v>
      </c>
      <c r="N28" s="4">
        <f t="shared" si="1"/>
        <v>19</v>
      </c>
      <c r="O28" s="154"/>
    </row>
    <row r="29" spans="1:21" x14ac:dyDescent="0.25">
      <c r="A29" s="4">
        <f t="shared" si="0"/>
        <v>20</v>
      </c>
      <c r="B29" s="32" t="s">
        <v>1294</v>
      </c>
      <c r="C29" s="491" t="str">
        <f>C23</f>
        <v>2023</v>
      </c>
      <c r="D29" s="145">
        <f t="shared" si="2"/>
        <v>90867.314265320907</v>
      </c>
      <c r="E29" s="1276">
        <f t="shared" si="5"/>
        <v>97855.389083333328</v>
      </c>
      <c r="F29" s="116">
        <f t="shared" si="3"/>
        <v>-6675.1976666666669</v>
      </c>
      <c r="G29" s="116">
        <f t="shared" si="8"/>
        <v>369.75</v>
      </c>
      <c r="H29" s="8">
        <f t="shared" si="9"/>
        <v>91549.941416666668</v>
      </c>
      <c r="I29" s="116">
        <f t="shared" si="6"/>
        <v>-682.62715134576138</v>
      </c>
      <c r="J29" s="143">
        <v>6.7999999999999996E-3</v>
      </c>
      <c r="K29" s="146">
        <f t="shared" si="10"/>
        <v>-4852.7713468254406</v>
      </c>
      <c r="L29" s="145">
        <f t="shared" si="7"/>
        <v>-30.677912843837404</v>
      </c>
      <c r="M29" s="145">
        <f t="shared" si="4"/>
        <v>-4883.449259669278</v>
      </c>
      <c r="N29" s="4">
        <f t="shared" si="1"/>
        <v>20</v>
      </c>
      <c r="O29" s="154"/>
    </row>
    <row r="30" spans="1:21" x14ac:dyDescent="0.25">
      <c r="A30" s="4">
        <f t="shared" si="0"/>
        <v>21</v>
      </c>
      <c r="B30" s="32" t="s">
        <v>1295</v>
      </c>
      <c r="C30" s="491" t="str">
        <f>C23</f>
        <v>2023</v>
      </c>
      <c r="D30" s="145">
        <f t="shared" si="2"/>
        <v>90867.314265320907</v>
      </c>
      <c r="E30" s="1276">
        <f t="shared" si="5"/>
        <v>97855.389083333328</v>
      </c>
      <c r="F30" s="116">
        <f t="shared" si="3"/>
        <v>-6675.1976666666669</v>
      </c>
      <c r="G30" s="116">
        <f t="shared" si="8"/>
        <v>369.75</v>
      </c>
      <c r="H30" s="8">
        <f t="shared" si="9"/>
        <v>91549.941416666668</v>
      </c>
      <c r="I30" s="116">
        <f t="shared" si="6"/>
        <v>-682.62715134576138</v>
      </c>
      <c r="J30" s="143">
        <v>6.7999999999999996E-3</v>
      </c>
      <c r="K30" s="146">
        <f t="shared" si="10"/>
        <v>-5566.0764110150394</v>
      </c>
      <c r="L30" s="145">
        <f t="shared" si="7"/>
        <v>-35.528387280326676</v>
      </c>
      <c r="M30" s="145">
        <f t="shared" si="4"/>
        <v>-5601.604798295366</v>
      </c>
      <c r="N30" s="4">
        <f t="shared" si="1"/>
        <v>21</v>
      </c>
      <c r="O30" s="154"/>
    </row>
    <row r="31" spans="1:21" x14ac:dyDescent="0.25">
      <c r="A31" s="4">
        <f t="shared" si="0"/>
        <v>22</v>
      </c>
      <c r="B31" s="32" t="s">
        <v>1296</v>
      </c>
      <c r="C31" s="491" t="str">
        <f>C23</f>
        <v>2023</v>
      </c>
      <c r="D31" s="145">
        <f t="shared" si="2"/>
        <v>90867.314265320907</v>
      </c>
      <c r="E31" s="1276">
        <f t="shared" si="5"/>
        <v>97855.389083333328</v>
      </c>
      <c r="F31" s="116">
        <f t="shared" si="3"/>
        <v>-6675.1976666666669</v>
      </c>
      <c r="G31" s="116">
        <f t="shared" si="8"/>
        <v>369.75</v>
      </c>
      <c r="H31" s="8">
        <f t="shared" si="9"/>
        <v>91549.941416666668</v>
      </c>
      <c r="I31" s="116">
        <f t="shared" si="6"/>
        <v>-682.62715134576138</v>
      </c>
      <c r="J31" s="143">
        <v>6.6E-3</v>
      </c>
      <c r="K31" s="146">
        <f t="shared" si="10"/>
        <v>-6284.2319496411274</v>
      </c>
      <c r="L31" s="145">
        <f t="shared" si="7"/>
        <v>-39.223261268190427</v>
      </c>
      <c r="M31" s="145">
        <f t="shared" si="4"/>
        <v>-6323.4552109093174</v>
      </c>
      <c r="N31" s="4">
        <f t="shared" si="1"/>
        <v>22</v>
      </c>
      <c r="O31" s="154"/>
    </row>
    <row r="32" spans="1:21" x14ac:dyDescent="0.25">
      <c r="A32" s="4">
        <f t="shared" si="0"/>
        <v>23</v>
      </c>
      <c r="B32" s="32" t="s">
        <v>1297</v>
      </c>
      <c r="C32" s="491" t="str">
        <f>C23</f>
        <v>2023</v>
      </c>
      <c r="D32" s="145">
        <f t="shared" si="2"/>
        <v>90867.314265320907</v>
      </c>
      <c r="E32" s="1276">
        <f t="shared" si="5"/>
        <v>97855.389083333328</v>
      </c>
      <c r="F32" s="116">
        <f t="shared" si="3"/>
        <v>-6675.1976666666669</v>
      </c>
      <c r="G32" s="116">
        <f t="shared" si="8"/>
        <v>369.75</v>
      </c>
      <c r="H32" s="8">
        <f t="shared" si="9"/>
        <v>91549.941416666668</v>
      </c>
      <c r="I32" s="116">
        <f t="shared" si="6"/>
        <v>-682.62715134576138</v>
      </c>
      <c r="J32" s="143">
        <v>7.1000000000000004E-3</v>
      </c>
      <c r="K32" s="146">
        <f t="shared" si="10"/>
        <v>-7006.0823622550788</v>
      </c>
      <c r="L32" s="145">
        <f t="shared" si="7"/>
        <v>-47.319858384733607</v>
      </c>
      <c r="M32" s="145">
        <f t="shared" si="4"/>
        <v>-7053.4022206398122</v>
      </c>
      <c r="N32" s="4">
        <f t="shared" si="1"/>
        <v>23</v>
      </c>
      <c r="O32" s="154"/>
    </row>
    <row r="33" spans="1:15" x14ac:dyDescent="0.25">
      <c r="A33" s="4">
        <f t="shared" si="0"/>
        <v>24</v>
      </c>
      <c r="B33" s="32" t="s">
        <v>1298</v>
      </c>
      <c r="C33" s="491" t="str">
        <f>C23</f>
        <v>2023</v>
      </c>
      <c r="D33" s="145">
        <f t="shared" si="2"/>
        <v>90867.314265320907</v>
      </c>
      <c r="E33" s="1276">
        <f t="shared" si="5"/>
        <v>97855.389083333328</v>
      </c>
      <c r="F33" s="116">
        <f t="shared" si="3"/>
        <v>-6675.1976666666669</v>
      </c>
      <c r="G33" s="116">
        <f t="shared" si="8"/>
        <v>369.75</v>
      </c>
      <c r="H33" s="8">
        <f t="shared" si="9"/>
        <v>91549.941416666668</v>
      </c>
      <c r="I33" s="116">
        <f t="shared" si="6"/>
        <v>-682.62715134576138</v>
      </c>
      <c r="J33" s="143">
        <v>6.8999999999999999E-3</v>
      </c>
      <c r="K33" s="146">
        <f t="shared" si="10"/>
        <v>-7736.0293719855736</v>
      </c>
      <c r="L33" s="8">
        <f t="shared" si="7"/>
        <v>-51.023538994557583</v>
      </c>
      <c r="M33" s="8">
        <f t="shared" si="4"/>
        <v>-7787.0529109801309</v>
      </c>
      <c r="N33" s="4">
        <f t="shared" si="1"/>
        <v>24</v>
      </c>
      <c r="O33" s="154"/>
    </row>
    <row r="34" spans="1:15" x14ac:dyDescent="0.25">
      <c r="A34" s="4">
        <f t="shared" si="0"/>
        <v>25</v>
      </c>
      <c r="B34" s="1059" t="s">
        <v>1299</v>
      </c>
      <c r="C34" s="1060" t="str">
        <f>C23</f>
        <v>2023</v>
      </c>
      <c r="D34" s="1061">
        <f t="shared" si="2"/>
        <v>90867.314265320907</v>
      </c>
      <c r="E34" s="1276">
        <f t="shared" si="5"/>
        <v>97855.389083333328</v>
      </c>
      <c r="F34" s="1062">
        <f t="shared" si="3"/>
        <v>-6675.1976666666669</v>
      </c>
      <c r="G34" s="1062">
        <f t="shared" si="8"/>
        <v>369.75</v>
      </c>
      <c r="H34" s="914">
        <f>SUM(E34:G34)</f>
        <v>91549.941416666668</v>
      </c>
      <c r="I34" s="1062">
        <f t="shared" si="6"/>
        <v>-682.62715134576138</v>
      </c>
      <c r="J34" s="1034">
        <v>7.1000000000000004E-3</v>
      </c>
      <c r="K34" s="1063">
        <f t="shared" si="10"/>
        <v>-8469.6800623258932</v>
      </c>
      <c r="L34" s="914">
        <f t="shared" si="7"/>
        <v>-57.711402055236391</v>
      </c>
      <c r="M34" s="914">
        <f t="shared" si="4"/>
        <v>-8527.3914643811295</v>
      </c>
      <c r="N34" s="4">
        <f t="shared" si="1"/>
        <v>25</v>
      </c>
      <c r="O34" s="154"/>
    </row>
    <row r="35" spans="1:15" ht="16.5" thickBot="1" x14ac:dyDescent="0.3">
      <c r="A35" s="4">
        <f t="shared" si="0"/>
        <v>26</v>
      </c>
      <c r="D35" s="147">
        <f>SUM(D23:D34)</f>
        <v>1090407.7711838509</v>
      </c>
      <c r="E35" s="147">
        <f>SUM(E23:E34)</f>
        <v>1174264.669</v>
      </c>
      <c r="F35" s="148">
        <f>-77465.882-2636.49</f>
        <v>-80102.372000000003</v>
      </c>
      <c r="G35" s="148">
        <v>4437</v>
      </c>
      <c r="H35" s="147">
        <f>SUM(H23:H34)</f>
        <v>1098599.2969999998</v>
      </c>
      <c r="I35" s="147">
        <f>SUM(I23:I34)</f>
        <v>-8191.5258161491365</v>
      </c>
      <c r="J35" s="149"/>
      <c r="K35" s="150"/>
      <c r="L35" s="96">
        <f>SUM(L23:L34)</f>
        <v>-335.86564823199308</v>
      </c>
      <c r="M35" s="683"/>
      <c r="N35" s="4">
        <f t="shared" si="1"/>
        <v>26</v>
      </c>
    </row>
    <row r="36" spans="1:15" ht="16.5" thickTop="1" x14ac:dyDescent="0.25">
      <c r="D36" s="162"/>
      <c r="E36" s="162"/>
      <c r="F36" s="890"/>
      <c r="G36" s="162"/>
      <c r="H36" s="890"/>
      <c r="I36" s="890"/>
      <c r="J36" s="162"/>
      <c r="K36" s="162"/>
      <c r="L36" s="684"/>
      <c r="M36" s="684"/>
    </row>
    <row r="37" spans="1:15" x14ac:dyDescent="0.25">
      <c r="B37" s="36"/>
      <c r="F37" s="493"/>
      <c r="G37" s="493"/>
    </row>
    <row r="38" spans="1:15" ht="18.75" x14ac:dyDescent="0.25">
      <c r="A38" s="253">
        <v>1</v>
      </c>
      <c r="B38" s="5" t="s">
        <v>1300</v>
      </c>
      <c r="F38" s="493"/>
      <c r="G38" s="493"/>
    </row>
    <row r="39" spans="1:15" ht="18.75" x14ac:dyDescent="0.25">
      <c r="A39" s="253">
        <v>2</v>
      </c>
      <c r="B39" s="5" t="s">
        <v>2118</v>
      </c>
    </row>
    <row r="40" spans="1:15" ht="18.75" x14ac:dyDescent="0.25">
      <c r="A40" s="253">
        <v>3</v>
      </c>
      <c r="B40" s="5" t="s">
        <v>1302</v>
      </c>
    </row>
    <row r="41" spans="1:15" ht="18.75" x14ac:dyDescent="0.25">
      <c r="A41" s="253">
        <v>4</v>
      </c>
      <c r="B41" s="5" t="s">
        <v>1303</v>
      </c>
    </row>
    <row r="42" spans="1:15" ht="18.75" x14ac:dyDescent="0.25">
      <c r="A42" s="253"/>
      <c r="B42" s="5" t="s">
        <v>1304</v>
      </c>
    </row>
    <row r="43" spans="1:15" ht="18.75" x14ac:dyDescent="0.25">
      <c r="A43" s="253">
        <v>5</v>
      </c>
      <c r="B43" s="5" t="s">
        <v>1305</v>
      </c>
      <c r="C43" s="439"/>
    </row>
    <row r="44" spans="1:15" ht="18.75" x14ac:dyDescent="0.25">
      <c r="A44" s="253">
        <v>6</v>
      </c>
      <c r="B44" s="5" t="s">
        <v>1306</v>
      </c>
    </row>
    <row r="45" spans="1:15" ht="18.75" x14ac:dyDescent="0.25">
      <c r="A45" s="253">
        <v>7</v>
      </c>
      <c r="B45" s="5" t="s">
        <v>1307</v>
      </c>
    </row>
    <row r="46" spans="1:15" customFormat="1" ht="15" x14ac:dyDescent="0.25"/>
    <row r="47" spans="1:15" customFormat="1" ht="18.75" x14ac:dyDescent="0.25">
      <c r="A47" s="253">
        <v>8</v>
      </c>
      <c r="B47" s="33" t="s">
        <v>1891</v>
      </c>
      <c r="C47" s="750"/>
      <c r="D47" s="254" t="s">
        <v>1890</v>
      </c>
      <c r="E47" s="254" t="s">
        <v>1892</v>
      </c>
    </row>
    <row r="48" spans="1:15" customFormat="1" ht="18.75" x14ac:dyDescent="0.25">
      <c r="A48" s="253"/>
      <c r="B48" s="33"/>
      <c r="C48" s="750"/>
      <c r="D48" s="1239"/>
      <c r="E48" s="1239"/>
    </row>
    <row r="49" spans="1:5" customFormat="1" x14ac:dyDescent="0.25">
      <c r="A49" s="750"/>
      <c r="B49" s="32" t="s">
        <v>1288</v>
      </c>
      <c r="C49" s="491">
        <v>2023</v>
      </c>
      <c r="D49" s="1226">
        <v>103756.927</v>
      </c>
      <c r="E49" s="1276">
        <f>D$61/12</f>
        <v>97855.389083333328</v>
      </c>
    </row>
    <row r="50" spans="1:5" customFormat="1" x14ac:dyDescent="0.25">
      <c r="A50" s="750"/>
      <c r="B50" s="32" t="s">
        <v>1289</v>
      </c>
      <c r="C50" s="491">
        <f>C49</f>
        <v>2023</v>
      </c>
      <c r="D50" s="1226">
        <v>86496.557000000001</v>
      </c>
      <c r="E50" s="1276">
        <f t="shared" ref="E50:E60" si="11">D$61/12</f>
        <v>97855.389083333328</v>
      </c>
    </row>
    <row r="51" spans="1:5" x14ac:dyDescent="0.25">
      <c r="A51" s="4"/>
      <c r="B51" s="32" t="s">
        <v>1290</v>
      </c>
      <c r="C51" s="491">
        <f>C49</f>
        <v>2023</v>
      </c>
      <c r="D51" s="1226">
        <v>102725.97</v>
      </c>
      <c r="E51" s="1276">
        <f t="shared" si="11"/>
        <v>97855.389083333328</v>
      </c>
    </row>
    <row r="52" spans="1:5" x14ac:dyDescent="0.25">
      <c r="A52" s="4"/>
      <c r="B52" s="32" t="s">
        <v>1291</v>
      </c>
      <c r="C52" s="491">
        <f>C49</f>
        <v>2023</v>
      </c>
      <c r="D52" s="1226">
        <v>79666.353000000003</v>
      </c>
      <c r="E52" s="1276">
        <f t="shared" si="11"/>
        <v>97855.389083333328</v>
      </c>
    </row>
    <row r="53" spans="1:5" x14ac:dyDescent="0.25">
      <c r="A53" s="4"/>
      <c r="B53" s="32" t="s">
        <v>1292</v>
      </c>
      <c r="C53" s="491">
        <f>C49</f>
        <v>2023</v>
      </c>
      <c r="D53" s="1226">
        <v>82468.038</v>
      </c>
      <c r="E53" s="1276">
        <f t="shared" si="11"/>
        <v>97855.389083333328</v>
      </c>
    </row>
    <row r="54" spans="1:5" x14ac:dyDescent="0.25">
      <c r="A54" s="4"/>
      <c r="B54" s="32" t="s">
        <v>1293</v>
      </c>
      <c r="C54" s="491">
        <f>C49</f>
        <v>2023</v>
      </c>
      <c r="D54" s="1226">
        <v>94033.187000000005</v>
      </c>
      <c r="E54" s="1276">
        <f t="shared" si="11"/>
        <v>97855.389083333328</v>
      </c>
    </row>
    <row r="55" spans="1:5" x14ac:dyDescent="0.25">
      <c r="A55" s="4"/>
      <c r="B55" s="32" t="s">
        <v>1294</v>
      </c>
      <c r="C55" s="491">
        <f>C49</f>
        <v>2023</v>
      </c>
      <c r="D55" s="1226">
        <v>90023.712</v>
      </c>
      <c r="E55" s="1276">
        <f t="shared" si="11"/>
        <v>97855.389083333328</v>
      </c>
    </row>
    <row r="56" spans="1:5" x14ac:dyDescent="0.25">
      <c r="A56" s="4"/>
      <c r="B56" s="32" t="s">
        <v>1295</v>
      </c>
      <c r="C56" s="491">
        <f>C49</f>
        <v>2023</v>
      </c>
      <c r="D56" s="1226">
        <v>125705.72900000001</v>
      </c>
      <c r="E56" s="1276">
        <f t="shared" si="11"/>
        <v>97855.389083333328</v>
      </c>
    </row>
    <row r="57" spans="1:5" x14ac:dyDescent="0.25">
      <c r="A57" s="4"/>
      <c r="B57" s="32" t="s">
        <v>1296</v>
      </c>
      <c r="C57" s="491">
        <f>C49</f>
        <v>2023</v>
      </c>
      <c r="D57" s="1226">
        <v>113780.53</v>
      </c>
      <c r="E57" s="1276">
        <f t="shared" si="11"/>
        <v>97855.389083333328</v>
      </c>
    </row>
    <row r="58" spans="1:5" x14ac:dyDescent="0.25">
      <c r="A58" s="4"/>
      <c r="B58" s="32" t="s">
        <v>1297</v>
      </c>
      <c r="C58" s="491">
        <f>C49</f>
        <v>2023</v>
      </c>
      <c r="D58" s="1226">
        <v>112727.056</v>
      </c>
      <c r="E58" s="1276">
        <f t="shared" si="11"/>
        <v>97855.389083333328</v>
      </c>
    </row>
    <row r="59" spans="1:5" x14ac:dyDescent="0.25">
      <c r="A59" s="4"/>
      <c r="B59" s="32" t="s">
        <v>1298</v>
      </c>
      <c r="C59" s="491">
        <f>C49</f>
        <v>2023</v>
      </c>
      <c r="D59" s="1226">
        <v>95544.797000000006</v>
      </c>
      <c r="E59" s="1276">
        <f t="shared" si="11"/>
        <v>97855.389083333328</v>
      </c>
    </row>
    <row r="60" spans="1:5" x14ac:dyDescent="0.25">
      <c r="A60" s="4"/>
      <c r="B60" s="32" t="s">
        <v>1299</v>
      </c>
      <c r="C60" s="491">
        <f>C49</f>
        <v>2023</v>
      </c>
      <c r="D60" s="1226">
        <v>87335.812999999995</v>
      </c>
      <c r="E60" s="1276">
        <f t="shared" si="11"/>
        <v>97855.389083333328</v>
      </c>
    </row>
    <row r="61" spans="1:5" ht="16.5" thickBot="1" x14ac:dyDescent="0.3">
      <c r="A61" s="4"/>
      <c r="B61" s="4" t="s">
        <v>177</v>
      </c>
      <c r="C61" s="31"/>
      <c r="D61" s="96">
        <f>SUM(D49:D60)</f>
        <v>1174264.669</v>
      </c>
      <c r="E61" s="96">
        <f>SUM(E49:E60)</f>
        <v>1174264.669</v>
      </c>
    </row>
    <row r="62" spans="1:5" ht="16.5" thickTop="1" x14ac:dyDescent="0.25">
      <c r="A62" s="4"/>
      <c r="B62" s="31"/>
      <c r="C62" s="31"/>
      <c r="D62" s="31"/>
      <c r="E62" s="31"/>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3" max="14" man="1"/>
  </rowBreaks>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6A3E-4B82-4B76-861C-DD9A1A53B8ED}">
  <sheetPr>
    <pageSetUpPr fitToPage="1"/>
  </sheetPr>
  <dimension ref="A1:U46"/>
  <sheetViews>
    <sheetView zoomScaleNormal="100" workbookViewId="0"/>
  </sheetViews>
  <sheetFormatPr defaultColWidth="9.28515625" defaultRowHeight="15.75" x14ac:dyDescent="0.25"/>
  <cols>
    <col min="1" max="1" width="5.28515625" style="341" customWidth="1"/>
    <col min="2" max="2" width="12.5703125" style="5" customWidth="1"/>
    <col min="3" max="3" width="20" style="5" customWidth="1"/>
    <col min="4" max="7" width="21.5703125" style="5" customWidth="1"/>
    <col min="8" max="8" width="22.7109375" style="5" bestFit="1" customWidth="1"/>
    <col min="9" max="13" width="21.5703125" style="5" customWidth="1"/>
    <col min="14" max="14" width="5.28515625" style="341" customWidth="1"/>
    <col min="15" max="15" width="13.5703125" style="5" customWidth="1"/>
    <col min="16" max="16" width="12.5703125" style="5" customWidth="1"/>
    <col min="17" max="16384" width="9.28515625" style="5"/>
  </cols>
  <sheetData>
    <row r="1" spans="1:14" x14ac:dyDescent="0.25">
      <c r="I1" s="277"/>
    </row>
    <row r="2" spans="1:14" x14ac:dyDescent="0.25">
      <c r="B2" s="1296" t="s">
        <v>0</v>
      </c>
      <c r="C2" s="1296"/>
      <c r="D2" s="1296"/>
      <c r="E2" s="1296"/>
      <c r="F2" s="1296"/>
      <c r="G2" s="1296"/>
      <c r="H2" s="1296"/>
      <c r="I2" s="1296"/>
      <c r="J2" s="1296"/>
      <c r="K2" s="1296"/>
      <c r="L2" s="1296"/>
      <c r="M2" s="1296"/>
      <c r="N2" s="483"/>
    </row>
    <row r="3" spans="1:14" x14ac:dyDescent="0.25">
      <c r="B3" s="1322" t="s">
        <v>1711</v>
      </c>
      <c r="C3" s="1322"/>
      <c r="D3" s="1322"/>
      <c r="E3" s="1322"/>
      <c r="F3" s="1322"/>
      <c r="G3" s="1322"/>
      <c r="H3" s="1322"/>
      <c r="I3" s="1322"/>
      <c r="J3" s="1322"/>
      <c r="K3" s="1322"/>
      <c r="L3" s="1322"/>
      <c r="M3" s="1322"/>
      <c r="N3" s="483"/>
    </row>
    <row r="4" spans="1:14" x14ac:dyDescent="0.25">
      <c r="B4" s="1322" t="s">
        <v>1483</v>
      </c>
      <c r="C4" s="1322"/>
      <c r="D4" s="1322"/>
      <c r="E4" s="1322"/>
      <c r="F4" s="1322"/>
      <c r="G4" s="1322"/>
      <c r="H4" s="1322"/>
      <c r="I4" s="1322"/>
      <c r="J4" s="1322"/>
      <c r="K4" s="1322"/>
      <c r="L4" s="1322"/>
      <c r="M4" s="1322"/>
      <c r="N4" s="483"/>
    </row>
    <row r="5" spans="1:14" x14ac:dyDescent="0.25">
      <c r="B5" s="1318" t="s">
        <v>4</v>
      </c>
      <c r="C5" s="1318"/>
      <c r="D5" s="1318"/>
      <c r="E5" s="1318"/>
      <c r="F5" s="1318"/>
      <c r="G5" s="1318"/>
      <c r="H5" s="1318"/>
      <c r="I5" s="1318"/>
      <c r="J5" s="1318"/>
      <c r="K5" s="1318"/>
      <c r="L5" s="1318"/>
      <c r="M5" s="1318"/>
      <c r="N5" s="483"/>
    </row>
    <row r="6" spans="1:14" x14ac:dyDescent="0.25">
      <c r="A6" s="483"/>
      <c r="B6" s="483"/>
      <c r="C6" s="483"/>
      <c r="D6" s="483"/>
      <c r="E6" s="483"/>
      <c r="F6" s="483"/>
      <c r="G6" s="483"/>
      <c r="H6" s="483"/>
      <c r="I6" s="483"/>
      <c r="J6" s="483"/>
      <c r="K6" s="483"/>
      <c r="L6" s="483"/>
      <c r="M6" s="483"/>
      <c r="N6" s="483"/>
    </row>
    <row r="7" spans="1:14" x14ac:dyDescent="0.25">
      <c r="A7" s="4" t="s">
        <v>5</v>
      </c>
      <c r="B7" s="340"/>
      <c r="E7" s="32"/>
      <c r="F7" s="254"/>
      <c r="G7" s="254"/>
      <c r="N7" s="4" t="s">
        <v>5</v>
      </c>
    </row>
    <row r="8" spans="1:14" x14ac:dyDescent="0.25">
      <c r="A8" s="4" t="s">
        <v>6</v>
      </c>
      <c r="B8" s="340"/>
      <c r="E8" s="32"/>
      <c r="F8" s="254"/>
      <c r="G8" s="254"/>
      <c r="N8" s="4" t="s">
        <v>6</v>
      </c>
    </row>
    <row r="9" spans="1:14" x14ac:dyDescent="0.25">
      <c r="A9" s="474"/>
      <c r="B9" s="340"/>
      <c r="E9" s="32"/>
      <c r="F9" s="849" t="s">
        <v>8</v>
      </c>
      <c r="G9" s="849"/>
      <c r="N9" s="474"/>
    </row>
    <row r="10" spans="1:14" ht="18.75" x14ac:dyDescent="0.25">
      <c r="A10" s="4">
        <v>1</v>
      </c>
      <c r="B10" s="32" t="s">
        <v>1257</v>
      </c>
      <c r="C10" s="29"/>
      <c r="E10" s="83">
        <f>'TO5 True-Up BK-1'!E93</f>
        <v>1077472.7112848759</v>
      </c>
      <c r="F10" s="32" t="s">
        <v>1590</v>
      </c>
      <c r="G10" s="32"/>
      <c r="H10" s="31"/>
      <c r="I10" s="31"/>
      <c r="N10" s="4">
        <f>A10</f>
        <v>1</v>
      </c>
    </row>
    <row r="11" spans="1:14" x14ac:dyDescent="0.25">
      <c r="A11" s="4">
        <f>A10+1</f>
        <v>2</v>
      </c>
      <c r="B11" s="5" t="s">
        <v>1258</v>
      </c>
      <c r="D11" s="225">
        <v>1.0274999999999999E-2</v>
      </c>
      <c r="E11" s="6">
        <f>E10*D11</f>
        <v>11071.032108452098</v>
      </c>
      <c r="F11" s="5" t="s">
        <v>1259</v>
      </c>
      <c r="H11" s="31"/>
      <c r="I11" s="488"/>
      <c r="J11" s="488"/>
      <c r="N11" s="4">
        <f>N10+1</f>
        <v>2</v>
      </c>
    </row>
    <row r="12" spans="1:14" ht="16.5" thickBot="1" x14ac:dyDescent="0.3">
      <c r="A12" s="4">
        <f t="shared" ref="A12:A35" si="0">A11+1</f>
        <v>3</v>
      </c>
      <c r="B12" s="5" t="s">
        <v>1511</v>
      </c>
      <c r="D12" s="225">
        <v>1.73E-3</v>
      </c>
      <c r="E12" s="682">
        <f>E10*D12</f>
        <v>1864.0277905228352</v>
      </c>
      <c r="F12" s="489" t="s">
        <v>1260</v>
      </c>
      <c r="G12" s="489"/>
      <c r="H12" s="4"/>
      <c r="I12" s="488"/>
      <c r="J12" s="488"/>
      <c r="N12" s="4">
        <f t="shared" ref="N12:N35" si="1">N11+1</f>
        <v>3</v>
      </c>
    </row>
    <row r="13" spans="1:14" ht="16.5" thickTop="1" x14ac:dyDescent="0.25">
      <c r="A13" s="4">
        <f t="shared" si="0"/>
        <v>4</v>
      </c>
      <c r="B13" s="5" t="s">
        <v>1261</v>
      </c>
      <c r="E13" s="10">
        <f>E10+E11+E12</f>
        <v>1090407.7711838509</v>
      </c>
      <c r="F13" s="489" t="s">
        <v>454</v>
      </c>
      <c r="G13" s="489"/>
      <c r="H13" s="4"/>
      <c r="I13" s="488"/>
      <c r="J13" s="488"/>
      <c r="N13" s="4">
        <f t="shared" si="1"/>
        <v>4</v>
      </c>
    </row>
    <row r="14" spans="1:14" x14ac:dyDescent="0.25">
      <c r="A14" s="4">
        <f t="shared" si="0"/>
        <v>5</v>
      </c>
      <c r="E14" s="342"/>
      <c r="I14" s="488"/>
      <c r="J14" s="488"/>
      <c r="N14" s="4">
        <f t="shared" si="1"/>
        <v>5</v>
      </c>
    </row>
    <row r="15" spans="1:14" x14ac:dyDescent="0.25">
      <c r="A15" s="4">
        <f t="shared" si="0"/>
        <v>6</v>
      </c>
      <c r="C15" s="490" t="s">
        <v>1139</v>
      </c>
      <c r="D15" s="490" t="s">
        <v>1140</v>
      </c>
      <c r="E15" s="490" t="s">
        <v>1141</v>
      </c>
      <c r="F15" s="490" t="s">
        <v>1142</v>
      </c>
      <c r="G15" s="490" t="s">
        <v>1143</v>
      </c>
      <c r="H15" s="490" t="s">
        <v>1144</v>
      </c>
      <c r="I15" s="490" t="s">
        <v>1145</v>
      </c>
      <c r="J15" s="490" t="s">
        <v>1146</v>
      </c>
      <c r="K15" s="490" t="s">
        <v>1147</v>
      </c>
      <c r="L15" s="490" t="s">
        <v>1148</v>
      </c>
      <c r="M15" s="490" t="s">
        <v>1149</v>
      </c>
      <c r="N15" s="4">
        <f t="shared" si="1"/>
        <v>6</v>
      </c>
    </row>
    <row r="16" spans="1:14" x14ac:dyDescent="0.25">
      <c r="A16" s="4">
        <f t="shared" si="0"/>
        <v>7</v>
      </c>
      <c r="B16" s="342" t="s">
        <v>1262</v>
      </c>
      <c r="C16" s="4"/>
      <c r="D16" s="4" t="s">
        <v>1263</v>
      </c>
      <c r="E16" s="4"/>
      <c r="F16" s="4" t="s">
        <v>1264</v>
      </c>
      <c r="G16" s="4"/>
      <c r="H16" s="34" t="s">
        <v>1265</v>
      </c>
      <c r="I16" s="34" t="s">
        <v>1266</v>
      </c>
      <c r="J16" s="4"/>
      <c r="K16" s="4" t="s">
        <v>1267</v>
      </c>
      <c r="L16" s="4" t="s">
        <v>1268</v>
      </c>
      <c r="M16" s="34" t="s">
        <v>1269</v>
      </c>
      <c r="N16" s="4">
        <f t="shared" si="1"/>
        <v>7</v>
      </c>
    </row>
    <row r="17" spans="1:21" x14ac:dyDescent="0.25">
      <c r="A17" s="4">
        <f t="shared" si="0"/>
        <v>8</v>
      </c>
      <c r="B17" s="342"/>
      <c r="C17" s="4"/>
      <c r="D17" s="4"/>
      <c r="E17" s="4"/>
      <c r="F17" s="4"/>
      <c r="G17" s="4"/>
      <c r="H17" s="34"/>
      <c r="I17" s="34"/>
      <c r="J17" s="4"/>
      <c r="K17" s="4"/>
      <c r="L17" s="4"/>
      <c r="M17" s="34"/>
      <c r="N17" s="4">
        <f t="shared" si="1"/>
        <v>8</v>
      </c>
    </row>
    <row r="18" spans="1:21" x14ac:dyDescent="0.25">
      <c r="A18" s="4">
        <f t="shared" si="0"/>
        <v>9</v>
      </c>
      <c r="C18" s="490"/>
      <c r="H18" s="483"/>
      <c r="K18" s="218" t="s">
        <v>1270</v>
      </c>
      <c r="M18" s="218" t="s">
        <v>1270</v>
      </c>
      <c r="N18" s="4">
        <f t="shared" si="1"/>
        <v>9</v>
      </c>
    </row>
    <row r="19" spans="1:21" x14ac:dyDescent="0.25">
      <c r="A19" s="4">
        <f t="shared" si="0"/>
        <v>10</v>
      </c>
      <c r="C19" s="490"/>
      <c r="F19" s="483"/>
      <c r="G19" s="483"/>
      <c r="H19" s="218"/>
      <c r="I19" s="218" t="s">
        <v>1271</v>
      </c>
      <c r="J19" s="218"/>
      <c r="K19" s="218" t="s">
        <v>1272</v>
      </c>
      <c r="M19" s="218" t="s">
        <v>1272</v>
      </c>
      <c r="N19" s="4">
        <f t="shared" si="1"/>
        <v>10</v>
      </c>
    </row>
    <row r="20" spans="1:21" x14ac:dyDescent="0.25">
      <c r="A20" s="4">
        <f t="shared" si="0"/>
        <v>11</v>
      </c>
      <c r="C20" s="218"/>
      <c r="D20" s="218" t="s">
        <v>1271</v>
      </c>
      <c r="E20" s="218" t="s">
        <v>1271</v>
      </c>
      <c r="F20" s="218" t="s">
        <v>1273</v>
      </c>
      <c r="G20" s="218"/>
      <c r="H20" s="218" t="s">
        <v>1274</v>
      </c>
      <c r="I20" s="218" t="s">
        <v>1272</v>
      </c>
      <c r="J20" s="218" t="s">
        <v>1271</v>
      </c>
      <c r="K20" s="218" t="s">
        <v>1275</v>
      </c>
      <c r="M20" s="218" t="s">
        <v>1275</v>
      </c>
      <c r="N20" s="4">
        <f t="shared" si="1"/>
        <v>11</v>
      </c>
    </row>
    <row r="21" spans="1:21" x14ac:dyDescent="0.25">
      <c r="A21" s="4">
        <f t="shared" si="0"/>
        <v>12</v>
      </c>
      <c r="C21" s="218"/>
      <c r="D21" s="218" t="s">
        <v>1276</v>
      </c>
      <c r="E21" s="218" t="s">
        <v>1276</v>
      </c>
      <c r="F21" s="218" t="s">
        <v>1276</v>
      </c>
      <c r="G21" s="218" t="s">
        <v>1277</v>
      </c>
      <c r="H21" s="218" t="s">
        <v>1276</v>
      </c>
      <c r="I21" s="218" t="s">
        <v>1275</v>
      </c>
      <c r="J21" s="218" t="s">
        <v>1278</v>
      </c>
      <c r="K21" s="218" t="s">
        <v>1279</v>
      </c>
      <c r="L21" s="218"/>
      <c r="M21" s="218" t="s">
        <v>1279</v>
      </c>
      <c r="N21" s="4">
        <f t="shared" si="1"/>
        <v>12</v>
      </c>
    </row>
    <row r="22" spans="1:21" ht="18.75" x14ac:dyDescent="0.25">
      <c r="A22" s="4">
        <f t="shared" si="0"/>
        <v>13</v>
      </c>
      <c r="B22" s="254" t="s">
        <v>255</v>
      </c>
      <c r="C22" s="254" t="s">
        <v>1280</v>
      </c>
      <c r="D22" s="254" t="s">
        <v>1281</v>
      </c>
      <c r="E22" s="254" t="s">
        <v>1931</v>
      </c>
      <c r="F22" s="254" t="s">
        <v>1282</v>
      </c>
      <c r="G22" s="254" t="s">
        <v>1283</v>
      </c>
      <c r="H22" s="254" t="s">
        <v>1284</v>
      </c>
      <c r="I22" s="254" t="s">
        <v>1279</v>
      </c>
      <c r="J22" s="254" t="s">
        <v>1285</v>
      </c>
      <c r="K22" s="254" t="s">
        <v>1286</v>
      </c>
      <c r="L22" s="502" t="s">
        <v>1278</v>
      </c>
      <c r="M22" s="254" t="s">
        <v>1287</v>
      </c>
      <c r="N22" s="4">
        <f t="shared" si="1"/>
        <v>13</v>
      </c>
      <c r="O22" s="277"/>
      <c r="P22" s="277"/>
      <c r="Q22"/>
      <c r="R22"/>
      <c r="S22"/>
      <c r="T22"/>
      <c r="U22"/>
    </row>
    <row r="23" spans="1:21" x14ac:dyDescent="0.25">
      <c r="A23" s="4">
        <f t="shared" si="0"/>
        <v>14</v>
      </c>
      <c r="B23" s="32" t="s">
        <v>1288</v>
      </c>
      <c r="C23" s="491" t="str">
        <f>RIGHT(B4,4)</f>
        <v>2023</v>
      </c>
      <c r="D23" s="141">
        <f t="shared" ref="D23:D34" si="2">$E$13/12</f>
        <v>90867.314265320907</v>
      </c>
      <c r="E23" s="1226">
        <v>103756.927</v>
      </c>
      <c r="F23" s="142">
        <f t="shared" ref="F23:F34" si="3">$F$35/12</f>
        <v>-6675.1976666666669</v>
      </c>
      <c r="G23" s="142">
        <f>$G$35/12</f>
        <v>369.75</v>
      </c>
      <c r="H23" s="10">
        <f>SUM(E23:G23)</f>
        <v>97451.479333333322</v>
      </c>
      <c r="I23" s="142">
        <f>D23-H23</f>
        <v>-6584.1650680124148</v>
      </c>
      <c r="J23" s="143">
        <v>5.4000000000000003E-3</v>
      </c>
      <c r="K23" s="144">
        <f>I23</f>
        <v>-6584.1650680124148</v>
      </c>
      <c r="L23" s="141">
        <f>(I23/2)*J23</f>
        <v>-17.77724568363352</v>
      </c>
      <c r="M23" s="141">
        <f t="shared" ref="M23:M34" si="4">K23+L23</f>
        <v>-6601.9423136960486</v>
      </c>
      <c r="N23" s="4">
        <f t="shared" si="1"/>
        <v>14</v>
      </c>
      <c r="O23" s="116"/>
      <c r="P23" s="255"/>
    </row>
    <row r="24" spans="1:21" x14ac:dyDescent="0.25">
      <c r="A24" s="4">
        <f t="shared" si="0"/>
        <v>15</v>
      </c>
      <c r="B24" s="32" t="s">
        <v>1289</v>
      </c>
      <c r="C24" s="491" t="str">
        <f>C23</f>
        <v>2023</v>
      </c>
      <c r="D24" s="145">
        <f t="shared" si="2"/>
        <v>90867.314265320907</v>
      </c>
      <c r="E24" s="1226">
        <v>86496.557000000001</v>
      </c>
      <c r="F24" s="116">
        <f t="shared" si="3"/>
        <v>-6675.1976666666669</v>
      </c>
      <c r="G24" s="116">
        <f>$G$35/12</f>
        <v>369.75</v>
      </c>
      <c r="H24" s="8">
        <f>SUM(E24:G24)</f>
        <v>80191.109333333327</v>
      </c>
      <c r="I24" s="116">
        <f t="shared" ref="I24:I34" si="5">D24-H24</f>
        <v>10676.20493198758</v>
      </c>
      <c r="J24" s="143">
        <v>4.7999999999999996E-3</v>
      </c>
      <c r="K24" s="146">
        <f>M23+I24</f>
        <v>4074.2626182915319</v>
      </c>
      <c r="L24" s="145">
        <f t="shared" ref="L24:L34" si="6">(M23+K24)/2*J24</f>
        <v>-6.0664312689708391</v>
      </c>
      <c r="M24" s="145">
        <f t="shared" si="4"/>
        <v>4068.1961870225609</v>
      </c>
      <c r="N24" s="4">
        <f t="shared" si="1"/>
        <v>15</v>
      </c>
      <c r="O24" s="154"/>
    </row>
    <row r="25" spans="1:21" x14ac:dyDescent="0.25">
      <c r="A25" s="4">
        <f t="shared" si="0"/>
        <v>16</v>
      </c>
      <c r="B25" s="32" t="s">
        <v>1290</v>
      </c>
      <c r="C25" s="491" t="str">
        <f>C23</f>
        <v>2023</v>
      </c>
      <c r="D25" s="145">
        <f t="shared" si="2"/>
        <v>90867.314265320907</v>
      </c>
      <c r="E25" s="1226">
        <v>102725.97</v>
      </c>
      <c r="F25" s="116">
        <f t="shared" si="3"/>
        <v>-6675.1976666666669</v>
      </c>
      <c r="G25" s="116">
        <f t="shared" ref="G25:G34" si="7">$G$35/12</f>
        <v>369.75</v>
      </c>
      <c r="H25" s="8">
        <f t="shared" ref="H25:H33" si="8">SUM(E25:G25)</f>
        <v>96420.522333333327</v>
      </c>
      <c r="I25" s="116">
        <f t="shared" si="5"/>
        <v>-5553.20806801242</v>
      </c>
      <c r="J25" s="143">
        <v>5.4000000000000003E-3</v>
      </c>
      <c r="K25" s="146">
        <f>M24+I25</f>
        <v>-1485.011880989859</v>
      </c>
      <c r="L25" s="145">
        <f>(M24+K25)/2*J25</f>
        <v>6.9745976262882952</v>
      </c>
      <c r="M25" s="145">
        <f t="shared" si="4"/>
        <v>-1478.0372833635709</v>
      </c>
      <c r="N25" s="4">
        <f t="shared" si="1"/>
        <v>16</v>
      </c>
      <c r="O25" s="154"/>
    </row>
    <row r="26" spans="1:21" x14ac:dyDescent="0.25">
      <c r="A26" s="4">
        <f t="shared" si="0"/>
        <v>17</v>
      </c>
      <c r="B26" s="32" t="s">
        <v>1291</v>
      </c>
      <c r="C26" s="491" t="str">
        <f>C23</f>
        <v>2023</v>
      </c>
      <c r="D26" s="145">
        <f t="shared" si="2"/>
        <v>90867.314265320907</v>
      </c>
      <c r="E26" s="1226">
        <v>79666.353000000003</v>
      </c>
      <c r="F26" s="116">
        <f t="shared" si="3"/>
        <v>-6675.1976666666669</v>
      </c>
      <c r="G26" s="116">
        <f t="shared" si="7"/>
        <v>369.75</v>
      </c>
      <c r="H26" s="8">
        <f t="shared" si="8"/>
        <v>73360.905333333329</v>
      </c>
      <c r="I26" s="116">
        <f>D26-H26</f>
        <v>17506.408931987578</v>
      </c>
      <c r="J26" s="143">
        <v>6.1999999999999998E-3</v>
      </c>
      <c r="K26" s="146">
        <f>M25+I26</f>
        <v>16028.371648624008</v>
      </c>
      <c r="L26" s="145">
        <f>(M25+K26)/2*J26</f>
        <v>45.106036532307357</v>
      </c>
      <c r="M26" s="145">
        <f t="shared" si="4"/>
        <v>16073.477685156315</v>
      </c>
      <c r="N26" s="4">
        <f t="shared" si="1"/>
        <v>17</v>
      </c>
      <c r="O26" s="154"/>
      <c r="Q26" s="492"/>
    </row>
    <row r="27" spans="1:21" x14ac:dyDescent="0.25">
      <c r="A27" s="4">
        <f t="shared" si="0"/>
        <v>18</v>
      </c>
      <c r="B27" s="32" t="s">
        <v>1292</v>
      </c>
      <c r="C27" s="491" t="str">
        <f>C23</f>
        <v>2023</v>
      </c>
      <c r="D27" s="145">
        <f t="shared" si="2"/>
        <v>90867.314265320907</v>
      </c>
      <c r="E27" s="1226">
        <v>82468.038</v>
      </c>
      <c r="F27" s="116">
        <f t="shared" si="3"/>
        <v>-6675.1976666666669</v>
      </c>
      <c r="G27" s="116">
        <f t="shared" si="7"/>
        <v>369.75</v>
      </c>
      <c r="H27" s="8">
        <f t="shared" si="8"/>
        <v>76162.590333333326</v>
      </c>
      <c r="I27" s="116">
        <f t="shared" si="5"/>
        <v>14704.723931987581</v>
      </c>
      <c r="J27" s="143">
        <v>6.4000000000000003E-3</v>
      </c>
      <c r="K27" s="146">
        <f t="shared" ref="K27:K34" si="9">M26+I27</f>
        <v>30778.201617143895</v>
      </c>
      <c r="L27" s="145">
        <f t="shared" si="6"/>
        <v>149.92537376736067</v>
      </c>
      <c r="M27" s="145">
        <f t="shared" si="4"/>
        <v>30928.126990911256</v>
      </c>
      <c r="N27" s="4">
        <f t="shared" si="1"/>
        <v>18</v>
      </c>
      <c r="O27" s="154"/>
    </row>
    <row r="28" spans="1:21" x14ac:dyDescent="0.25">
      <c r="A28" s="4">
        <f t="shared" si="0"/>
        <v>19</v>
      </c>
      <c r="B28" s="32" t="s">
        <v>1293</v>
      </c>
      <c r="C28" s="491" t="str">
        <f>C23</f>
        <v>2023</v>
      </c>
      <c r="D28" s="145">
        <f t="shared" si="2"/>
        <v>90867.314265320907</v>
      </c>
      <c r="E28" s="1226">
        <v>94033.187000000005</v>
      </c>
      <c r="F28" s="116">
        <f t="shared" si="3"/>
        <v>-6675.1976666666669</v>
      </c>
      <c r="G28" s="116">
        <f t="shared" si="7"/>
        <v>369.75</v>
      </c>
      <c r="H28" s="8">
        <f t="shared" si="8"/>
        <v>87727.739333333331</v>
      </c>
      <c r="I28" s="116">
        <f t="shared" si="5"/>
        <v>3139.5749319875758</v>
      </c>
      <c r="J28" s="143">
        <v>6.1999999999999998E-3</v>
      </c>
      <c r="K28" s="146">
        <f t="shared" si="9"/>
        <v>34067.701922898836</v>
      </c>
      <c r="L28" s="145">
        <f>(M27+K28)/2*J28</f>
        <v>201.48706963281128</v>
      </c>
      <c r="M28" s="145">
        <f t="shared" si="4"/>
        <v>34269.18899253165</v>
      </c>
      <c r="N28" s="4">
        <f t="shared" si="1"/>
        <v>19</v>
      </c>
      <c r="O28" s="154"/>
    </row>
    <row r="29" spans="1:21" x14ac:dyDescent="0.25">
      <c r="A29" s="4">
        <f t="shared" si="0"/>
        <v>20</v>
      </c>
      <c r="B29" s="32" t="s">
        <v>1294</v>
      </c>
      <c r="C29" s="491" t="str">
        <f>C23</f>
        <v>2023</v>
      </c>
      <c r="D29" s="145">
        <f t="shared" si="2"/>
        <v>90867.314265320907</v>
      </c>
      <c r="E29" s="1226">
        <v>90023.712</v>
      </c>
      <c r="F29" s="116">
        <f t="shared" si="3"/>
        <v>-6675.1976666666669</v>
      </c>
      <c r="G29" s="116">
        <f t="shared" si="7"/>
        <v>369.75</v>
      </c>
      <c r="H29" s="8">
        <f t="shared" si="8"/>
        <v>83718.264333333325</v>
      </c>
      <c r="I29" s="116">
        <f t="shared" si="5"/>
        <v>7149.0499319875817</v>
      </c>
      <c r="J29" s="143">
        <v>6.7999999999999996E-3</v>
      </c>
      <c r="K29" s="146">
        <f t="shared" si="9"/>
        <v>41418.238924519232</v>
      </c>
      <c r="L29" s="145">
        <f t="shared" si="6"/>
        <v>257.33725491797298</v>
      </c>
      <c r="M29" s="145">
        <f t="shared" si="4"/>
        <v>41675.576179437201</v>
      </c>
      <c r="N29" s="4">
        <f t="shared" si="1"/>
        <v>20</v>
      </c>
      <c r="O29" s="154"/>
    </row>
    <row r="30" spans="1:21" x14ac:dyDescent="0.25">
      <c r="A30" s="4">
        <f t="shared" si="0"/>
        <v>21</v>
      </c>
      <c r="B30" s="32" t="s">
        <v>1295</v>
      </c>
      <c r="C30" s="491" t="str">
        <f>C23</f>
        <v>2023</v>
      </c>
      <c r="D30" s="145">
        <f t="shared" si="2"/>
        <v>90867.314265320907</v>
      </c>
      <c r="E30" s="1226">
        <v>125705.72900000001</v>
      </c>
      <c r="F30" s="116">
        <f t="shared" si="3"/>
        <v>-6675.1976666666669</v>
      </c>
      <c r="G30" s="116">
        <f t="shared" si="7"/>
        <v>369.75</v>
      </c>
      <c r="H30" s="8">
        <f t="shared" si="8"/>
        <v>119400.28133333335</v>
      </c>
      <c r="I30" s="116">
        <f t="shared" si="5"/>
        <v>-28532.96706801244</v>
      </c>
      <c r="J30" s="143">
        <v>6.7999999999999996E-3</v>
      </c>
      <c r="K30" s="146">
        <f t="shared" si="9"/>
        <v>13142.609111424761</v>
      </c>
      <c r="L30" s="145">
        <f t="shared" si="6"/>
        <v>186.38182998893066</v>
      </c>
      <c r="M30" s="145">
        <f t="shared" si="4"/>
        <v>13328.990941413691</v>
      </c>
      <c r="N30" s="4">
        <f t="shared" si="1"/>
        <v>21</v>
      </c>
      <c r="O30" s="154"/>
    </row>
    <row r="31" spans="1:21" x14ac:dyDescent="0.25">
      <c r="A31" s="4">
        <f t="shared" si="0"/>
        <v>22</v>
      </c>
      <c r="B31" s="32" t="s">
        <v>1296</v>
      </c>
      <c r="C31" s="491" t="str">
        <f>C23</f>
        <v>2023</v>
      </c>
      <c r="D31" s="145">
        <f t="shared" si="2"/>
        <v>90867.314265320907</v>
      </c>
      <c r="E31" s="1226">
        <v>113780.53</v>
      </c>
      <c r="F31" s="116">
        <f t="shared" si="3"/>
        <v>-6675.1976666666669</v>
      </c>
      <c r="G31" s="116">
        <f t="shared" si="7"/>
        <v>369.75</v>
      </c>
      <c r="H31" s="8">
        <f t="shared" si="8"/>
        <v>107475.08233333332</v>
      </c>
      <c r="I31" s="116">
        <f t="shared" si="5"/>
        <v>-16607.768068012418</v>
      </c>
      <c r="J31" s="143">
        <v>6.6E-3</v>
      </c>
      <c r="K31" s="146">
        <f t="shared" si="9"/>
        <v>-3278.7771265987267</v>
      </c>
      <c r="L31" s="145">
        <f t="shared" si="6"/>
        <v>33.165705588889381</v>
      </c>
      <c r="M31" s="145">
        <f t="shared" si="4"/>
        <v>-3245.6114210098372</v>
      </c>
      <c r="N31" s="4">
        <f t="shared" si="1"/>
        <v>22</v>
      </c>
      <c r="O31" s="154"/>
    </row>
    <row r="32" spans="1:21" x14ac:dyDescent="0.25">
      <c r="A32" s="4">
        <f t="shared" si="0"/>
        <v>23</v>
      </c>
      <c r="B32" s="32" t="s">
        <v>1297</v>
      </c>
      <c r="C32" s="491" t="str">
        <f>C23</f>
        <v>2023</v>
      </c>
      <c r="D32" s="145">
        <f t="shared" si="2"/>
        <v>90867.314265320907</v>
      </c>
      <c r="E32" s="1226">
        <v>112727.056</v>
      </c>
      <c r="F32" s="116">
        <f t="shared" si="3"/>
        <v>-6675.1976666666669</v>
      </c>
      <c r="G32" s="116">
        <f t="shared" si="7"/>
        <v>369.75</v>
      </c>
      <c r="H32" s="8">
        <f t="shared" si="8"/>
        <v>106421.60833333334</v>
      </c>
      <c r="I32" s="116">
        <f t="shared" si="5"/>
        <v>-15554.29406801243</v>
      </c>
      <c r="J32" s="143">
        <v>7.1000000000000004E-3</v>
      </c>
      <c r="K32" s="146">
        <f t="shared" si="9"/>
        <v>-18799.905489022269</v>
      </c>
      <c r="L32" s="145">
        <f t="shared" si="6"/>
        <v>-78.261585030613986</v>
      </c>
      <c r="M32" s="145">
        <f t="shared" si="4"/>
        <v>-18878.167074052883</v>
      </c>
      <c r="N32" s="4">
        <f t="shared" si="1"/>
        <v>23</v>
      </c>
      <c r="O32" s="154"/>
    </row>
    <row r="33" spans="1:15" x14ac:dyDescent="0.25">
      <c r="A33" s="4">
        <f t="shared" si="0"/>
        <v>24</v>
      </c>
      <c r="B33" s="32" t="s">
        <v>1298</v>
      </c>
      <c r="C33" s="491" t="str">
        <f>C23</f>
        <v>2023</v>
      </c>
      <c r="D33" s="145">
        <f t="shared" si="2"/>
        <v>90867.314265320907</v>
      </c>
      <c r="E33" s="1226">
        <v>95544.797000000006</v>
      </c>
      <c r="F33" s="116">
        <f t="shared" si="3"/>
        <v>-6675.1976666666669</v>
      </c>
      <c r="G33" s="116">
        <f t="shared" si="7"/>
        <v>369.75</v>
      </c>
      <c r="H33" s="8">
        <f t="shared" si="8"/>
        <v>89239.349333333346</v>
      </c>
      <c r="I33" s="116">
        <f t="shared" si="5"/>
        <v>1627.9649319875607</v>
      </c>
      <c r="J33" s="143">
        <v>6.8999999999999999E-3</v>
      </c>
      <c r="K33" s="146">
        <f t="shared" si="9"/>
        <v>-17250.202142065322</v>
      </c>
      <c r="L33" s="8">
        <f t="shared" si="6"/>
        <v>-124.6428737956078</v>
      </c>
      <c r="M33" s="8">
        <f t="shared" si="4"/>
        <v>-17374.84501586093</v>
      </c>
      <c r="N33" s="4">
        <f t="shared" si="1"/>
        <v>24</v>
      </c>
      <c r="O33" s="154"/>
    </row>
    <row r="34" spans="1:15" x14ac:dyDescent="0.25">
      <c r="A34" s="4">
        <f t="shared" si="0"/>
        <v>25</v>
      </c>
      <c r="B34" s="1059" t="s">
        <v>1299</v>
      </c>
      <c r="C34" s="1060" t="str">
        <f>C23</f>
        <v>2023</v>
      </c>
      <c r="D34" s="1061">
        <f t="shared" si="2"/>
        <v>90867.314265320907</v>
      </c>
      <c r="E34" s="1226">
        <v>87335.812999999995</v>
      </c>
      <c r="F34" s="1062">
        <f t="shared" si="3"/>
        <v>-6675.1976666666669</v>
      </c>
      <c r="G34" s="1062">
        <f t="shared" si="7"/>
        <v>369.75</v>
      </c>
      <c r="H34" s="914">
        <f>SUM(E34:G34)</f>
        <v>81030.36533333332</v>
      </c>
      <c r="I34" s="1062">
        <f t="shared" si="5"/>
        <v>9836.9489319875865</v>
      </c>
      <c r="J34" s="1034">
        <v>7.1000000000000004E-3</v>
      </c>
      <c r="K34" s="1063">
        <f t="shared" si="9"/>
        <v>-7537.8960838733437</v>
      </c>
      <c r="L34" s="914">
        <f t="shared" si="6"/>
        <v>-88.440230904056676</v>
      </c>
      <c r="M34" s="914">
        <f t="shared" si="4"/>
        <v>-7626.3363147774007</v>
      </c>
      <c r="N34" s="4">
        <f t="shared" si="1"/>
        <v>25</v>
      </c>
      <c r="O34" s="154"/>
    </row>
    <row r="35" spans="1:15" ht="16.5" thickBot="1" x14ac:dyDescent="0.3">
      <c r="A35" s="4">
        <f t="shared" si="0"/>
        <v>26</v>
      </c>
      <c r="D35" s="147">
        <f>SUM(D23:D34)</f>
        <v>1090407.7711838509</v>
      </c>
      <c r="E35" s="147">
        <f>SUM(E23:E34)</f>
        <v>1174264.669</v>
      </c>
      <c r="F35" s="148">
        <f>-77465.882-2636.49</f>
        <v>-80102.372000000003</v>
      </c>
      <c r="G35" s="148">
        <v>4437</v>
      </c>
      <c r="H35" s="147">
        <f>SUM(H23:H34)</f>
        <v>1098599.297</v>
      </c>
      <c r="I35" s="147">
        <f>SUM(I23:I34)</f>
        <v>-8191.5258161490783</v>
      </c>
      <c r="J35" s="149"/>
      <c r="K35" s="150"/>
      <c r="L35" s="96">
        <f>SUM(L23:L34)</f>
        <v>565.18950137167792</v>
      </c>
      <c r="M35" s="683"/>
      <c r="N35" s="4">
        <f t="shared" si="1"/>
        <v>26</v>
      </c>
    </row>
    <row r="36" spans="1:15" ht="16.5" thickTop="1" x14ac:dyDescent="0.25">
      <c r="D36" s="162"/>
      <c r="E36" s="162"/>
      <c r="F36" s="890"/>
      <c r="G36" s="162"/>
      <c r="H36" s="890"/>
      <c r="I36" s="890"/>
      <c r="J36" s="162"/>
      <c r="K36" s="162"/>
      <c r="L36" s="684"/>
      <c r="M36" s="684"/>
    </row>
    <row r="37" spans="1:15" x14ac:dyDescent="0.25">
      <c r="B37" s="36"/>
      <c r="F37" s="493"/>
      <c r="G37" s="493"/>
    </row>
    <row r="38" spans="1:15" ht="18.75" x14ac:dyDescent="0.25">
      <c r="A38" s="253">
        <v>1</v>
      </c>
      <c r="B38" s="5" t="s">
        <v>1300</v>
      </c>
      <c r="F38" s="493"/>
      <c r="G38" s="493"/>
    </row>
    <row r="39" spans="1:15" ht="18.75" x14ac:dyDescent="0.25">
      <c r="A39" s="253">
        <v>2</v>
      </c>
      <c r="B39" s="5" t="s">
        <v>1301</v>
      </c>
    </row>
    <row r="40" spans="1:15" ht="18.75" x14ac:dyDescent="0.25">
      <c r="A40" s="253">
        <v>3</v>
      </c>
      <c r="B40" s="5" t="s">
        <v>1302</v>
      </c>
    </row>
    <row r="41" spans="1:15" ht="18.75" x14ac:dyDescent="0.25">
      <c r="A41" s="253">
        <v>4</v>
      </c>
      <c r="B41" s="5" t="s">
        <v>1303</v>
      </c>
    </row>
    <row r="42" spans="1:15" ht="18.75" x14ac:dyDescent="0.25">
      <c r="A42" s="253"/>
      <c r="B42" s="5" t="s">
        <v>1304</v>
      </c>
    </row>
    <row r="43" spans="1:15" ht="18.75" x14ac:dyDescent="0.25">
      <c r="A43" s="253">
        <v>5</v>
      </c>
      <c r="B43" s="5" t="s">
        <v>1305</v>
      </c>
      <c r="C43" s="439"/>
    </row>
    <row r="44" spans="1:15" ht="18.75" x14ac:dyDescent="0.25">
      <c r="A44" s="253">
        <v>6</v>
      </c>
      <c r="B44" s="5" t="s">
        <v>1306</v>
      </c>
    </row>
    <row r="45" spans="1:15" ht="18.75" x14ac:dyDescent="0.25">
      <c r="A45" s="253">
        <v>7</v>
      </c>
      <c r="B45" s="5" t="s">
        <v>1307</v>
      </c>
    </row>
    <row r="46" spans="1:15" customFormat="1" ht="15" x14ac:dyDescent="0.25"/>
  </sheetData>
  <mergeCells count="4">
    <mergeCell ref="B2:M2"/>
    <mergeCell ref="B3:M3"/>
    <mergeCell ref="B4:M4"/>
    <mergeCell ref="B5:M5"/>
  </mergeCells>
  <printOptions horizontalCentered="1"/>
  <pageMargins left="0.5" right="0.5" top="0.5" bottom="0.5" header="0.25" footer="0.25"/>
  <pageSetup scale="49" orientation="landscape" r:id="rId1"/>
  <headerFooter scaleWithDoc="0">
    <oddFooter>&amp;C&amp;"Times New Roman,Regular"&amp;10&amp;A</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195"/>
  <sheetViews>
    <sheetView zoomScaleNormal="100" workbookViewId="0">
      <selection activeCell="M42" sqref="M42"/>
    </sheetView>
  </sheetViews>
  <sheetFormatPr defaultColWidth="9.28515625" defaultRowHeight="15.75" x14ac:dyDescent="0.25"/>
  <cols>
    <col min="1" max="1" width="5.28515625" style="4" customWidth="1"/>
    <col min="2" max="2" width="80.7109375" style="31" customWidth="1"/>
    <col min="3" max="3" width="10.42578125" style="31" customWidth="1"/>
    <col min="4" max="4" width="1.5703125" style="31" customWidth="1"/>
    <col min="5" max="5" width="16.7109375" style="31" customWidth="1"/>
    <col min="6" max="6" width="1.5703125" style="31" customWidth="1"/>
    <col min="7" max="7" width="51.42578125" style="31" customWidth="1"/>
    <col min="8" max="9" width="5.28515625" style="4" customWidth="1"/>
    <col min="10" max="10" width="11" style="31" customWidth="1"/>
    <col min="11" max="11" width="9.140625" style="31"/>
    <col min="12" max="12" width="22.140625" style="31" bestFit="1" customWidth="1"/>
    <col min="13" max="14" width="12.5703125" style="31" bestFit="1" customWidth="1"/>
    <col min="15" max="15" width="10.5703125" style="31" bestFit="1" customWidth="1"/>
    <col min="16" max="16384" width="9.28515625" style="31"/>
  </cols>
  <sheetData>
    <row r="2" spans="1:11" x14ac:dyDescent="0.25">
      <c r="B2" s="1294" t="s">
        <v>0</v>
      </c>
      <c r="C2" s="1295"/>
      <c r="D2" s="1295"/>
      <c r="E2" s="1295"/>
      <c r="F2" s="1295"/>
      <c r="G2" s="1295"/>
    </row>
    <row r="3" spans="1:11" x14ac:dyDescent="0.25">
      <c r="A3" s="4" t="s">
        <v>1</v>
      </c>
      <c r="B3" s="1294" t="s">
        <v>2</v>
      </c>
      <c r="C3" s="1295"/>
      <c r="D3" s="1295"/>
      <c r="E3" s="1295"/>
      <c r="F3" s="1295"/>
      <c r="G3" s="1295"/>
    </row>
    <row r="4" spans="1:11" ht="17.25" x14ac:dyDescent="0.25">
      <c r="B4" s="1294" t="s">
        <v>3</v>
      </c>
      <c r="C4" s="1306"/>
      <c r="D4" s="1306"/>
      <c r="E4" s="1306"/>
      <c r="F4" s="1306"/>
      <c r="G4" s="1306"/>
    </row>
    <row r="5" spans="1:11" x14ac:dyDescent="0.25">
      <c r="B5" s="1298" t="s">
        <v>1580</v>
      </c>
      <c r="C5" s="1298"/>
      <c r="D5" s="1298"/>
      <c r="E5" s="1298"/>
      <c r="F5" s="1298"/>
      <c r="G5" s="1298"/>
    </row>
    <row r="6" spans="1:11" x14ac:dyDescent="0.25">
      <c r="B6" s="1299" t="s">
        <v>4</v>
      </c>
      <c r="C6" s="1295"/>
      <c r="D6" s="1295"/>
      <c r="E6" s="1295"/>
      <c r="F6" s="1295"/>
      <c r="G6" s="1295"/>
    </row>
    <row r="7" spans="1:11" x14ac:dyDescent="0.25">
      <c r="B7" s="262"/>
      <c r="C7" s="1"/>
      <c r="D7" s="1"/>
      <c r="E7" s="1"/>
      <c r="F7" s="1"/>
      <c r="G7" s="1"/>
    </row>
    <row r="8" spans="1:11" x14ac:dyDescent="0.25">
      <c r="A8" s="4" t="s">
        <v>5</v>
      </c>
      <c r="E8" s="25"/>
      <c r="G8" s="4"/>
      <c r="H8" s="4" t="s">
        <v>5</v>
      </c>
    </row>
    <row r="9" spans="1:11" x14ac:dyDescent="0.25">
      <c r="A9" s="4" t="s">
        <v>6</v>
      </c>
      <c r="B9" s="1" t="s">
        <v>1</v>
      </c>
      <c r="E9" s="910" t="s">
        <v>1308</v>
      </c>
      <c r="G9" s="849" t="s">
        <v>8</v>
      </c>
      <c r="H9" s="4" t="s">
        <v>6</v>
      </c>
    </row>
    <row r="10" spans="1:11" x14ac:dyDescent="0.25">
      <c r="B10" s="248" t="s">
        <v>9</v>
      </c>
      <c r="C10" s="506"/>
      <c r="D10" s="506"/>
      <c r="E10" s="25"/>
      <c r="G10" s="4"/>
    </row>
    <row r="11" spans="1:11" x14ac:dyDescent="0.25">
      <c r="A11" s="4">
        <f t="shared" ref="A11:A92" si="0">A10+1</f>
        <v>1</v>
      </c>
      <c r="B11" s="32" t="s">
        <v>10</v>
      </c>
      <c r="C11" s="258"/>
      <c r="D11" s="258"/>
      <c r="E11" s="7">
        <f>'True-Up Stmt AH'!E19</f>
        <v>115639.12125000001</v>
      </c>
      <c r="G11" s="4" t="s">
        <v>1838</v>
      </c>
      <c r="H11" s="4">
        <f>H10+1</f>
        <v>1</v>
      </c>
      <c r="J11" s="4"/>
    </row>
    <row r="12" spans="1:11" x14ac:dyDescent="0.25">
      <c r="A12" s="4">
        <f t="shared" si="0"/>
        <v>2</v>
      </c>
      <c r="B12" s="32" t="s">
        <v>1</v>
      </c>
      <c r="C12" s="258"/>
      <c r="D12" s="258"/>
      <c r="E12" s="8" t="s">
        <v>1</v>
      </c>
      <c r="G12" s="4"/>
      <c r="H12" s="4">
        <f>H11+1</f>
        <v>2</v>
      </c>
      <c r="J12" s="4"/>
    </row>
    <row r="13" spans="1:11" x14ac:dyDescent="0.25">
      <c r="A13" s="4">
        <f t="shared" si="0"/>
        <v>3</v>
      </c>
      <c r="B13" s="32" t="s">
        <v>11</v>
      </c>
      <c r="C13" s="258"/>
      <c r="D13" s="258"/>
      <c r="E13" s="9">
        <f>'True-Up Stmt AH'!E41</f>
        <v>100490.08501261649</v>
      </c>
      <c r="F13" s="1"/>
      <c r="G13" s="4" t="s">
        <v>1839</v>
      </c>
      <c r="H13" s="4">
        <f>H12+1</f>
        <v>3</v>
      </c>
      <c r="J13" s="4"/>
    </row>
    <row r="14" spans="1:11" x14ac:dyDescent="0.25">
      <c r="A14" s="4">
        <f t="shared" si="0"/>
        <v>4</v>
      </c>
      <c r="B14" s="32"/>
      <c r="C14" s="258"/>
      <c r="D14" s="258"/>
      <c r="E14" s="8"/>
      <c r="F14" s="1"/>
      <c r="G14" s="4"/>
      <c r="H14" s="4">
        <f t="shared" ref="H14:H68" si="1">H13+1</f>
        <v>4</v>
      </c>
      <c r="J14" s="4"/>
    </row>
    <row r="15" spans="1:11" x14ac:dyDescent="0.25">
      <c r="A15" s="4">
        <f t="shared" si="0"/>
        <v>5</v>
      </c>
      <c r="B15" s="32" t="s">
        <v>12</v>
      </c>
      <c r="C15" s="258"/>
      <c r="D15" s="258"/>
      <c r="E15" s="1262">
        <f>-'True-Up Stmt AH'!E26</f>
        <v>0</v>
      </c>
      <c r="G15" s="4" t="s">
        <v>1855</v>
      </c>
      <c r="H15" s="4">
        <f t="shared" si="1"/>
        <v>5</v>
      </c>
      <c r="J15" s="415"/>
      <c r="K15" s="277"/>
    </row>
    <row r="16" spans="1:11" x14ac:dyDescent="0.25">
      <c r="A16" s="4">
        <f t="shared" si="0"/>
        <v>6</v>
      </c>
      <c r="B16" s="32" t="s">
        <v>13</v>
      </c>
      <c r="C16" s="258"/>
      <c r="D16" s="258"/>
      <c r="E16" s="1114">
        <f>E11+E13+E15</f>
        <v>216129.2062626165</v>
      </c>
      <c r="F16" s="1"/>
      <c r="G16" s="4" t="s">
        <v>14</v>
      </c>
      <c r="H16" s="4">
        <f t="shared" si="1"/>
        <v>6</v>
      </c>
      <c r="J16" s="4"/>
    </row>
    <row r="17" spans="1:16" x14ac:dyDescent="0.25">
      <c r="A17" s="4">
        <f t="shared" si="0"/>
        <v>7</v>
      </c>
      <c r="E17" s="6"/>
      <c r="G17" s="4"/>
      <c r="H17" s="4">
        <f t="shared" si="1"/>
        <v>7</v>
      </c>
      <c r="J17" s="4"/>
    </row>
    <row r="18" spans="1:16" x14ac:dyDescent="0.25">
      <c r="A18" s="4">
        <f t="shared" si="0"/>
        <v>8</v>
      </c>
      <c r="B18" s="31" t="s">
        <v>15</v>
      </c>
      <c r="C18" s="258"/>
      <c r="D18" s="258"/>
      <c r="E18" s="1115">
        <f>'True-Up Stmt AJ'!E27</f>
        <v>279272.80829887092</v>
      </c>
      <c r="F18" s="41"/>
      <c r="G18" s="4" t="s">
        <v>2061</v>
      </c>
      <c r="H18" s="4">
        <f t="shared" si="1"/>
        <v>8</v>
      </c>
      <c r="J18" s="415"/>
      <c r="K18" s="277"/>
      <c r="M18" s="263"/>
      <c r="N18" s="263"/>
      <c r="O18" s="263"/>
    </row>
    <row r="19" spans="1:16" x14ac:dyDescent="0.25">
      <c r="A19" s="4">
        <f t="shared" si="0"/>
        <v>9</v>
      </c>
      <c r="E19" s="11"/>
      <c r="G19" s="218"/>
      <c r="H19" s="4">
        <f t="shared" si="1"/>
        <v>9</v>
      </c>
      <c r="M19" s="1203"/>
      <c r="N19" s="1203"/>
      <c r="O19" s="1203"/>
    </row>
    <row r="20" spans="1:16" ht="18.75" x14ac:dyDescent="0.25">
      <c r="A20" s="4">
        <f t="shared" si="0"/>
        <v>10</v>
      </c>
      <c r="B20" s="838" t="s">
        <v>17</v>
      </c>
      <c r="E20" s="1214">
        <f>'True-Up Stmt AJ'!E33</f>
        <v>0</v>
      </c>
      <c r="G20" s="4" t="s">
        <v>2063</v>
      </c>
      <c r="H20" s="4">
        <f t="shared" si="1"/>
        <v>10</v>
      </c>
      <c r="J20" s="415"/>
      <c r="K20" s="277"/>
    </row>
    <row r="21" spans="1:16" x14ac:dyDescent="0.25">
      <c r="A21" s="4">
        <f t="shared" si="0"/>
        <v>11</v>
      </c>
      <c r="E21" s="11"/>
      <c r="G21" s="218"/>
      <c r="H21" s="4">
        <f t="shared" si="1"/>
        <v>11</v>
      </c>
      <c r="J21" s="4"/>
      <c r="M21" s="1204"/>
      <c r="N21" s="1204"/>
      <c r="O21" s="601"/>
    </row>
    <row r="22" spans="1:16" x14ac:dyDescent="0.25">
      <c r="A22" s="4">
        <f t="shared" si="0"/>
        <v>12</v>
      </c>
      <c r="B22" s="31" t="s">
        <v>19</v>
      </c>
      <c r="C22" s="258"/>
      <c r="D22" s="258"/>
      <c r="E22" s="9">
        <f>'True-Up Stmt AK'!E15</f>
        <v>71348.362928506802</v>
      </c>
      <c r="G22" s="4" t="s">
        <v>2062</v>
      </c>
      <c r="H22" s="4">
        <f t="shared" si="1"/>
        <v>12</v>
      </c>
      <c r="J22" s="415"/>
      <c r="K22" s="277"/>
      <c r="M22" s="1204"/>
      <c r="N22" s="1204"/>
      <c r="O22" s="601"/>
    </row>
    <row r="23" spans="1:16" x14ac:dyDescent="0.25">
      <c r="A23" s="4">
        <f t="shared" si="0"/>
        <v>13</v>
      </c>
      <c r="B23" s="32"/>
      <c r="C23" s="258"/>
      <c r="D23" s="258"/>
      <c r="E23" s="8"/>
      <c r="G23" s="218"/>
      <c r="H23" s="4">
        <f t="shared" si="1"/>
        <v>13</v>
      </c>
      <c r="J23" s="4"/>
      <c r="M23" s="1204"/>
      <c r="N23" s="1204"/>
      <c r="O23" s="601"/>
    </row>
    <row r="24" spans="1:16" x14ac:dyDescent="0.25">
      <c r="A24" s="4">
        <f t="shared" si="0"/>
        <v>14</v>
      </c>
      <c r="B24" s="31" t="s">
        <v>20</v>
      </c>
      <c r="C24" s="258"/>
      <c r="D24" s="258"/>
      <c r="E24" s="842">
        <f>'True-Up Stmt AK'!E22</f>
        <v>3846.2646305403759</v>
      </c>
      <c r="G24" s="4" t="s">
        <v>2064</v>
      </c>
      <c r="H24" s="4">
        <f t="shared" si="1"/>
        <v>14</v>
      </c>
      <c r="J24" s="415"/>
      <c r="K24" s="277"/>
      <c r="M24" s="601"/>
      <c r="N24" s="601"/>
      <c r="O24" s="601"/>
    </row>
    <row r="25" spans="1:16" x14ac:dyDescent="0.25">
      <c r="A25" s="4">
        <f t="shared" si="0"/>
        <v>15</v>
      </c>
      <c r="B25" s="32" t="s">
        <v>21</v>
      </c>
      <c r="C25" s="258"/>
      <c r="D25" s="258"/>
      <c r="E25" s="1114">
        <f>SUM(E16:E24)</f>
        <v>570596.64212053467</v>
      </c>
      <c r="F25" s="1"/>
      <c r="G25" s="839" t="s">
        <v>22</v>
      </c>
      <c r="H25" s="4">
        <f t="shared" si="1"/>
        <v>15</v>
      </c>
      <c r="J25" s="4"/>
    </row>
    <row r="26" spans="1:16" x14ac:dyDescent="0.25">
      <c r="A26" s="4">
        <f t="shared" si="0"/>
        <v>16</v>
      </c>
      <c r="B26" s="32"/>
      <c r="C26" s="258"/>
      <c r="D26" s="258"/>
      <c r="E26" s="13"/>
      <c r="G26" s="4"/>
      <c r="H26" s="4">
        <f t="shared" si="1"/>
        <v>16</v>
      </c>
      <c r="J26" s="4"/>
    </row>
    <row r="27" spans="1:16" ht="18.75" x14ac:dyDescent="0.25">
      <c r="A27" s="4">
        <f t="shared" si="0"/>
        <v>17</v>
      </c>
      <c r="B27" s="840" t="s">
        <v>1646</v>
      </c>
      <c r="C27" s="258"/>
      <c r="D27" s="8"/>
      <c r="E27" s="1147">
        <f>'True-Up Stmt AV'!G148</f>
        <v>9.3026611542306001E-2</v>
      </c>
      <c r="F27" s="1"/>
      <c r="G27" s="839" t="s">
        <v>1592</v>
      </c>
      <c r="H27" s="4">
        <f t="shared" si="1"/>
        <v>17</v>
      </c>
      <c r="J27" s="4"/>
    </row>
    <row r="28" spans="1:16" x14ac:dyDescent="0.25">
      <c r="A28" s="4">
        <f t="shared" si="0"/>
        <v>18</v>
      </c>
      <c r="B28" s="840" t="s">
        <v>23</v>
      </c>
      <c r="C28" s="258"/>
      <c r="D28" s="258"/>
      <c r="E28" s="844">
        <f>E136</f>
        <v>5325940.0777648576</v>
      </c>
      <c r="F28" s="1"/>
      <c r="G28" s="839" t="s">
        <v>1769</v>
      </c>
      <c r="H28" s="4">
        <f t="shared" si="1"/>
        <v>18</v>
      </c>
      <c r="J28" s="415"/>
      <c r="K28" s="277"/>
    </row>
    <row r="29" spans="1:16" x14ac:dyDescent="0.25">
      <c r="A29" s="4">
        <f t="shared" si="0"/>
        <v>19</v>
      </c>
      <c r="B29" s="838" t="s">
        <v>1647</v>
      </c>
      <c r="E29" s="911">
        <f>E27*E28</f>
        <v>495454.15871183045</v>
      </c>
      <c r="F29" s="1"/>
      <c r="G29" s="839" t="s">
        <v>24</v>
      </c>
      <c r="H29" s="4">
        <f t="shared" si="1"/>
        <v>19</v>
      </c>
      <c r="J29" s="4"/>
      <c r="K29" s="277"/>
      <c r="M29" s="1203"/>
      <c r="N29" s="1203"/>
      <c r="O29" s="1203"/>
      <c r="P29" s="277"/>
    </row>
    <row r="30" spans="1:16" x14ac:dyDescent="0.25">
      <c r="A30" s="4">
        <f t="shared" si="0"/>
        <v>20</v>
      </c>
      <c r="B30" s="838"/>
      <c r="E30" s="10"/>
      <c r="F30" s="1"/>
      <c r="G30" s="839"/>
      <c r="H30" s="4">
        <f t="shared" si="1"/>
        <v>20</v>
      </c>
      <c r="J30" s="4"/>
      <c r="M30" s="1205"/>
      <c r="N30" s="1205"/>
      <c r="O30" s="1205"/>
      <c r="P30" s="277"/>
    </row>
    <row r="31" spans="1:16" ht="18.75" x14ac:dyDescent="0.25">
      <c r="A31" s="4">
        <f t="shared" si="0"/>
        <v>21</v>
      </c>
      <c r="B31" s="840" t="s">
        <v>1648</v>
      </c>
      <c r="E31" s="1148">
        <f>'True-Up Stmt AV'!G182</f>
        <v>3.692937016901445E-3</v>
      </c>
      <c r="F31" s="1"/>
      <c r="G31" s="839" t="s">
        <v>1649</v>
      </c>
      <c r="H31" s="4">
        <f t="shared" si="1"/>
        <v>21</v>
      </c>
      <c r="J31" s="4"/>
      <c r="M31" s="35"/>
      <c r="N31" s="35"/>
      <c r="O31" s="35"/>
    </row>
    <row r="32" spans="1:16" x14ac:dyDescent="0.25">
      <c r="A32" s="4">
        <f t="shared" si="0"/>
        <v>22</v>
      </c>
      <c r="B32" s="840" t="s">
        <v>23</v>
      </c>
      <c r="E32" s="844">
        <f>E136-E119</f>
        <v>5325940.0777648576</v>
      </c>
      <c r="F32" s="1"/>
      <c r="G32" s="839" t="s">
        <v>1650</v>
      </c>
      <c r="H32" s="4">
        <f t="shared" si="1"/>
        <v>22</v>
      </c>
      <c r="J32" s="4"/>
    </row>
    <row r="33" spans="1:15" x14ac:dyDescent="0.25">
      <c r="A33" s="4">
        <f t="shared" si="0"/>
        <v>23</v>
      </c>
      <c r="B33" s="838" t="s">
        <v>1651</v>
      </c>
      <c r="E33" s="10">
        <f>E31*E32</f>
        <v>19668.361262976803</v>
      </c>
      <c r="F33" s="1"/>
      <c r="G33" s="839" t="s">
        <v>1652</v>
      </c>
      <c r="H33" s="4">
        <f t="shared" si="1"/>
        <v>23</v>
      </c>
      <c r="J33" s="4"/>
      <c r="K33" s="277"/>
    </row>
    <row r="34" spans="1:15" x14ac:dyDescent="0.25">
      <c r="A34" s="4">
        <f t="shared" si="0"/>
        <v>24</v>
      </c>
      <c r="B34" s="32"/>
      <c r="C34" s="258"/>
      <c r="D34" s="258"/>
      <c r="E34" s="13"/>
      <c r="G34" s="4"/>
      <c r="H34" s="4">
        <f t="shared" si="1"/>
        <v>24</v>
      </c>
      <c r="J34" s="4"/>
    </row>
    <row r="35" spans="1:15" x14ac:dyDescent="0.25">
      <c r="A35" s="4">
        <f t="shared" si="0"/>
        <v>25</v>
      </c>
      <c r="B35" s="838" t="s">
        <v>25</v>
      </c>
      <c r="E35" s="1124">
        <f>'Stmt AQ'!E13</f>
        <v>1304.0991895338727</v>
      </c>
      <c r="G35" s="839" t="s">
        <v>26</v>
      </c>
      <c r="H35" s="4">
        <f t="shared" si="1"/>
        <v>25</v>
      </c>
      <c r="I35" s="358"/>
      <c r="J35" s="4"/>
      <c r="O35" s="1154"/>
    </row>
    <row r="36" spans="1:15" x14ac:dyDescent="0.25">
      <c r="A36" s="4">
        <f t="shared" si="0"/>
        <v>26</v>
      </c>
      <c r="B36" s="838" t="s">
        <v>27</v>
      </c>
      <c r="E36" s="23">
        <f>'Stmt AU'!E23</f>
        <v>-9550.5500000000011</v>
      </c>
      <c r="G36" s="839" t="s">
        <v>28</v>
      </c>
      <c r="H36" s="4">
        <f t="shared" si="1"/>
        <v>26</v>
      </c>
      <c r="I36" s="358"/>
      <c r="J36" s="415"/>
      <c r="K36" s="277"/>
      <c r="L36" s="6"/>
    </row>
    <row r="37" spans="1:15" x14ac:dyDescent="0.25">
      <c r="A37" s="4">
        <f t="shared" si="0"/>
        <v>27</v>
      </c>
      <c r="B37" s="838" t="s">
        <v>29</v>
      </c>
      <c r="E37" s="9">
        <f>'Stmt Misc.'!E10</f>
        <v>0</v>
      </c>
      <c r="F37" s="1"/>
      <c r="G37" s="839" t="s">
        <v>30</v>
      </c>
      <c r="H37" s="4">
        <f t="shared" si="1"/>
        <v>27</v>
      </c>
      <c r="I37" s="358"/>
      <c r="J37" s="4"/>
    </row>
    <row r="38" spans="1:15" x14ac:dyDescent="0.25">
      <c r="A38" s="4">
        <f t="shared" si="0"/>
        <v>28</v>
      </c>
      <c r="B38" s="841" t="s">
        <v>31</v>
      </c>
      <c r="E38" s="842">
        <f>'Stmt AU'!E25</f>
        <v>0</v>
      </c>
      <c r="G38" s="839" t="s">
        <v>32</v>
      </c>
      <c r="H38" s="4">
        <f t="shared" si="1"/>
        <v>28</v>
      </c>
      <c r="I38" s="358"/>
      <c r="J38" s="4"/>
    </row>
    <row r="39" spans="1:15" x14ac:dyDescent="0.25">
      <c r="A39" s="4">
        <f t="shared" si="0"/>
        <v>29</v>
      </c>
      <c r="E39" s="11" t="s">
        <v>1</v>
      </c>
      <c r="G39" s="4"/>
      <c r="H39" s="4">
        <f t="shared" si="1"/>
        <v>29</v>
      </c>
      <c r="I39" s="358"/>
    </row>
    <row r="40" spans="1:15" ht="16.5" thickBot="1" x14ac:dyDescent="0.3">
      <c r="A40" s="4">
        <f t="shared" si="0"/>
        <v>30</v>
      </c>
      <c r="B40" s="31" t="s">
        <v>1309</v>
      </c>
      <c r="C40" s="258"/>
      <c r="D40" s="258"/>
      <c r="E40" s="14">
        <f>E25+E29+E33+SUM(E35:E38)</f>
        <v>1077472.7112848759</v>
      </c>
      <c r="F40" s="1"/>
      <c r="G40" s="4" t="s">
        <v>1672</v>
      </c>
      <c r="H40" s="4">
        <f t="shared" si="1"/>
        <v>30</v>
      </c>
      <c r="I40" s="358"/>
      <c r="J40" s="44"/>
    </row>
    <row r="41" spans="1:15" ht="16.5" thickTop="1" x14ac:dyDescent="0.25">
      <c r="C41" s="258"/>
      <c r="D41" s="258"/>
      <c r="E41" s="15"/>
      <c r="F41" s="1"/>
      <c r="G41" s="4"/>
      <c r="J41" s="888"/>
    </row>
    <row r="42" spans="1:15" x14ac:dyDescent="0.25">
      <c r="C42" s="258"/>
      <c r="D42" s="258"/>
      <c r="E42" s="15"/>
      <c r="F42" s="1"/>
      <c r="G42" s="4"/>
      <c r="J42" s="888"/>
    </row>
    <row r="43" spans="1:15" ht="18.75" x14ac:dyDescent="0.25">
      <c r="A43" s="253">
        <v>1</v>
      </c>
      <c r="B43" s="31" t="s">
        <v>33</v>
      </c>
      <c r="C43" s="258"/>
      <c r="D43" s="258"/>
      <c r="E43" s="15"/>
      <c r="F43" s="1"/>
      <c r="G43" s="4"/>
      <c r="J43" s="888"/>
    </row>
    <row r="44" spans="1:15" ht="18.75" x14ac:dyDescent="0.25">
      <c r="A44" s="253"/>
      <c r="C44" s="258"/>
      <c r="D44" s="258"/>
      <c r="E44" s="15"/>
      <c r="F44" s="1"/>
      <c r="G44" s="4"/>
      <c r="J44" s="888"/>
    </row>
    <row r="45" spans="1:15" x14ac:dyDescent="0.25">
      <c r="C45" s="258"/>
      <c r="D45" s="258"/>
      <c r="E45" s="15"/>
      <c r="F45" s="1"/>
      <c r="G45" s="4"/>
      <c r="J45" s="44"/>
    </row>
    <row r="46" spans="1:15" x14ac:dyDescent="0.25">
      <c r="B46" s="1334" t="s">
        <v>0</v>
      </c>
      <c r="C46" s="1335"/>
      <c r="D46" s="1335"/>
      <c r="E46" s="1335"/>
      <c r="F46" s="1335"/>
      <c r="G46" s="1335"/>
      <c r="J46" s="4"/>
    </row>
    <row r="47" spans="1:15" x14ac:dyDescent="0.25">
      <c r="B47" s="1334" t="s">
        <v>2</v>
      </c>
      <c r="C47" s="1335"/>
      <c r="D47" s="1335"/>
      <c r="E47" s="1335"/>
      <c r="F47" s="1335"/>
      <c r="G47" s="1335"/>
      <c r="J47" s="4"/>
    </row>
    <row r="48" spans="1:15" ht="17.25" x14ac:dyDescent="0.25">
      <c r="B48" s="1334" t="s">
        <v>3</v>
      </c>
      <c r="C48" s="1336"/>
      <c r="D48" s="1336"/>
      <c r="E48" s="1336"/>
      <c r="F48" s="1336"/>
      <c r="G48" s="1336"/>
      <c r="J48" s="4"/>
    </row>
    <row r="49" spans="1:10" x14ac:dyDescent="0.25">
      <c r="B49" s="1337" t="str">
        <f>B5</f>
        <v>For the Base Period &amp; True-Up Period Ending December 31, 2023</v>
      </c>
      <c r="C49" s="1338"/>
      <c r="D49" s="1338"/>
      <c r="E49" s="1338"/>
      <c r="F49" s="1338"/>
      <c r="G49" s="1338"/>
      <c r="J49" s="4"/>
    </row>
    <row r="50" spans="1:10" x14ac:dyDescent="0.25">
      <c r="B50" s="1339" t="s">
        <v>4</v>
      </c>
      <c r="C50" s="1335"/>
      <c r="D50" s="1335"/>
      <c r="E50" s="1335"/>
      <c r="F50" s="1335"/>
      <c r="G50" s="1335"/>
      <c r="J50" s="4"/>
    </row>
    <row r="51" spans="1:10" x14ac:dyDescent="0.25">
      <c r="C51" s="258"/>
      <c r="D51" s="258"/>
      <c r="E51" s="15"/>
      <c r="F51" s="1"/>
      <c r="G51" s="4"/>
      <c r="J51" s="4"/>
    </row>
    <row r="52" spans="1:10" x14ac:dyDescent="0.25">
      <c r="A52" s="839" t="s">
        <v>5</v>
      </c>
      <c r="C52" s="258"/>
      <c r="D52" s="258"/>
      <c r="E52" s="15"/>
      <c r="F52" s="1"/>
      <c r="G52" s="4"/>
      <c r="H52" s="839" t="s">
        <v>5</v>
      </c>
      <c r="I52" s="839"/>
      <c r="J52" s="4"/>
    </row>
    <row r="53" spans="1:10" x14ac:dyDescent="0.25">
      <c r="A53" s="839" t="s">
        <v>6</v>
      </c>
      <c r="C53" s="258"/>
      <c r="D53" s="258"/>
      <c r="E53" s="15"/>
      <c r="F53" s="1"/>
      <c r="G53" s="4"/>
      <c r="H53" s="839" t="s">
        <v>6</v>
      </c>
      <c r="I53" s="839"/>
      <c r="J53" s="4"/>
    </row>
    <row r="54" spans="1:10" ht="18.75" x14ac:dyDescent="0.25">
      <c r="B54" s="843" t="s">
        <v>34</v>
      </c>
      <c r="E54" s="4"/>
      <c r="G54" s="4"/>
      <c r="J54" s="4"/>
    </row>
    <row r="55" spans="1:10" x14ac:dyDescent="0.25">
      <c r="A55" s="4">
        <f t="shared" si="0"/>
        <v>1</v>
      </c>
      <c r="B55" s="32" t="s">
        <v>35</v>
      </c>
      <c r="C55" s="258"/>
      <c r="D55" s="258"/>
      <c r="E55" s="16">
        <f>'Stmt AJ'!E29</f>
        <v>0</v>
      </c>
      <c r="G55" s="4" t="s">
        <v>36</v>
      </c>
      <c r="H55" s="4">
        <f t="shared" si="1"/>
        <v>1</v>
      </c>
      <c r="J55" s="4"/>
    </row>
    <row r="56" spans="1:10" x14ac:dyDescent="0.25">
      <c r="A56" s="4">
        <f t="shared" si="0"/>
        <v>2</v>
      </c>
      <c r="B56" s="32"/>
      <c r="C56" s="258"/>
      <c r="D56" s="258"/>
      <c r="E56" s="15"/>
      <c r="G56" s="4"/>
      <c r="H56" s="4">
        <f t="shared" si="1"/>
        <v>2</v>
      </c>
      <c r="J56" s="4"/>
    </row>
    <row r="57" spans="1:10" ht="18.75" x14ac:dyDescent="0.25">
      <c r="A57" s="4">
        <f t="shared" si="0"/>
        <v>3</v>
      </c>
      <c r="B57" s="840" t="s">
        <v>1653</v>
      </c>
      <c r="C57" s="258"/>
      <c r="D57" s="258"/>
      <c r="E57" s="1147">
        <f>'True-Up Stmt AV'!G225</f>
        <v>1.8646691487816846E-2</v>
      </c>
      <c r="F57" s="266"/>
      <c r="G57" s="839" t="s">
        <v>1654</v>
      </c>
      <c r="H57" s="4">
        <f t="shared" si="1"/>
        <v>3</v>
      </c>
      <c r="J57" s="4"/>
    </row>
    <row r="58" spans="1:10" x14ac:dyDescent="0.25">
      <c r="A58" s="4">
        <f t="shared" si="0"/>
        <v>4</v>
      </c>
      <c r="B58" s="838" t="s">
        <v>1655</v>
      </c>
      <c r="C58" s="258"/>
      <c r="D58" s="258"/>
      <c r="E58" s="844">
        <f>E141</f>
        <v>0</v>
      </c>
      <c r="G58" s="839" t="s">
        <v>1656</v>
      </c>
      <c r="H58" s="4">
        <f t="shared" si="1"/>
        <v>4</v>
      </c>
      <c r="J58" s="4"/>
    </row>
    <row r="59" spans="1:10" x14ac:dyDescent="0.25">
      <c r="A59" s="4">
        <f t="shared" si="0"/>
        <v>5</v>
      </c>
      <c r="B59" s="838" t="s">
        <v>1657</v>
      </c>
      <c r="E59" s="913">
        <f>E58*E57</f>
        <v>0</v>
      </c>
      <c r="G59" s="839" t="s">
        <v>1658</v>
      </c>
      <c r="H59" s="4">
        <f t="shared" si="1"/>
        <v>5</v>
      </c>
      <c r="J59" s="4"/>
    </row>
    <row r="60" spans="1:10" x14ac:dyDescent="0.25">
      <c r="A60" s="4">
        <f t="shared" si="0"/>
        <v>6</v>
      </c>
      <c r="B60" s="838"/>
      <c r="E60" s="10"/>
      <c r="G60" s="839"/>
      <c r="H60" s="4">
        <f t="shared" si="1"/>
        <v>6</v>
      </c>
      <c r="J60" s="4"/>
    </row>
    <row r="61" spans="1:10" ht="18.75" x14ac:dyDescent="0.25">
      <c r="A61" s="4">
        <f t="shared" si="0"/>
        <v>7</v>
      </c>
      <c r="B61" s="840" t="s">
        <v>1648</v>
      </c>
      <c r="E61" s="1148">
        <f>'True-Up Stmt AV'!G259</f>
        <v>0</v>
      </c>
      <c r="G61" s="839" t="s">
        <v>1659</v>
      </c>
      <c r="H61" s="4">
        <f t="shared" si="1"/>
        <v>7</v>
      </c>
      <c r="J61" s="4"/>
    </row>
    <row r="62" spans="1:10" x14ac:dyDescent="0.25">
      <c r="A62" s="4">
        <f t="shared" si="0"/>
        <v>8</v>
      </c>
      <c r="B62" s="838" t="s">
        <v>1655</v>
      </c>
      <c r="E62" s="844">
        <f>E141</f>
        <v>0</v>
      </c>
      <c r="G62" s="839" t="s">
        <v>1656</v>
      </c>
      <c r="H62" s="4">
        <f t="shared" si="1"/>
        <v>8</v>
      </c>
      <c r="J62" s="4"/>
    </row>
    <row r="63" spans="1:10" x14ac:dyDescent="0.25">
      <c r="A63" s="4">
        <f t="shared" si="0"/>
        <v>9</v>
      </c>
      <c r="B63" s="838" t="s">
        <v>1651</v>
      </c>
      <c r="E63" s="913">
        <f>E61*E62</f>
        <v>0</v>
      </c>
      <c r="G63" s="839" t="s">
        <v>37</v>
      </c>
      <c r="H63" s="4">
        <f t="shared" si="1"/>
        <v>9</v>
      </c>
      <c r="J63" s="4"/>
    </row>
    <row r="64" spans="1:10" x14ac:dyDescent="0.25">
      <c r="A64" s="4">
        <f t="shared" si="0"/>
        <v>10</v>
      </c>
      <c r="E64" s="10"/>
      <c r="G64" s="839"/>
      <c r="H64" s="4">
        <f t="shared" si="1"/>
        <v>10</v>
      </c>
      <c r="J64" s="4"/>
    </row>
    <row r="65" spans="1:10" ht="16.5" thickBot="1" x14ac:dyDescent="0.3">
      <c r="A65" s="4">
        <f t="shared" si="0"/>
        <v>11</v>
      </c>
      <c r="B65" s="838" t="s">
        <v>38</v>
      </c>
      <c r="E65" s="24">
        <f>E55+E59+E63</f>
        <v>0</v>
      </c>
      <c r="G65" s="839" t="s">
        <v>1660</v>
      </c>
      <c r="H65" s="4">
        <f t="shared" si="1"/>
        <v>11</v>
      </c>
      <c r="J65" s="4"/>
    </row>
    <row r="66" spans="1:10" ht="16.5" thickTop="1" x14ac:dyDescent="0.25">
      <c r="A66" s="4">
        <f t="shared" si="0"/>
        <v>12</v>
      </c>
      <c r="E66" s="10"/>
      <c r="G66" s="4"/>
      <c r="H66" s="4">
        <f t="shared" si="1"/>
        <v>12</v>
      </c>
      <c r="I66" s="358"/>
      <c r="J66" s="4"/>
    </row>
    <row r="67" spans="1:10" ht="18.75" x14ac:dyDescent="0.25">
      <c r="A67" s="4">
        <f t="shared" si="0"/>
        <v>13</v>
      </c>
      <c r="B67" s="845" t="s">
        <v>39</v>
      </c>
      <c r="E67" s="10"/>
      <c r="G67" s="4"/>
      <c r="H67" s="4">
        <f t="shared" si="1"/>
        <v>13</v>
      </c>
      <c r="I67" s="358"/>
      <c r="J67" s="4"/>
    </row>
    <row r="68" spans="1:10" x14ac:dyDescent="0.25">
      <c r="A68" s="4">
        <f t="shared" si="0"/>
        <v>14</v>
      </c>
      <c r="B68" s="32" t="s">
        <v>40</v>
      </c>
      <c r="E68" s="7">
        <f>'Stmt AJ'!E31</f>
        <v>0</v>
      </c>
      <c r="G68" s="4" t="s">
        <v>41</v>
      </c>
      <c r="H68" s="4">
        <f t="shared" si="1"/>
        <v>14</v>
      </c>
      <c r="I68" s="358"/>
      <c r="J68" s="4"/>
    </row>
    <row r="69" spans="1:10" x14ac:dyDescent="0.25">
      <c r="A69" s="4">
        <f t="shared" si="0"/>
        <v>15</v>
      </c>
      <c r="B69" s="32"/>
      <c r="E69" s="18"/>
      <c r="G69" s="4"/>
      <c r="H69" s="4">
        <f>H68+1</f>
        <v>15</v>
      </c>
      <c r="I69" s="358"/>
      <c r="J69" s="4"/>
    </row>
    <row r="70" spans="1:10" x14ac:dyDescent="0.25">
      <c r="A70" s="4">
        <f t="shared" si="0"/>
        <v>16</v>
      </c>
      <c r="B70" s="840" t="s">
        <v>42</v>
      </c>
      <c r="E70" s="7">
        <f>E146</f>
        <v>0</v>
      </c>
      <c r="G70" s="839" t="s">
        <v>43</v>
      </c>
      <c r="H70" s="4">
        <f>H69+1</f>
        <v>16</v>
      </c>
    </row>
    <row r="71" spans="1:10" ht="18.75" x14ac:dyDescent="0.25">
      <c r="A71" s="4">
        <f t="shared" si="0"/>
        <v>17</v>
      </c>
      <c r="B71" s="840" t="s">
        <v>1646</v>
      </c>
      <c r="C71" s="258"/>
      <c r="D71" s="8"/>
      <c r="E71" s="868">
        <f>'True-Up Stmt AV'!G148</f>
        <v>9.3026611542306001E-2</v>
      </c>
      <c r="F71" s="1"/>
      <c r="G71" s="839" t="s">
        <v>1592</v>
      </c>
      <c r="H71" s="4">
        <f t="shared" ref="H71:H79" si="2">H70+1</f>
        <v>17</v>
      </c>
    </row>
    <row r="72" spans="1:10" x14ac:dyDescent="0.25">
      <c r="A72" s="4">
        <f t="shared" si="0"/>
        <v>18</v>
      </c>
      <c r="B72" s="838" t="s">
        <v>1661</v>
      </c>
      <c r="E72" s="913">
        <f>E70*E71</f>
        <v>0</v>
      </c>
      <c r="G72" s="839" t="s">
        <v>1662</v>
      </c>
      <c r="H72" s="4">
        <f t="shared" si="2"/>
        <v>18</v>
      </c>
    </row>
    <row r="73" spans="1:10" x14ac:dyDescent="0.25">
      <c r="A73" s="4">
        <f t="shared" si="0"/>
        <v>19</v>
      </c>
      <c r="B73" s="838"/>
      <c r="E73" s="10"/>
      <c r="G73" s="839"/>
      <c r="H73" s="4">
        <f t="shared" si="2"/>
        <v>19</v>
      </c>
    </row>
    <row r="74" spans="1:10" x14ac:dyDescent="0.25">
      <c r="A74" s="4">
        <f t="shared" si="0"/>
        <v>20</v>
      </c>
      <c r="B74" s="840" t="s">
        <v>42</v>
      </c>
      <c r="E74" s="7">
        <f>'TO5 True-Up BK-1'!E146</f>
        <v>0</v>
      </c>
      <c r="G74" s="839" t="s">
        <v>43</v>
      </c>
      <c r="H74" s="4">
        <f t="shared" si="2"/>
        <v>20</v>
      </c>
    </row>
    <row r="75" spans="1:10" ht="18.75" x14ac:dyDescent="0.25">
      <c r="A75" s="4">
        <f t="shared" si="0"/>
        <v>21</v>
      </c>
      <c r="B75" s="840" t="s">
        <v>1648</v>
      </c>
      <c r="E75" s="1149">
        <v>0</v>
      </c>
      <c r="G75" s="839" t="s">
        <v>44</v>
      </c>
      <c r="H75" s="4">
        <f t="shared" si="2"/>
        <v>21</v>
      </c>
    </row>
    <row r="76" spans="1:10" x14ac:dyDescent="0.25">
      <c r="A76" s="4">
        <f t="shared" si="0"/>
        <v>22</v>
      </c>
      <c r="B76" s="838" t="s">
        <v>1663</v>
      </c>
      <c r="E76" s="913">
        <f>E74*E75</f>
        <v>0</v>
      </c>
      <c r="G76" s="839" t="s">
        <v>1664</v>
      </c>
      <c r="H76" s="4">
        <f t="shared" si="2"/>
        <v>22</v>
      </c>
    </row>
    <row r="77" spans="1:10" x14ac:dyDescent="0.25">
      <c r="A77" s="4">
        <f t="shared" si="0"/>
        <v>23</v>
      </c>
      <c r="E77" s="10"/>
      <c r="G77" s="839"/>
      <c r="H77" s="4">
        <f t="shared" si="2"/>
        <v>23</v>
      </c>
    </row>
    <row r="78" spans="1:10" ht="16.5" thickBot="1" x14ac:dyDescent="0.3">
      <c r="A78" s="4">
        <f t="shared" si="0"/>
        <v>24</v>
      </c>
      <c r="B78" s="838" t="s">
        <v>45</v>
      </c>
      <c r="E78" s="24">
        <f>E68+E72+E76</f>
        <v>0</v>
      </c>
      <c r="G78" s="839" t="s">
        <v>1665</v>
      </c>
      <c r="H78" s="4">
        <f t="shared" si="2"/>
        <v>24</v>
      </c>
    </row>
    <row r="79" spans="1:10" ht="16.5" thickTop="1" x14ac:dyDescent="0.25">
      <c r="A79" s="4">
        <f t="shared" si="0"/>
        <v>25</v>
      </c>
      <c r="E79" s="10"/>
      <c r="G79" s="4"/>
      <c r="H79" s="4">
        <f t="shared" si="2"/>
        <v>25</v>
      </c>
      <c r="I79" s="358"/>
      <c r="J79" s="4"/>
    </row>
    <row r="80" spans="1:10" ht="18.75" x14ac:dyDescent="0.25">
      <c r="A80" s="4">
        <f t="shared" si="0"/>
        <v>26</v>
      </c>
      <c r="B80" s="845" t="s">
        <v>46</v>
      </c>
      <c r="C80" s="258"/>
      <c r="D80" s="258"/>
      <c r="E80" s="15"/>
      <c r="G80" s="4"/>
      <c r="H80" s="4">
        <f t="shared" ref="H80:H93" si="3">H79+1</f>
        <v>26</v>
      </c>
      <c r="I80" s="358"/>
      <c r="J80" s="4"/>
    </row>
    <row r="81" spans="1:10" x14ac:dyDescent="0.25">
      <c r="A81" s="4">
        <f t="shared" si="0"/>
        <v>27</v>
      </c>
      <c r="B81" s="838" t="s">
        <v>47</v>
      </c>
      <c r="C81" s="258"/>
      <c r="D81" s="258"/>
      <c r="E81" s="16">
        <f>E148</f>
        <v>0</v>
      </c>
      <c r="G81" s="839" t="s">
        <v>48</v>
      </c>
      <c r="H81" s="4">
        <f t="shared" si="3"/>
        <v>27</v>
      </c>
      <c r="I81" s="358"/>
      <c r="J81" s="4"/>
    </row>
    <row r="82" spans="1:10" ht="18.75" x14ac:dyDescent="0.25">
      <c r="A82" s="4">
        <f t="shared" si="0"/>
        <v>28</v>
      </c>
      <c r="B82" s="840" t="s">
        <v>1646</v>
      </c>
      <c r="C82" s="258"/>
      <c r="D82" s="258"/>
      <c r="E82" s="1150">
        <f>'True-Up Stmt AV'!G148</f>
        <v>9.3026611542306001E-2</v>
      </c>
      <c r="F82" s="1"/>
      <c r="G82" s="839" t="s">
        <v>1592</v>
      </c>
      <c r="H82" s="4">
        <f t="shared" si="3"/>
        <v>28</v>
      </c>
      <c r="I82" s="358"/>
      <c r="J82" s="4"/>
    </row>
    <row r="83" spans="1:10" x14ac:dyDescent="0.25">
      <c r="A83" s="4">
        <f t="shared" si="0"/>
        <v>29</v>
      </c>
      <c r="B83" s="838" t="s">
        <v>1666</v>
      </c>
      <c r="C83" s="258"/>
      <c r="D83" s="258"/>
      <c r="E83" s="913">
        <f>E81*E82</f>
        <v>0</v>
      </c>
      <c r="G83" s="839" t="s">
        <v>1667</v>
      </c>
      <c r="H83" s="4">
        <f t="shared" si="3"/>
        <v>29</v>
      </c>
      <c r="I83" s="358"/>
      <c r="J83" s="4"/>
    </row>
    <row r="84" spans="1:10" x14ac:dyDescent="0.25">
      <c r="A84" s="4">
        <f t="shared" si="0"/>
        <v>30</v>
      </c>
      <c r="B84" s="838"/>
      <c r="C84" s="258"/>
      <c r="D84" s="258"/>
      <c r="E84" s="10"/>
      <c r="G84" s="839"/>
      <c r="H84" s="4">
        <f t="shared" si="3"/>
        <v>30</v>
      </c>
      <c r="I84" s="358"/>
      <c r="J84" s="4"/>
    </row>
    <row r="85" spans="1:10" x14ac:dyDescent="0.25">
      <c r="A85" s="4">
        <f t="shared" si="0"/>
        <v>31</v>
      </c>
      <c r="B85" s="838" t="s">
        <v>47</v>
      </c>
      <c r="E85" s="7">
        <f>E148</f>
        <v>0</v>
      </c>
      <c r="G85" s="839" t="s">
        <v>48</v>
      </c>
      <c r="H85" s="4">
        <f t="shared" si="3"/>
        <v>31</v>
      </c>
      <c r="I85" s="358"/>
      <c r="J85" s="4"/>
    </row>
    <row r="86" spans="1:10" ht="18.75" x14ac:dyDescent="0.25">
      <c r="A86" s="4">
        <f t="shared" si="0"/>
        <v>32</v>
      </c>
      <c r="B86" s="840" t="s">
        <v>1648</v>
      </c>
      <c r="E86" s="1151">
        <f>'True-Up Stmt AV'!G182</f>
        <v>3.692937016901445E-3</v>
      </c>
      <c r="G86" s="839" t="s">
        <v>1649</v>
      </c>
      <c r="H86" s="4">
        <f t="shared" si="3"/>
        <v>32</v>
      </c>
      <c r="I86" s="358"/>
      <c r="J86" s="4"/>
    </row>
    <row r="87" spans="1:10" x14ac:dyDescent="0.25">
      <c r="A87" s="4">
        <f t="shared" si="0"/>
        <v>33</v>
      </c>
      <c r="B87" s="838" t="s">
        <v>1668</v>
      </c>
      <c r="E87" s="913">
        <f>E85*E86</f>
        <v>0</v>
      </c>
      <c r="G87" s="839" t="s">
        <v>1669</v>
      </c>
      <c r="H87" s="4">
        <f t="shared" si="3"/>
        <v>33</v>
      </c>
      <c r="I87" s="358"/>
      <c r="J87" s="4"/>
    </row>
    <row r="88" spans="1:10" x14ac:dyDescent="0.25">
      <c r="A88" s="4">
        <f t="shared" si="0"/>
        <v>34</v>
      </c>
      <c r="B88" s="838"/>
      <c r="E88" s="10"/>
      <c r="G88" s="839"/>
      <c r="H88" s="4">
        <f t="shared" si="3"/>
        <v>34</v>
      </c>
      <c r="I88" s="358"/>
      <c r="J88" s="4"/>
    </row>
    <row r="89" spans="1:10" ht="16.5" thickBot="1" x14ac:dyDescent="0.3">
      <c r="A89" s="4">
        <f t="shared" si="0"/>
        <v>35</v>
      </c>
      <c r="B89" s="838" t="s">
        <v>49</v>
      </c>
      <c r="E89" s="24">
        <f>E83+E87</f>
        <v>0</v>
      </c>
      <c r="G89" s="839" t="s">
        <v>1670</v>
      </c>
      <c r="H89" s="4">
        <f t="shared" si="3"/>
        <v>35</v>
      </c>
      <c r="I89" s="358"/>
      <c r="J89" s="4"/>
    </row>
    <row r="90" spans="1:10" ht="16.5" thickTop="1" x14ac:dyDescent="0.25">
      <c r="A90" s="4">
        <f t="shared" si="0"/>
        <v>36</v>
      </c>
      <c r="B90" s="838"/>
      <c r="E90" s="10"/>
      <c r="G90" s="839"/>
      <c r="H90" s="4">
        <f t="shared" si="3"/>
        <v>36</v>
      </c>
      <c r="I90" s="358"/>
      <c r="J90" s="4"/>
    </row>
    <row r="91" spans="1:10" ht="19.5" thickBot="1" x14ac:dyDescent="0.3">
      <c r="A91" s="4">
        <f t="shared" si="0"/>
        <v>37</v>
      </c>
      <c r="B91" s="838" t="s">
        <v>50</v>
      </c>
      <c r="C91" s="258"/>
      <c r="D91" s="258"/>
      <c r="E91" s="14">
        <f>E67+E78+E89</f>
        <v>0</v>
      </c>
      <c r="G91" s="839" t="s">
        <v>1671</v>
      </c>
      <c r="H91" s="4">
        <f t="shared" si="3"/>
        <v>37</v>
      </c>
      <c r="I91" s="358"/>
      <c r="J91" s="4"/>
    </row>
    <row r="92" spans="1:10" ht="16.5" thickTop="1" x14ac:dyDescent="0.25">
      <c r="A92" s="4">
        <f t="shared" si="0"/>
        <v>38</v>
      </c>
      <c r="B92" s="838"/>
      <c r="C92" s="258"/>
      <c r="D92" s="258"/>
      <c r="E92" s="15"/>
      <c r="G92" s="839"/>
      <c r="H92" s="4">
        <f t="shared" si="3"/>
        <v>38</v>
      </c>
      <c r="I92" s="358"/>
      <c r="J92" s="4"/>
    </row>
    <row r="93" spans="1:10" ht="24.75" customHeight="1" thickBot="1" x14ac:dyDescent="0.3">
      <c r="A93" s="4">
        <f t="shared" ref="A93" si="4">A92+1</f>
        <v>39</v>
      </c>
      <c r="B93" s="33" t="s">
        <v>51</v>
      </c>
      <c r="C93" s="258"/>
      <c r="D93" s="258"/>
      <c r="E93" s="14">
        <f>E40+E91</f>
        <v>1077472.7112848759</v>
      </c>
      <c r="F93" s="1"/>
      <c r="G93" s="839" t="s">
        <v>1681</v>
      </c>
      <c r="H93" s="4">
        <f t="shared" si="3"/>
        <v>39</v>
      </c>
      <c r="I93" s="358"/>
      <c r="J93" s="4"/>
    </row>
    <row r="94" spans="1:10" ht="16.5" thickTop="1" x14ac:dyDescent="0.25">
      <c r="B94" s="33"/>
      <c r="C94" s="258"/>
      <c r="D94" s="258"/>
      <c r="E94" s="15"/>
      <c r="F94" s="71"/>
      <c r="G94" s="4"/>
    </row>
    <row r="95" spans="1:10" x14ac:dyDescent="0.25">
      <c r="B95" s="33"/>
      <c r="C95" s="258"/>
      <c r="D95" s="258"/>
      <c r="E95" s="15"/>
      <c r="F95" s="71"/>
      <c r="G95" s="4"/>
    </row>
    <row r="96" spans="1:10" ht="18.75" x14ac:dyDescent="0.25">
      <c r="A96" s="846">
        <v>1</v>
      </c>
      <c r="B96" s="838" t="s">
        <v>33</v>
      </c>
      <c r="C96" s="258"/>
      <c r="D96" s="258"/>
      <c r="E96" s="19"/>
      <c r="F96" s="71"/>
      <c r="G96" s="4"/>
    </row>
    <row r="97" spans="1:8" ht="18.75" x14ac:dyDescent="0.25">
      <c r="A97" s="846">
        <v>2</v>
      </c>
      <c r="B97" s="838" t="s">
        <v>52</v>
      </c>
      <c r="C97" s="258"/>
      <c r="D97" s="258"/>
      <c r="E97" s="19"/>
      <c r="F97" s="71"/>
      <c r="G97" s="4"/>
    </row>
    <row r="98" spans="1:8" ht="18.75" x14ac:dyDescent="0.25">
      <c r="A98" s="846">
        <v>3</v>
      </c>
      <c r="B98" s="838" t="s">
        <v>53</v>
      </c>
      <c r="C98" s="258"/>
      <c r="D98" s="258"/>
      <c r="E98" s="19"/>
      <c r="F98" s="71"/>
      <c r="G98" s="4"/>
    </row>
    <row r="99" spans="1:8" x14ac:dyDescent="0.25">
      <c r="B99" s="1"/>
      <c r="C99" s="258"/>
      <c r="D99" s="258"/>
      <c r="E99" s="15"/>
      <c r="G99" s="4"/>
    </row>
    <row r="100" spans="1:8" x14ac:dyDescent="0.25">
      <c r="C100" s="258"/>
      <c r="D100" s="258"/>
      <c r="E100" s="15"/>
      <c r="G100" s="4"/>
    </row>
    <row r="101" spans="1:8" x14ac:dyDescent="0.25">
      <c r="B101" s="1294" t="s">
        <v>0</v>
      </c>
      <c r="C101" s="1295"/>
      <c r="D101" s="1295"/>
      <c r="E101" s="1295"/>
      <c r="F101" s="1295"/>
      <c r="G101" s="1295"/>
    </row>
    <row r="102" spans="1:8" x14ac:dyDescent="0.25">
      <c r="B102" s="1294" t="s">
        <v>2</v>
      </c>
      <c r="C102" s="1295"/>
      <c r="D102" s="1295"/>
      <c r="E102" s="1295"/>
      <c r="F102" s="1295"/>
      <c r="G102" s="1295"/>
    </row>
    <row r="103" spans="1:8" ht="17.25" x14ac:dyDescent="0.25">
      <c r="A103" s="4" t="s">
        <v>1</v>
      </c>
      <c r="B103" s="1294" t="s">
        <v>3</v>
      </c>
      <c r="C103" s="1306"/>
      <c r="D103" s="1306"/>
      <c r="E103" s="1306"/>
      <c r="F103" s="1306"/>
      <c r="G103" s="1306"/>
      <c r="H103" s="4" t="s">
        <v>1</v>
      </c>
    </row>
    <row r="104" spans="1:8" x14ac:dyDescent="0.25">
      <c r="B104" s="1300" t="str">
        <f>B5</f>
        <v>For the Base Period &amp; True-Up Period Ending December 31, 2023</v>
      </c>
      <c r="C104" s="1301"/>
      <c r="D104" s="1301"/>
      <c r="E104" s="1301"/>
      <c r="F104" s="1301"/>
      <c r="G104" s="1301"/>
    </row>
    <row r="105" spans="1:8" x14ac:dyDescent="0.25">
      <c r="B105" s="1299" t="s">
        <v>4</v>
      </c>
      <c r="C105" s="1295"/>
      <c r="D105" s="1295"/>
      <c r="E105" s="1295"/>
      <c r="F105" s="1295"/>
      <c r="G105" s="1295"/>
    </row>
    <row r="106" spans="1:8" x14ac:dyDescent="0.25">
      <c r="B106" s="262"/>
      <c r="C106" s="1"/>
      <c r="D106" s="1"/>
      <c r="E106" s="1"/>
      <c r="F106" s="1"/>
      <c r="G106" s="1"/>
    </row>
    <row r="107" spans="1:8" x14ac:dyDescent="0.25">
      <c r="A107" s="4" t="s">
        <v>5</v>
      </c>
      <c r="E107" s="25"/>
      <c r="G107" s="4"/>
      <c r="H107" s="4" t="s">
        <v>5</v>
      </c>
    </row>
    <row r="108" spans="1:8" x14ac:dyDescent="0.25">
      <c r="A108" s="4" t="s">
        <v>6</v>
      </c>
      <c r="B108" s="1" t="s">
        <v>1</v>
      </c>
      <c r="E108" s="910" t="s">
        <v>7</v>
      </c>
      <c r="G108" s="849" t="s">
        <v>8</v>
      </c>
      <c r="H108" s="4" t="s">
        <v>6</v>
      </c>
    </row>
    <row r="109" spans="1:8" x14ac:dyDescent="0.25">
      <c r="B109" s="248" t="s">
        <v>54</v>
      </c>
      <c r="C109" s="260"/>
      <c r="D109" s="260"/>
      <c r="E109" s="260"/>
      <c r="G109" s="4"/>
    </row>
    <row r="110" spans="1:8" x14ac:dyDescent="0.25">
      <c r="A110" s="4">
        <v>1</v>
      </c>
      <c r="B110" s="250" t="s">
        <v>55</v>
      </c>
      <c r="C110" s="260"/>
      <c r="D110" s="260"/>
      <c r="E110" s="260"/>
      <c r="G110" s="4"/>
      <c r="H110" s="4">
        <f>A110</f>
        <v>1</v>
      </c>
    </row>
    <row r="111" spans="1:8" x14ac:dyDescent="0.25">
      <c r="A111" s="4">
        <f t="shared" ref="A111:A148" si="5">A110+1</f>
        <v>2</v>
      </c>
      <c r="B111" s="32" t="s">
        <v>56</v>
      </c>
      <c r="C111" s="260"/>
      <c r="D111" s="260"/>
      <c r="E111" s="20">
        <f>E179</f>
        <v>6056558.2936077248</v>
      </c>
      <c r="F111" s="71"/>
      <c r="G111" s="4" t="s">
        <v>57</v>
      </c>
      <c r="H111" s="4">
        <f>H110+1</f>
        <v>2</v>
      </c>
    </row>
    <row r="112" spans="1:8" x14ac:dyDescent="0.25">
      <c r="A112" s="4">
        <f t="shared" si="5"/>
        <v>3</v>
      </c>
      <c r="B112" s="32" t="s">
        <v>58</v>
      </c>
      <c r="C112" s="260"/>
      <c r="D112" s="260"/>
      <c r="E112" s="21">
        <f>E180</f>
        <v>9151.7252080767139</v>
      </c>
      <c r="F112" s="71"/>
      <c r="G112" s="4" t="s">
        <v>59</v>
      </c>
      <c r="H112" s="4">
        <f>H111+1</f>
        <v>3</v>
      </c>
    </row>
    <row r="113" spans="1:10" x14ac:dyDescent="0.25">
      <c r="A113" s="4">
        <f t="shared" si="5"/>
        <v>4</v>
      </c>
      <c r="B113" s="32" t="s">
        <v>60</v>
      </c>
      <c r="C113" s="260"/>
      <c r="D113" s="260"/>
      <c r="E113" s="21">
        <f>E181</f>
        <v>67559.485194371402</v>
      </c>
      <c r="G113" s="4" t="s">
        <v>61</v>
      </c>
      <c r="H113" s="4">
        <f>H112+1</f>
        <v>4</v>
      </c>
    </row>
    <row r="114" spans="1:10" x14ac:dyDescent="0.25">
      <c r="A114" s="4">
        <f t="shared" si="5"/>
        <v>5</v>
      </c>
      <c r="B114" s="32" t="s">
        <v>62</v>
      </c>
      <c r="C114" s="260"/>
      <c r="D114" s="260"/>
      <c r="E114" s="912">
        <f>E182</f>
        <v>196520.25768592002</v>
      </c>
      <c r="G114" s="4" t="s">
        <v>63</v>
      </c>
      <c r="H114" s="4">
        <f>H113+1</f>
        <v>5</v>
      </c>
    </row>
    <row r="115" spans="1:10" x14ac:dyDescent="0.25">
      <c r="A115" s="4">
        <f t="shared" si="5"/>
        <v>6</v>
      </c>
      <c r="B115" s="32" t="s">
        <v>64</v>
      </c>
      <c r="C115" s="4"/>
      <c r="D115" s="4"/>
      <c r="E115" s="913">
        <f>SUM(E111:E114)</f>
        <v>6329789.7616960928</v>
      </c>
      <c r="F115" s="71"/>
      <c r="G115" s="4" t="s">
        <v>65</v>
      </c>
      <c r="H115" s="4">
        <f t="shared" ref="H115:H148" si="6">H114+1</f>
        <v>6</v>
      </c>
    </row>
    <row r="116" spans="1:10" x14ac:dyDescent="0.25">
      <c r="A116" s="4">
        <f t="shared" si="5"/>
        <v>7</v>
      </c>
      <c r="C116" s="4"/>
      <c r="D116" s="4"/>
      <c r="E116" s="11"/>
      <c r="G116" s="4"/>
      <c r="H116" s="4">
        <f t="shared" si="6"/>
        <v>7</v>
      </c>
    </row>
    <row r="117" spans="1:10" x14ac:dyDescent="0.25">
      <c r="A117" s="4">
        <f t="shared" si="5"/>
        <v>8</v>
      </c>
      <c r="B117" s="250" t="s">
        <v>66</v>
      </c>
      <c r="C117" s="4"/>
      <c r="D117" s="4"/>
      <c r="E117" s="11"/>
      <c r="G117" s="4"/>
      <c r="H117" s="4">
        <f t="shared" si="6"/>
        <v>8</v>
      </c>
    </row>
    <row r="118" spans="1:10" x14ac:dyDescent="0.25">
      <c r="A118" s="4">
        <f t="shared" si="5"/>
        <v>9</v>
      </c>
      <c r="B118" s="32" t="s">
        <v>67</v>
      </c>
      <c r="C118" s="4"/>
      <c r="D118" s="4"/>
      <c r="E118" s="22">
        <f>'Stmt AG'!E11</f>
        <v>0</v>
      </c>
      <c r="F118" s="71"/>
      <c r="G118" s="4" t="s">
        <v>68</v>
      </c>
      <c r="H118" s="4">
        <f t="shared" si="6"/>
        <v>9</v>
      </c>
      <c r="J118" s="255"/>
    </row>
    <row r="119" spans="1:10" x14ac:dyDescent="0.25">
      <c r="A119" s="4">
        <f t="shared" si="5"/>
        <v>10</v>
      </c>
      <c r="B119" s="32" t="s">
        <v>69</v>
      </c>
      <c r="C119" s="4"/>
      <c r="D119" s="4"/>
      <c r="E119" s="23">
        <f>'Stmt Misc.'!E12</f>
        <v>0</v>
      </c>
      <c r="G119" s="4" t="s">
        <v>70</v>
      </c>
      <c r="H119" s="4">
        <f t="shared" si="6"/>
        <v>10</v>
      </c>
    </row>
    <row r="120" spans="1:10" x14ac:dyDescent="0.25">
      <c r="A120" s="4">
        <f t="shared" si="5"/>
        <v>11</v>
      </c>
      <c r="B120" s="32" t="s">
        <v>71</v>
      </c>
      <c r="C120" s="4"/>
      <c r="D120" s="4"/>
      <c r="E120" s="1052">
        <f>SUM(E118:E119)</f>
        <v>0</v>
      </c>
      <c r="F120" s="71"/>
      <c r="G120" s="4" t="s">
        <v>72</v>
      </c>
      <c r="H120" s="4">
        <f t="shared" si="6"/>
        <v>11</v>
      </c>
    </row>
    <row r="121" spans="1:10" x14ac:dyDescent="0.25">
      <c r="A121" s="4">
        <f t="shared" si="5"/>
        <v>12</v>
      </c>
      <c r="B121" s="32"/>
      <c r="C121" s="4"/>
      <c r="D121" s="4"/>
      <c r="E121" s="15"/>
      <c r="G121" s="4"/>
      <c r="H121" s="4">
        <f t="shared" si="6"/>
        <v>12</v>
      </c>
    </row>
    <row r="122" spans="1:10" x14ac:dyDescent="0.25">
      <c r="A122" s="4">
        <f t="shared" si="5"/>
        <v>13</v>
      </c>
      <c r="B122" s="250" t="s">
        <v>73</v>
      </c>
      <c r="E122" s="11"/>
      <c r="G122" s="4"/>
      <c r="H122" s="4">
        <f t="shared" si="6"/>
        <v>13</v>
      </c>
    </row>
    <row r="123" spans="1:10" ht="18.75" x14ac:dyDescent="0.25">
      <c r="A123" s="4">
        <f t="shared" si="5"/>
        <v>14</v>
      </c>
      <c r="B123" s="31" t="s">
        <v>74</v>
      </c>
      <c r="C123" s="4"/>
      <c r="D123" s="4"/>
      <c r="E123" s="7">
        <f>'TO5 Stmt AF Proration'!I25</f>
        <v>-1117204.7588902973</v>
      </c>
      <c r="G123" s="4" t="s">
        <v>2065</v>
      </c>
      <c r="H123" s="4">
        <f t="shared" si="6"/>
        <v>14</v>
      </c>
      <c r="J123" s="568"/>
    </row>
    <row r="124" spans="1:10" x14ac:dyDescent="0.25">
      <c r="A124" s="4">
        <f t="shared" si="5"/>
        <v>15</v>
      </c>
      <c r="B124" s="31" t="s">
        <v>76</v>
      </c>
      <c r="C124" s="4"/>
      <c r="D124" s="4"/>
      <c r="E124" s="9">
        <f>'Stmt AF'!I21</f>
        <v>0</v>
      </c>
      <c r="G124" s="4" t="s">
        <v>77</v>
      </c>
      <c r="H124" s="4">
        <f t="shared" si="6"/>
        <v>15</v>
      </c>
      <c r="J124" s="568"/>
    </row>
    <row r="125" spans="1:10" x14ac:dyDescent="0.25">
      <c r="A125" s="4">
        <f t="shared" si="5"/>
        <v>16</v>
      </c>
      <c r="B125" s="32" t="s">
        <v>78</v>
      </c>
      <c r="C125" s="4"/>
      <c r="D125" s="4"/>
      <c r="E125" s="913">
        <f>SUM(E123:E124)</f>
        <v>-1117204.7588902973</v>
      </c>
      <c r="G125" s="4" t="s">
        <v>79</v>
      </c>
      <c r="H125" s="4">
        <f t="shared" si="6"/>
        <v>16</v>
      </c>
      <c r="J125" s="35"/>
    </row>
    <row r="126" spans="1:10" x14ac:dyDescent="0.25">
      <c r="A126" s="4">
        <f t="shared" si="5"/>
        <v>17</v>
      </c>
      <c r="C126" s="4"/>
      <c r="D126" s="4"/>
      <c r="E126" s="8"/>
      <c r="G126" s="4"/>
      <c r="H126" s="4">
        <f t="shared" si="6"/>
        <v>17</v>
      </c>
    </row>
    <row r="127" spans="1:10" x14ac:dyDescent="0.25">
      <c r="A127" s="4">
        <f t="shared" si="5"/>
        <v>18</v>
      </c>
      <c r="B127" s="250" t="s">
        <v>80</v>
      </c>
      <c r="C127" s="4"/>
      <c r="D127" s="4"/>
      <c r="E127" s="8"/>
      <c r="G127" s="4"/>
      <c r="H127" s="4">
        <f t="shared" si="6"/>
        <v>18</v>
      </c>
    </row>
    <row r="128" spans="1:10" x14ac:dyDescent="0.25">
      <c r="A128" s="4">
        <f t="shared" si="5"/>
        <v>19</v>
      </c>
      <c r="B128" s="32" t="s">
        <v>81</v>
      </c>
      <c r="C128" s="4"/>
      <c r="D128" s="4"/>
      <c r="E128" s="20">
        <f>'True-Up Stmt AL'!G15</f>
        <v>51953.597307497468</v>
      </c>
      <c r="F128" s="71"/>
      <c r="G128" s="4" t="s">
        <v>1841</v>
      </c>
      <c r="H128" s="4">
        <f t="shared" si="6"/>
        <v>19</v>
      </c>
    </row>
    <row r="129" spans="1:10" x14ac:dyDescent="0.25">
      <c r="A129" s="4">
        <f t="shared" si="5"/>
        <v>20</v>
      </c>
      <c r="B129" s="32" t="s">
        <v>83</v>
      </c>
      <c r="C129" s="4"/>
      <c r="D129" s="4"/>
      <c r="E129" s="21">
        <f>'True-Up Stmt AL'!G19</f>
        <v>45048.097588238881</v>
      </c>
      <c r="F129" s="71"/>
      <c r="G129" s="4" t="s">
        <v>1842</v>
      </c>
      <c r="H129" s="4">
        <f t="shared" si="6"/>
        <v>20</v>
      </c>
    </row>
    <row r="130" spans="1:10" x14ac:dyDescent="0.25">
      <c r="A130" s="4">
        <f t="shared" si="5"/>
        <v>21</v>
      </c>
      <c r="B130" s="32" t="s">
        <v>84</v>
      </c>
      <c r="C130" s="4"/>
      <c r="D130" s="4"/>
      <c r="E130" s="912">
        <f>'True-Up Stmt AL'!E29</f>
        <v>27016.150782827062</v>
      </c>
      <c r="F130" s="1"/>
      <c r="G130" s="4" t="s">
        <v>1843</v>
      </c>
      <c r="H130" s="4">
        <f t="shared" si="6"/>
        <v>21</v>
      </c>
    </row>
    <row r="131" spans="1:10" x14ac:dyDescent="0.25">
      <c r="A131" s="4">
        <f t="shared" si="5"/>
        <v>22</v>
      </c>
      <c r="B131" s="32" t="s">
        <v>85</v>
      </c>
      <c r="E131" s="913">
        <f>SUM(E128:E130)</f>
        <v>124017.8456785634</v>
      </c>
      <c r="F131" s="1"/>
      <c r="G131" s="4" t="s">
        <v>86</v>
      </c>
      <c r="H131" s="4">
        <f t="shared" si="6"/>
        <v>22</v>
      </c>
    </row>
    <row r="132" spans="1:10" x14ac:dyDescent="0.25">
      <c r="A132" s="4">
        <f t="shared" si="5"/>
        <v>23</v>
      </c>
      <c r="B132" s="32"/>
      <c r="E132" s="11"/>
      <c r="G132" s="4"/>
      <c r="H132" s="4">
        <f t="shared" si="6"/>
        <v>23</v>
      </c>
    </row>
    <row r="133" spans="1:10" x14ac:dyDescent="0.25">
      <c r="A133" s="4">
        <f t="shared" si="5"/>
        <v>24</v>
      </c>
      <c r="B133" s="840" t="s">
        <v>87</v>
      </c>
      <c r="E133" s="847">
        <f>'True-Up Stmt Misc'!E14</f>
        <v>0</v>
      </c>
      <c r="G133" s="839" t="s">
        <v>1853</v>
      </c>
      <c r="H133" s="4">
        <f t="shared" si="6"/>
        <v>24</v>
      </c>
    </row>
    <row r="134" spans="1:10" x14ac:dyDescent="0.25">
      <c r="A134" s="4">
        <f t="shared" si="5"/>
        <v>25</v>
      </c>
      <c r="B134" s="840" t="s">
        <v>89</v>
      </c>
      <c r="E134" s="1126">
        <f>'True-Up Stmt Misc'!E16</f>
        <v>-10662.770719500901</v>
      </c>
      <c r="G134" s="839" t="s">
        <v>1854</v>
      </c>
      <c r="H134" s="4">
        <f t="shared" si="6"/>
        <v>25</v>
      </c>
    </row>
    <row r="135" spans="1:10" x14ac:dyDescent="0.25">
      <c r="A135" s="4">
        <f t="shared" si="5"/>
        <v>26</v>
      </c>
      <c r="B135" s="32"/>
      <c r="E135" s="11"/>
      <c r="G135" s="4"/>
      <c r="H135" s="4">
        <f t="shared" si="6"/>
        <v>26</v>
      </c>
      <c r="J135" s="35"/>
    </row>
    <row r="136" spans="1:10" ht="16.5" thickBot="1" x14ac:dyDescent="0.3">
      <c r="A136" s="4">
        <f t="shared" si="5"/>
        <v>27</v>
      </c>
      <c r="B136" s="32" t="s">
        <v>1310</v>
      </c>
      <c r="E136" s="24">
        <f>E134+E131+E125+E120+E115</f>
        <v>5325940.0777648576</v>
      </c>
      <c r="F136" s="1"/>
      <c r="G136" s="839" t="s">
        <v>92</v>
      </c>
      <c r="H136" s="4">
        <f t="shared" si="6"/>
        <v>27</v>
      </c>
      <c r="J136" s="873"/>
    </row>
    <row r="137" spans="1:10" ht="16.5" thickTop="1" x14ac:dyDescent="0.25">
      <c r="A137" s="4">
        <f t="shared" si="5"/>
        <v>28</v>
      </c>
      <c r="B137" s="32"/>
      <c r="E137" s="10"/>
      <c r="G137" s="4"/>
      <c r="H137" s="4">
        <f t="shared" si="6"/>
        <v>28</v>
      </c>
    </row>
    <row r="138" spans="1:10" ht="18.75" x14ac:dyDescent="0.25">
      <c r="A138" s="4">
        <f t="shared" si="5"/>
        <v>29</v>
      </c>
      <c r="B138" s="248" t="s">
        <v>93</v>
      </c>
      <c r="E138" s="10"/>
      <c r="G138" s="4"/>
      <c r="H138" s="4">
        <f t="shared" si="6"/>
        <v>29</v>
      </c>
    </row>
    <row r="139" spans="1:10" x14ac:dyDescent="0.25">
      <c r="A139" s="4">
        <f t="shared" si="5"/>
        <v>30</v>
      </c>
      <c r="B139" s="32" t="s">
        <v>94</v>
      </c>
      <c r="E139" s="7">
        <f>E188</f>
        <v>0</v>
      </c>
      <c r="G139" s="839" t="s">
        <v>95</v>
      </c>
      <c r="H139" s="4">
        <f t="shared" si="6"/>
        <v>30</v>
      </c>
    </row>
    <row r="140" spans="1:10" x14ac:dyDescent="0.25">
      <c r="A140" s="4">
        <f t="shared" si="5"/>
        <v>31</v>
      </c>
      <c r="B140" s="32" t="s">
        <v>96</v>
      </c>
      <c r="E140" s="9">
        <f>'Stmt AF'!I19</f>
        <v>0</v>
      </c>
      <c r="G140" s="839" t="s">
        <v>97</v>
      </c>
      <c r="H140" s="4">
        <f t="shared" si="6"/>
        <v>31</v>
      </c>
      <c r="J140" s="255"/>
    </row>
    <row r="141" spans="1:10" ht="16.5" thickBot="1" x14ac:dyDescent="0.3">
      <c r="A141" s="4">
        <f t="shared" si="5"/>
        <v>32</v>
      </c>
      <c r="B141" s="31" t="s">
        <v>98</v>
      </c>
      <c r="E141" s="17">
        <f>SUM(E139:E140)</f>
        <v>0</v>
      </c>
      <c r="G141" s="839" t="s">
        <v>99</v>
      </c>
      <c r="H141" s="4">
        <f t="shared" si="6"/>
        <v>32</v>
      </c>
    </row>
    <row r="142" spans="1:10" ht="16.5" thickTop="1" x14ac:dyDescent="0.25">
      <c r="A142" s="4">
        <f t="shared" si="5"/>
        <v>33</v>
      </c>
      <c r="B142" s="32"/>
      <c r="E142" s="10"/>
      <c r="G142" s="4"/>
      <c r="H142" s="4">
        <f t="shared" si="6"/>
        <v>33</v>
      </c>
    </row>
    <row r="143" spans="1:10" ht="18.75" x14ac:dyDescent="0.25">
      <c r="A143" s="4">
        <f t="shared" si="5"/>
        <v>34</v>
      </c>
      <c r="B143" s="248" t="s">
        <v>100</v>
      </c>
      <c r="E143" s="10"/>
      <c r="G143" s="4"/>
      <c r="H143" s="4">
        <f t="shared" si="6"/>
        <v>34</v>
      </c>
    </row>
    <row r="144" spans="1:10" x14ac:dyDescent="0.25">
      <c r="A144" s="4">
        <f t="shared" si="5"/>
        <v>35</v>
      </c>
      <c r="B144" s="32" t="s">
        <v>101</v>
      </c>
      <c r="E144" s="7">
        <f>'Stmt Misc.'!E18</f>
        <v>0</v>
      </c>
      <c r="G144" s="839" t="s">
        <v>102</v>
      </c>
      <c r="H144" s="4">
        <f t="shared" si="6"/>
        <v>35</v>
      </c>
    </row>
    <row r="145" spans="1:10" x14ac:dyDescent="0.25">
      <c r="A145" s="4">
        <f t="shared" si="5"/>
        <v>36</v>
      </c>
      <c r="B145" s="31" t="s">
        <v>103</v>
      </c>
      <c r="E145" s="842">
        <f>'Stmt AF'!I23</f>
        <v>0</v>
      </c>
      <c r="G145" s="839" t="s">
        <v>104</v>
      </c>
      <c r="H145" s="4">
        <f t="shared" si="6"/>
        <v>36</v>
      </c>
      <c r="J145" s="255"/>
    </row>
    <row r="146" spans="1:10" ht="16.5" thickBot="1" x14ac:dyDescent="0.3">
      <c r="A146" s="4">
        <f t="shared" si="5"/>
        <v>37</v>
      </c>
      <c r="B146" s="31" t="s">
        <v>105</v>
      </c>
      <c r="E146" s="17">
        <f>SUM(E144:E145)</f>
        <v>0</v>
      </c>
      <c r="G146" s="839" t="s">
        <v>106</v>
      </c>
      <c r="H146" s="4">
        <f t="shared" si="6"/>
        <v>37</v>
      </c>
    </row>
    <row r="147" spans="1:10" ht="16.5" thickTop="1" x14ac:dyDescent="0.25">
      <c r="A147" s="4">
        <f t="shared" si="5"/>
        <v>38</v>
      </c>
      <c r="B147" s="32"/>
      <c r="E147" s="10"/>
      <c r="G147" s="4"/>
      <c r="H147" s="4">
        <f t="shared" si="6"/>
        <v>38</v>
      </c>
    </row>
    <row r="148" spans="1:10" ht="19.5" thickBot="1" x14ac:dyDescent="0.3">
      <c r="A148" s="4">
        <f t="shared" si="5"/>
        <v>39</v>
      </c>
      <c r="B148" s="248" t="s">
        <v>107</v>
      </c>
      <c r="E148" s="1157">
        <f>'Stmt AM'!E11</f>
        <v>0</v>
      </c>
      <c r="G148" s="4" t="s">
        <v>108</v>
      </c>
      <c r="H148" s="4">
        <f t="shared" si="6"/>
        <v>39</v>
      </c>
    </row>
    <row r="149" spans="1:10" ht="16.5" thickTop="1" x14ac:dyDescent="0.25">
      <c r="B149" s="32"/>
      <c r="E149" s="10"/>
      <c r="G149" s="4"/>
    </row>
    <row r="150" spans="1:10" x14ac:dyDescent="0.25">
      <c r="B150" s="32"/>
      <c r="E150" s="10"/>
      <c r="G150" s="4"/>
    </row>
    <row r="151" spans="1:10" ht="18.75" x14ac:dyDescent="0.25">
      <c r="A151" s="253">
        <v>1</v>
      </c>
      <c r="B151" s="32" t="s">
        <v>109</v>
      </c>
      <c r="E151" s="10"/>
      <c r="G151" s="4"/>
    </row>
    <row r="152" spans="1:10" ht="18.75" x14ac:dyDescent="0.25">
      <c r="A152" s="253">
        <v>2</v>
      </c>
      <c r="B152" s="31" t="s">
        <v>52</v>
      </c>
      <c r="E152" s="10"/>
      <c r="G152" s="4"/>
    </row>
    <row r="153" spans="1:10" x14ac:dyDescent="0.25">
      <c r="B153" s="1"/>
      <c r="E153" s="10"/>
      <c r="G153" s="4"/>
    </row>
    <row r="154" spans="1:10" x14ac:dyDescent="0.25">
      <c r="B154" s="1"/>
      <c r="E154" s="10"/>
      <c r="G154" s="4"/>
    </row>
    <row r="155" spans="1:10" x14ac:dyDescent="0.25">
      <c r="B155" s="1294" t="s">
        <v>0</v>
      </c>
      <c r="C155" s="1295"/>
      <c r="D155" s="1295"/>
      <c r="E155" s="1295"/>
      <c r="F155" s="1295"/>
      <c r="G155" s="1295"/>
    </row>
    <row r="156" spans="1:10" x14ac:dyDescent="0.25">
      <c r="A156" s="4" t="s">
        <v>1</v>
      </c>
      <c r="B156" s="1294" t="s">
        <v>2</v>
      </c>
      <c r="C156" s="1295"/>
      <c r="D156" s="1295"/>
      <c r="E156" s="1295"/>
      <c r="F156" s="1295"/>
      <c r="G156" s="1295"/>
    </row>
    <row r="157" spans="1:10" ht="17.25" x14ac:dyDescent="0.25">
      <c r="B157" s="1294" t="s">
        <v>3</v>
      </c>
      <c r="C157" s="1306"/>
      <c r="D157" s="1306"/>
      <c r="E157" s="1306"/>
      <c r="F157" s="1306"/>
      <c r="G157" s="1306"/>
    </row>
    <row r="158" spans="1:10" x14ac:dyDescent="0.25">
      <c r="B158" s="1300" t="str">
        <f>B5</f>
        <v>For the Base Period &amp; True-Up Period Ending December 31, 2023</v>
      </c>
      <c r="C158" s="1301"/>
      <c r="D158" s="1301"/>
      <c r="E158" s="1301"/>
      <c r="F158" s="1301"/>
      <c r="G158" s="1301"/>
    </row>
    <row r="159" spans="1:10" x14ac:dyDescent="0.25">
      <c r="B159" s="1299" t="s">
        <v>4</v>
      </c>
      <c r="C159" s="1295"/>
      <c r="D159" s="1295"/>
      <c r="E159" s="1295"/>
      <c r="F159" s="1295"/>
      <c r="G159" s="1295"/>
    </row>
    <row r="160" spans="1:10" x14ac:dyDescent="0.25">
      <c r="B160" s="34"/>
    </row>
    <row r="161" spans="1:12" x14ac:dyDescent="0.25">
      <c r="A161" s="4" t="s">
        <v>5</v>
      </c>
      <c r="E161" s="25"/>
      <c r="G161" s="4"/>
      <c r="H161" s="4" t="s">
        <v>5</v>
      </c>
    </row>
    <row r="162" spans="1:12" x14ac:dyDescent="0.25">
      <c r="A162" s="4" t="s">
        <v>6</v>
      </c>
      <c r="B162" s="1" t="s">
        <v>1</v>
      </c>
      <c r="E162" s="910" t="s">
        <v>7</v>
      </c>
      <c r="G162" s="849" t="s">
        <v>8</v>
      </c>
      <c r="H162" s="4" t="s">
        <v>6</v>
      </c>
    </row>
    <row r="163" spans="1:12" x14ac:dyDescent="0.25">
      <c r="B163" s="248" t="s">
        <v>110</v>
      </c>
      <c r="E163" s="25"/>
      <c r="G163" s="4"/>
    </row>
    <row r="164" spans="1:12" x14ac:dyDescent="0.25">
      <c r="A164" s="4">
        <v>1</v>
      </c>
      <c r="B164" s="250" t="s">
        <v>111</v>
      </c>
      <c r="E164" s="25"/>
      <c r="G164" s="4"/>
      <c r="H164" s="4">
        <f>A164</f>
        <v>1</v>
      </c>
    </row>
    <row r="165" spans="1:12" x14ac:dyDescent="0.25">
      <c r="A165" s="4">
        <f t="shared" ref="A165:A188" si="7">A164+1</f>
        <v>2</v>
      </c>
      <c r="B165" s="32" t="s">
        <v>56</v>
      </c>
      <c r="E165" s="7">
        <f>'Stmt AD'!I21</f>
        <v>7990057.3968355898</v>
      </c>
      <c r="F165" s="71"/>
      <c r="G165" s="4" t="s">
        <v>112</v>
      </c>
      <c r="H165" s="4">
        <f t="shared" ref="H165:H188" si="8">H164+1</f>
        <v>2</v>
      </c>
      <c r="J165" s="252"/>
    </row>
    <row r="166" spans="1:12" x14ac:dyDescent="0.25">
      <c r="A166" s="4">
        <f t="shared" si="7"/>
        <v>3</v>
      </c>
      <c r="B166" s="32" t="s">
        <v>113</v>
      </c>
      <c r="E166" s="9">
        <f>'True Up Stmt AD'!I37</f>
        <v>23810.070405144139</v>
      </c>
      <c r="F166" s="41"/>
      <c r="G166" s="4" t="s">
        <v>2066</v>
      </c>
      <c r="H166" s="4">
        <f t="shared" si="8"/>
        <v>3</v>
      </c>
      <c r="J166" s="252"/>
      <c r="K166" s="415"/>
      <c r="L166" s="277"/>
    </row>
    <row r="167" spans="1:12" x14ac:dyDescent="0.25">
      <c r="A167" s="4">
        <f t="shared" si="7"/>
        <v>4</v>
      </c>
      <c r="B167" s="32" t="s">
        <v>60</v>
      </c>
      <c r="E167" s="9">
        <f>'True Up Stmt AD'!I39</f>
        <v>118679.32221898218</v>
      </c>
      <c r="G167" s="4" t="s">
        <v>2067</v>
      </c>
      <c r="H167" s="4">
        <f t="shared" si="8"/>
        <v>4</v>
      </c>
      <c r="J167" s="252"/>
      <c r="K167" s="415"/>
      <c r="L167" s="277"/>
    </row>
    <row r="168" spans="1:12" x14ac:dyDescent="0.25">
      <c r="A168" s="4">
        <f t="shared" si="7"/>
        <v>5</v>
      </c>
      <c r="B168" s="32" t="s">
        <v>62</v>
      </c>
      <c r="C168" s="4"/>
      <c r="D168" s="4"/>
      <c r="E168" s="842">
        <f>'True Up Stmt AD'!I41</f>
        <v>336812.87323412113</v>
      </c>
      <c r="G168" s="4" t="s">
        <v>2068</v>
      </c>
      <c r="H168" s="4">
        <f t="shared" si="8"/>
        <v>5</v>
      </c>
      <c r="K168" s="415"/>
      <c r="L168" s="277"/>
    </row>
    <row r="169" spans="1:12" x14ac:dyDescent="0.25">
      <c r="A169" s="4">
        <f t="shared" si="7"/>
        <v>6</v>
      </c>
      <c r="B169" s="32" t="s">
        <v>117</v>
      </c>
      <c r="E169" s="913">
        <f>SUM(E165:E168)</f>
        <v>8469359.6626938377</v>
      </c>
      <c r="F169" s="71"/>
      <c r="G169" s="4" t="s">
        <v>65</v>
      </c>
      <c r="H169" s="4">
        <f t="shared" si="8"/>
        <v>6</v>
      </c>
      <c r="J169" s="252"/>
      <c r="L169" s="277"/>
    </row>
    <row r="170" spans="1:12" x14ac:dyDescent="0.25">
      <c r="A170" s="4">
        <f t="shared" si="7"/>
        <v>7</v>
      </c>
      <c r="C170" s="4"/>
      <c r="D170" s="4"/>
      <c r="E170" s="25"/>
      <c r="G170" s="4"/>
      <c r="H170" s="4">
        <f t="shared" si="8"/>
        <v>7</v>
      </c>
      <c r="L170" s="255"/>
    </row>
    <row r="171" spans="1:12" x14ac:dyDescent="0.25">
      <c r="A171" s="4">
        <f t="shared" si="7"/>
        <v>8</v>
      </c>
      <c r="B171" s="251" t="s">
        <v>118</v>
      </c>
      <c r="E171" s="25"/>
      <c r="G171" s="4"/>
      <c r="H171" s="4">
        <f t="shared" si="8"/>
        <v>8</v>
      </c>
    </row>
    <row r="172" spans="1:12" x14ac:dyDescent="0.25">
      <c r="A172" s="4">
        <f t="shared" si="7"/>
        <v>9</v>
      </c>
      <c r="B172" s="31" t="s">
        <v>119</v>
      </c>
      <c r="E172" s="7">
        <f>'Stmt AE'!I11</f>
        <v>1933499.1032278647</v>
      </c>
      <c r="F172" s="71"/>
      <c r="G172" s="4" t="s">
        <v>120</v>
      </c>
      <c r="H172" s="4">
        <f t="shared" si="8"/>
        <v>9</v>
      </c>
    </row>
    <row r="173" spans="1:12" x14ac:dyDescent="0.25">
      <c r="A173" s="4">
        <f t="shared" si="7"/>
        <v>10</v>
      </c>
      <c r="B173" s="31" t="s">
        <v>121</v>
      </c>
      <c r="E173" s="9">
        <f>'True-Up Stmt AE'!I21</f>
        <v>14658.345197067425</v>
      </c>
      <c r="F173" s="41"/>
      <c r="G173" s="4" t="s">
        <v>2069</v>
      </c>
      <c r="H173" s="4">
        <f t="shared" si="8"/>
        <v>10</v>
      </c>
      <c r="K173" s="415"/>
      <c r="L173" s="277"/>
    </row>
    <row r="174" spans="1:12" x14ac:dyDescent="0.25">
      <c r="A174" s="4">
        <f t="shared" si="7"/>
        <v>11</v>
      </c>
      <c r="B174" s="31" t="s">
        <v>123</v>
      </c>
      <c r="E174" s="9">
        <f>'True-Up Stmt AE'!I23</f>
        <v>51119.837024610781</v>
      </c>
      <c r="G174" s="4" t="s">
        <v>2070</v>
      </c>
      <c r="H174" s="4">
        <f t="shared" si="8"/>
        <v>11</v>
      </c>
      <c r="K174" s="415"/>
      <c r="L174" s="277"/>
    </row>
    <row r="175" spans="1:12" x14ac:dyDescent="0.25">
      <c r="A175" s="4">
        <f t="shared" si="7"/>
        <v>12</v>
      </c>
      <c r="B175" s="31" t="s">
        <v>125</v>
      </c>
      <c r="E175" s="842">
        <f>'True-Up Stmt AE'!I25</f>
        <v>140292.61554820111</v>
      </c>
      <c r="G175" s="4" t="s">
        <v>2071</v>
      </c>
      <c r="H175" s="4">
        <f t="shared" si="8"/>
        <v>12</v>
      </c>
      <c r="K175" s="415"/>
      <c r="L175" s="277"/>
    </row>
    <row r="176" spans="1:12" x14ac:dyDescent="0.25">
      <c r="A176" s="4">
        <f t="shared" si="7"/>
        <v>13</v>
      </c>
      <c r="B176" s="252" t="s">
        <v>127</v>
      </c>
      <c r="C176" s="252"/>
      <c r="D176" s="252"/>
      <c r="E176" s="913">
        <f>SUM(E172:E175)</f>
        <v>2139569.9009977439</v>
      </c>
      <c r="F176" s="71"/>
      <c r="G176" s="4" t="s">
        <v>128</v>
      </c>
      <c r="H176" s="4">
        <f t="shared" si="8"/>
        <v>13</v>
      </c>
      <c r="L176" s="277"/>
    </row>
    <row r="177" spans="1:12" x14ac:dyDescent="0.25">
      <c r="A177" s="4">
        <f t="shared" si="7"/>
        <v>14</v>
      </c>
      <c r="B177" s="252"/>
      <c r="C177" s="252"/>
      <c r="D177" s="252"/>
      <c r="E177" s="8"/>
      <c r="G177" s="4"/>
      <c r="H177" s="4">
        <f t="shared" si="8"/>
        <v>14</v>
      </c>
      <c r="L177" s="255"/>
    </row>
    <row r="178" spans="1:12" x14ac:dyDescent="0.25">
      <c r="A178" s="4">
        <f t="shared" si="7"/>
        <v>15</v>
      </c>
      <c r="B178" s="250" t="s">
        <v>55</v>
      </c>
      <c r="C178" s="252"/>
      <c r="D178" s="252"/>
      <c r="E178" s="8"/>
      <c r="G178" s="4"/>
      <c r="H178" s="4">
        <f t="shared" si="8"/>
        <v>15</v>
      </c>
    </row>
    <row r="179" spans="1:12" x14ac:dyDescent="0.25">
      <c r="A179" s="4">
        <f t="shared" si="7"/>
        <v>16</v>
      </c>
      <c r="B179" s="32" t="s">
        <v>56</v>
      </c>
      <c r="E179" s="10">
        <f>+E165-E172</f>
        <v>6056558.2936077248</v>
      </c>
      <c r="F179" s="71"/>
      <c r="G179" s="4" t="s">
        <v>1673</v>
      </c>
      <c r="H179" s="4">
        <f t="shared" si="8"/>
        <v>16</v>
      </c>
    </row>
    <row r="180" spans="1:12" x14ac:dyDescent="0.25">
      <c r="A180" s="4">
        <f t="shared" si="7"/>
        <v>17</v>
      </c>
      <c r="B180" s="32" t="s">
        <v>58</v>
      </c>
      <c r="E180" s="8">
        <f>+E166-E173</f>
        <v>9151.7252080767139</v>
      </c>
      <c r="F180" s="71"/>
      <c r="G180" s="4" t="s">
        <v>1674</v>
      </c>
      <c r="H180" s="4">
        <f t="shared" si="8"/>
        <v>17</v>
      </c>
    </row>
    <row r="181" spans="1:12" x14ac:dyDescent="0.25">
      <c r="A181" s="4">
        <f t="shared" si="7"/>
        <v>18</v>
      </c>
      <c r="B181" s="32" t="s">
        <v>60</v>
      </c>
      <c r="E181" s="8">
        <f>+E167-E174</f>
        <v>67559.485194371402</v>
      </c>
      <c r="G181" s="4" t="s">
        <v>1675</v>
      </c>
      <c r="H181" s="4">
        <f t="shared" si="8"/>
        <v>18</v>
      </c>
    </row>
    <row r="182" spans="1:12" x14ac:dyDescent="0.25">
      <c r="A182" s="4">
        <f t="shared" si="7"/>
        <v>19</v>
      </c>
      <c r="B182" s="32" t="s">
        <v>62</v>
      </c>
      <c r="E182" s="914">
        <f>+E168-E175</f>
        <v>196520.25768592002</v>
      </c>
      <c r="G182" s="4" t="s">
        <v>1676</v>
      </c>
      <c r="H182" s="4">
        <f t="shared" si="8"/>
        <v>19</v>
      </c>
    </row>
    <row r="183" spans="1:12" ht="16.5" thickBot="1" x14ac:dyDescent="0.3">
      <c r="A183" s="4">
        <f t="shared" si="7"/>
        <v>20</v>
      </c>
      <c r="B183" s="31" t="s">
        <v>64</v>
      </c>
      <c r="E183" s="17">
        <f>SUM(E179:E182)</f>
        <v>6329789.7616960928</v>
      </c>
      <c r="F183" s="71"/>
      <c r="G183" s="4" t="s">
        <v>129</v>
      </c>
      <c r="H183" s="4">
        <f t="shared" si="8"/>
        <v>20</v>
      </c>
    </row>
    <row r="184" spans="1:12" ht="16.5" thickTop="1" x14ac:dyDescent="0.25">
      <c r="A184" s="4">
        <f t="shared" si="7"/>
        <v>21</v>
      </c>
      <c r="E184" s="10"/>
      <c r="G184" s="4"/>
      <c r="H184" s="4">
        <f t="shared" si="8"/>
        <v>21</v>
      </c>
    </row>
    <row r="185" spans="1:12" ht="18.75" x14ac:dyDescent="0.25">
      <c r="A185" s="4">
        <f t="shared" si="7"/>
        <v>22</v>
      </c>
      <c r="B185" s="248" t="s">
        <v>1311</v>
      </c>
      <c r="E185" s="10"/>
      <c r="G185" s="4"/>
      <c r="H185" s="4">
        <f t="shared" si="8"/>
        <v>22</v>
      </c>
    </row>
    <row r="186" spans="1:12" x14ac:dyDescent="0.25">
      <c r="A186" s="4">
        <f t="shared" si="7"/>
        <v>23</v>
      </c>
      <c r="B186" s="32" t="s">
        <v>131</v>
      </c>
      <c r="E186" s="7">
        <f>'Stmt AD'!I23</f>
        <v>0</v>
      </c>
      <c r="G186" s="4" t="s">
        <v>132</v>
      </c>
      <c r="H186" s="4">
        <f t="shared" si="8"/>
        <v>23</v>
      </c>
    </row>
    <row r="187" spans="1:12" x14ac:dyDescent="0.25">
      <c r="A187" s="4">
        <f t="shared" si="7"/>
        <v>24</v>
      </c>
      <c r="B187" s="31" t="s">
        <v>133</v>
      </c>
      <c r="E187" s="842">
        <f>'Stmt AE'!I29</f>
        <v>0</v>
      </c>
      <c r="G187" s="4" t="s">
        <v>134</v>
      </c>
      <c r="H187" s="4">
        <f t="shared" si="8"/>
        <v>24</v>
      </c>
    </row>
    <row r="188" spans="1:12" ht="16.5" thickBot="1" x14ac:dyDescent="0.3">
      <c r="A188" s="4">
        <f t="shared" si="7"/>
        <v>25</v>
      </c>
      <c r="B188" s="32" t="s">
        <v>135</v>
      </c>
      <c r="E188" s="24">
        <f>E186-E187</f>
        <v>0</v>
      </c>
      <c r="G188" s="4" t="s">
        <v>1677</v>
      </c>
      <c r="H188" s="4">
        <f t="shared" si="8"/>
        <v>25</v>
      </c>
    </row>
    <row r="189" spans="1:12" ht="16.5" thickTop="1" x14ac:dyDescent="0.25">
      <c r="B189" s="32"/>
      <c r="E189" s="10"/>
      <c r="G189" s="4"/>
    </row>
    <row r="190" spans="1:12" x14ac:dyDescent="0.25">
      <c r="B190" s="32"/>
      <c r="E190" s="10"/>
      <c r="G190" s="4"/>
    </row>
    <row r="191" spans="1:12" ht="18.75" x14ac:dyDescent="0.25">
      <c r="A191" s="253">
        <v>1</v>
      </c>
      <c r="B191" s="31" t="s">
        <v>1312</v>
      </c>
      <c r="E191" s="10"/>
      <c r="G191" s="4"/>
    </row>
    <row r="192" spans="1:12" x14ac:dyDescent="0.25">
      <c r="E192" s="10"/>
      <c r="G192" s="4"/>
    </row>
    <row r="193" spans="1:10" x14ac:dyDescent="0.25">
      <c r="E193" s="10"/>
      <c r="G193" s="4"/>
    </row>
    <row r="194" spans="1:10" x14ac:dyDescent="0.25">
      <c r="A194" s="71"/>
      <c r="E194" s="10"/>
      <c r="G194" s="4"/>
    </row>
    <row r="195" spans="1:10" x14ac:dyDescent="0.25">
      <c r="E195" s="10"/>
      <c r="G195" s="4"/>
      <c r="J195" s="35"/>
    </row>
  </sheetData>
  <mergeCells count="20">
    <mergeCell ref="B101:G101"/>
    <mergeCell ref="B2:G2"/>
    <mergeCell ref="B3:G3"/>
    <mergeCell ref="B4:G4"/>
    <mergeCell ref="B5:G5"/>
    <mergeCell ref="B6:G6"/>
    <mergeCell ref="B46:G46"/>
    <mergeCell ref="B47:G47"/>
    <mergeCell ref="B48:G48"/>
    <mergeCell ref="B49:G49"/>
    <mergeCell ref="B50:G50"/>
    <mergeCell ref="B157:G157"/>
    <mergeCell ref="B158:G158"/>
    <mergeCell ref="B159:G159"/>
    <mergeCell ref="B102:G102"/>
    <mergeCell ref="B103:G103"/>
    <mergeCell ref="B104:G104"/>
    <mergeCell ref="B105:G105"/>
    <mergeCell ref="B155:G155"/>
    <mergeCell ref="B156:G156"/>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M174"/>
  <sheetViews>
    <sheetView zoomScaleNormal="100" workbookViewId="0">
      <selection activeCell="I25" sqref="I25"/>
    </sheetView>
  </sheetViews>
  <sheetFormatPr defaultRowHeight="15.75" x14ac:dyDescent="0.25"/>
  <cols>
    <col min="1" max="1" width="5.28515625" style="4"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4" customWidth="1"/>
  </cols>
  <sheetData>
    <row r="2" spans="1:13" x14ac:dyDescent="0.25">
      <c r="B2" s="1294" t="s">
        <v>0</v>
      </c>
      <c r="C2" s="1294"/>
      <c r="D2" s="1294"/>
      <c r="E2" s="1294"/>
      <c r="F2" s="1294"/>
      <c r="G2" s="1294"/>
      <c r="H2" s="1294"/>
      <c r="I2" s="1294"/>
    </row>
    <row r="3" spans="1:13" x14ac:dyDescent="0.25">
      <c r="B3" s="1294" t="s">
        <v>1313</v>
      </c>
      <c r="C3" s="1294"/>
      <c r="D3" s="1294"/>
      <c r="E3" s="1294"/>
      <c r="F3" s="1294"/>
      <c r="G3" s="1294"/>
      <c r="H3" s="1294"/>
      <c r="I3" s="1294"/>
    </row>
    <row r="4" spans="1:13" x14ac:dyDescent="0.25">
      <c r="B4" s="1294" t="s">
        <v>390</v>
      </c>
      <c r="C4" s="1294"/>
      <c r="D4" s="1294"/>
      <c r="E4" s="1294"/>
      <c r="F4" s="1294"/>
      <c r="G4" s="1294"/>
      <c r="H4" s="1294"/>
      <c r="I4" s="1294"/>
    </row>
    <row r="5" spans="1:13" x14ac:dyDescent="0.25">
      <c r="B5" s="1322" t="s">
        <v>1483</v>
      </c>
      <c r="C5" s="1322"/>
      <c r="D5" s="1322"/>
      <c r="E5" s="1322"/>
      <c r="F5" s="1322"/>
      <c r="G5" s="1322"/>
      <c r="H5" s="1322"/>
      <c r="I5" s="1322"/>
    </row>
    <row r="6" spans="1:13" x14ac:dyDescent="0.25">
      <c r="B6" s="1299" t="s">
        <v>4</v>
      </c>
      <c r="C6" s="1299"/>
      <c r="D6" s="1299"/>
      <c r="E6" s="1299"/>
      <c r="F6" s="1299"/>
      <c r="G6" s="1299"/>
      <c r="H6" s="1299"/>
      <c r="I6" s="1299"/>
    </row>
    <row r="8" spans="1:13" x14ac:dyDescent="0.25">
      <c r="A8" s="4" t="s">
        <v>5</v>
      </c>
      <c r="B8" s="603" t="s">
        <v>1139</v>
      </c>
      <c r="C8" s="603" t="s">
        <v>1140</v>
      </c>
      <c r="D8" s="603" t="s">
        <v>1141</v>
      </c>
      <c r="E8" s="603" t="s">
        <v>1142</v>
      </c>
      <c r="F8" s="603" t="s">
        <v>1143</v>
      </c>
      <c r="G8" s="603" t="s">
        <v>1144</v>
      </c>
      <c r="H8" s="603" t="s">
        <v>1145</v>
      </c>
      <c r="I8" s="603" t="s">
        <v>1146</v>
      </c>
      <c r="J8" s="4" t="s">
        <v>5</v>
      </c>
    </row>
    <row r="9" spans="1:13" x14ac:dyDescent="0.25">
      <c r="A9" s="4" t="s">
        <v>6</v>
      </c>
      <c r="B9" s="604"/>
      <c r="C9" s="605"/>
      <c r="D9" s="605"/>
      <c r="E9" s="606"/>
      <c r="F9" s="606"/>
      <c r="G9" s="618" t="s">
        <v>1314</v>
      </c>
      <c r="H9" s="619" t="s">
        <v>1315</v>
      </c>
      <c r="I9" s="605"/>
      <c r="J9" s="4" t="s">
        <v>6</v>
      </c>
    </row>
    <row r="10" spans="1:13" x14ac:dyDescent="0.25">
      <c r="B10" s="604"/>
      <c r="C10" s="607"/>
      <c r="D10" s="607"/>
      <c r="E10" s="606"/>
      <c r="F10" s="606"/>
      <c r="G10" s="606"/>
      <c r="H10" s="608"/>
      <c r="I10" s="604"/>
    </row>
    <row r="11" spans="1:13" x14ac:dyDescent="0.25">
      <c r="B11" s="609"/>
      <c r="C11" s="605" t="s">
        <v>1316</v>
      </c>
      <c r="D11" s="605" t="s">
        <v>1317</v>
      </c>
      <c r="E11" s="605"/>
      <c r="F11" s="605" t="s">
        <v>1318</v>
      </c>
      <c r="G11" s="605" t="s">
        <v>1319</v>
      </c>
      <c r="H11" s="610" t="s">
        <v>1320</v>
      </c>
      <c r="I11" s="610" t="s">
        <v>1321</v>
      </c>
    </row>
    <row r="12" spans="1:13" ht="18.75" x14ac:dyDescent="0.25">
      <c r="B12" s="609" t="s">
        <v>1322</v>
      </c>
      <c r="C12" s="611" t="s">
        <v>1323</v>
      </c>
      <c r="D12" s="611" t="s">
        <v>1324</v>
      </c>
      <c r="E12" s="611" t="s">
        <v>1325</v>
      </c>
      <c r="F12" s="611" t="s">
        <v>1326</v>
      </c>
      <c r="G12" s="611" t="s">
        <v>1327</v>
      </c>
      <c r="H12" s="609" t="s">
        <v>1328</v>
      </c>
      <c r="I12" s="609" t="s">
        <v>1329</v>
      </c>
    </row>
    <row r="13" spans="1:13" x14ac:dyDescent="0.25">
      <c r="A13" s="4">
        <v>1</v>
      </c>
      <c r="B13" s="612" t="s">
        <v>1991</v>
      </c>
      <c r="C13" s="613"/>
      <c r="D13" s="140">
        <f>'Stmt AF'!E17</f>
        <v>-1105773.1102425279</v>
      </c>
      <c r="E13" s="606"/>
      <c r="F13" s="614">
        <f>SUM(E14:E25)</f>
        <v>365</v>
      </c>
      <c r="G13" s="615">
        <f xml:space="preserve"> 1</f>
        <v>1</v>
      </c>
      <c r="H13" s="616"/>
      <c r="I13" s="142">
        <f>+D13</f>
        <v>-1105773.1102425279</v>
      </c>
      <c r="J13" s="4">
        <v>1</v>
      </c>
      <c r="L13" s="1211"/>
      <c r="M13" s="1218"/>
    </row>
    <row r="14" spans="1:13" x14ac:dyDescent="0.25">
      <c r="A14" s="4">
        <f>A13+1</f>
        <v>2</v>
      </c>
      <c r="B14" s="612" t="s">
        <v>1288</v>
      </c>
      <c r="C14" s="140">
        <f>('Stmt AF'!$G$17-'Stmt AF'!$E$17)/12</f>
        <v>-2068.6919962497777</v>
      </c>
      <c r="D14" s="116">
        <f>D13+C14</f>
        <v>-1107841.8022387777</v>
      </c>
      <c r="E14" s="620">
        <v>31</v>
      </c>
      <c r="F14" s="621">
        <f t="shared" ref="F14:F25" si="0">+F13-E14</f>
        <v>334</v>
      </c>
      <c r="G14" s="615">
        <f>F14/F13</f>
        <v>0.91506849315068495</v>
      </c>
      <c r="H14" s="142">
        <f t="shared" ref="H14:H25" si="1">C14*G14</f>
        <v>-1892.9948678011665</v>
      </c>
      <c r="I14" s="116">
        <f t="shared" ref="I14:I25" si="2">I13+H14</f>
        <v>-1107666.1051103291</v>
      </c>
      <c r="J14" s="4">
        <f>J13+1</f>
        <v>2</v>
      </c>
    </row>
    <row r="15" spans="1:13" x14ac:dyDescent="0.25">
      <c r="A15" s="4">
        <f>A14+1</f>
        <v>3</v>
      </c>
      <c r="B15" s="612" t="s">
        <v>1289</v>
      </c>
      <c r="C15" s="848">
        <f>('Stmt AF'!$G$17-'Stmt AF'!$E$17)/12</f>
        <v>-2068.6919962497777</v>
      </c>
      <c r="D15" s="116">
        <f>D14+C15</f>
        <v>-1109910.4942350276</v>
      </c>
      <c r="E15" s="620">
        <v>28</v>
      </c>
      <c r="F15" s="621">
        <f t="shared" si="0"/>
        <v>306</v>
      </c>
      <c r="G15" s="615">
        <f>F15/F13</f>
        <v>0.83835616438356164</v>
      </c>
      <c r="H15" s="116">
        <f t="shared" si="1"/>
        <v>-1734.3006872669368</v>
      </c>
      <c r="I15" s="116">
        <f t="shared" si="2"/>
        <v>-1109400.4057975961</v>
      </c>
      <c r="J15" s="4">
        <f>J14+1</f>
        <v>3</v>
      </c>
    </row>
    <row r="16" spans="1:13" x14ac:dyDescent="0.25">
      <c r="A16" s="4">
        <f t="shared" ref="A16:A25" si="3">A15+1</f>
        <v>4</v>
      </c>
      <c r="B16" s="612" t="s">
        <v>1330</v>
      </c>
      <c r="C16" s="848">
        <f>('Stmt AF'!$G$17-'Stmt AF'!$E$17)/12</f>
        <v>-2068.6919962497777</v>
      </c>
      <c r="D16" s="116">
        <f>D15+C16</f>
        <v>-1111979.1862312774</v>
      </c>
      <c r="E16" s="620">
        <v>31</v>
      </c>
      <c r="F16" s="621">
        <f t="shared" si="0"/>
        <v>275</v>
      </c>
      <c r="G16" s="615">
        <f>F16/F13</f>
        <v>0.75342465753424659</v>
      </c>
      <c r="H16" s="116">
        <f t="shared" si="1"/>
        <v>-1558.6035588183256</v>
      </c>
      <c r="I16" s="116">
        <f t="shared" si="2"/>
        <v>-1110959.0093564144</v>
      </c>
      <c r="J16" s="4">
        <f t="shared" ref="J16:J25" si="4">J15+1</f>
        <v>4</v>
      </c>
    </row>
    <row r="17" spans="1:13" x14ac:dyDescent="0.25">
      <c r="A17" s="4">
        <f t="shared" si="3"/>
        <v>5</v>
      </c>
      <c r="B17" s="612" t="s">
        <v>1331</v>
      </c>
      <c r="C17" s="848">
        <f>('Stmt AF'!$G$17-'Stmt AF'!$E$17)/12</f>
        <v>-2068.6919962497777</v>
      </c>
      <c r="D17" s="116">
        <f t="shared" ref="D17:D25" si="5">D16+C17</f>
        <v>-1114047.8782275273</v>
      </c>
      <c r="E17" s="620">
        <v>30</v>
      </c>
      <c r="F17" s="621">
        <f t="shared" si="0"/>
        <v>245</v>
      </c>
      <c r="G17" s="615">
        <f>F17/F13</f>
        <v>0.67123287671232879</v>
      </c>
      <c r="H17" s="116">
        <f t="shared" si="1"/>
        <v>-1388.5740796745083</v>
      </c>
      <c r="I17" s="116">
        <f t="shared" si="2"/>
        <v>-1112347.5834360889</v>
      </c>
      <c r="J17" s="4">
        <f t="shared" si="4"/>
        <v>5</v>
      </c>
    </row>
    <row r="18" spans="1:13" x14ac:dyDescent="0.25">
      <c r="A18" s="4">
        <f>A17+1</f>
        <v>6</v>
      </c>
      <c r="B18" s="612" t="s">
        <v>263</v>
      </c>
      <c r="C18" s="848">
        <f>('Stmt AF'!$G$17-'Stmt AF'!$E$17)/12</f>
        <v>-2068.6919962497777</v>
      </c>
      <c r="D18" s="116">
        <f t="shared" si="5"/>
        <v>-1116116.5702237771</v>
      </c>
      <c r="E18" s="620">
        <v>31</v>
      </c>
      <c r="F18" s="621">
        <f t="shared" si="0"/>
        <v>214</v>
      </c>
      <c r="G18" s="615">
        <f>F18/F13</f>
        <v>0.58630136986301373</v>
      </c>
      <c r="H18" s="116">
        <f t="shared" si="1"/>
        <v>-1212.8769512258971</v>
      </c>
      <c r="I18" s="116">
        <f t="shared" si="2"/>
        <v>-1113560.4603873147</v>
      </c>
      <c r="J18" s="4">
        <f>J17+1</f>
        <v>6</v>
      </c>
    </row>
    <row r="19" spans="1:13" x14ac:dyDescent="0.25">
      <c r="A19" s="4">
        <f t="shared" si="3"/>
        <v>7</v>
      </c>
      <c r="B19" s="612" t="s">
        <v>1332</v>
      </c>
      <c r="C19" s="848">
        <f>('Stmt AF'!$G$17-'Stmt AF'!$E$17)/12</f>
        <v>-2068.6919962497777</v>
      </c>
      <c r="D19" s="116">
        <f t="shared" si="5"/>
        <v>-1118185.2622200269</v>
      </c>
      <c r="E19" s="620">
        <v>30</v>
      </c>
      <c r="F19" s="621">
        <f t="shared" si="0"/>
        <v>184</v>
      </c>
      <c r="G19" s="615">
        <f>F19/F13</f>
        <v>0.50410958904109593</v>
      </c>
      <c r="H19" s="116">
        <f t="shared" si="1"/>
        <v>-1042.8474720820798</v>
      </c>
      <c r="I19" s="116">
        <f t="shared" si="2"/>
        <v>-1114603.3078593968</v>
      </c>
      <c r="J19" s="4">
        <f t="shared" si="4"/>
        <v>7</v>
      </c>
    </row>
    <row r="20" spans="1:13" x14ac:dyDescent="0.25">
      <c r="A20" s="4">
        <f t="shared" si="3"/>
        <v>8</v>
      </c>
      <c r="B20" s="612" t="s">
        <v>1333</v>
      </c>
      <c r="C20" s="848">
        <f>('Stmt AF'!$G$17-'Stmt AF'!$E$17)/12</f>
        <v>-2068.6919962497777</v>
      </c>
      <c r="D20" s="116">
        <f t="shared" si="5"/>
        <v>-1120253.9542162768</v>
      </c>
      <c r="E20" s="620">
        <v>31</v>
      </c>
      <c r="F20" s="621">
        <f t="shared" si="0"/>
        <v>153</v>
      </c>
      <c r="G20" s="615">
        <f>F20/F13</f>
        <v>0.41917808219178082</v>
      </c>
      <c r="H20" s="116">
        <f t="shared" si="1"/>
        <v>-867.15034363346842</v>
      </c>
      <c r="I20" s="116">
        <f t="shared" si="2"/>
        <v>-1115470.4582030303</v>
      </c>
      <c r="J20" s="4">
        <f t="shared" si="4"/>
        <v>8</v>
      </c>
    </row>
    <row r="21" spans="1:13" x14ac:dyDescent="0.25">
      <c r="A21" s="4">
        <f t="shared" si="3"/>
        <v>9</v>
      </c>
      <c r="B21" s="612" t="s">
        <v>1334</v>
      </c>
      <c r="C21" s="848">
        <f>('Stmt AF'!$G$17-'Stmt AF'!$E$17)/12</f>
        <v>-2068.6919962497777</v>
      </c>
      <c r="D21" s="116">
        <f t="shared" si="5"/>
        <v>-1122322.6462125266</v>
      </c>
      <c r="E21" s="620">
        <v>31</v>
      </c>
      <c r="F21" s="621">
        <f t="shared" si="0"/>
        <v>122</v>
      </c>
      <c r="G21" s="615">
        <f>F21/F13</f>
        <v>0.33424657534246577</v>
      </c>
      <c r="H21" s="116">
        <f t="shared" si="1"/>
        <v>-691.4532151848573</v>
      </c>
      <c r="I21" s="116">
        <f t="shared" si="2"/>
        <v>-1116161.9114182151</v>
      </c>
      <c r="J21" s="4">
        <f t="shared" si="4"/>
        <v>9</v>
      </c>
    </row>
    <row r="22" spans="1:13" x14ac:dyDescent="0.25">
      <c r="A22" s="4">
        <f t="shared" si="3"/>
        <v>10</v>
      </c>
      <c r="B22" s="612" t="s">
        <v>1335</v>
      </c>
      <c r="C22" s="848">
        <f>('Stmt AF'!$G$17-'Stmt AF'!$E$17)/12</f>
        <v>-2068.6919962497777</v>
      </c>
      <c r="D22" s="116">
        <f t="shared" si="5"/>
        <v>-1124391.3382087764</v>
      </c>
      <c r="E22" s="620">
        <v>30</v>
      </c>
      <c r="F22" s="621">
        <f t="shared" si="0"/>
        <v>92</v>
      </c>
      <c r="G22" s="615">
        <f>F22/F13</f>
        <v>0.25205479452054796</v>
      </c>
      <c r="H22" s="116">
        <f t="shared" si="1"/>
        <v>-521.42373604103989</v>
      </c>
      <c r="I22" s="116">
        <f t="shared" si="2"/>
        <v>-1116683.3351542561</v>
      </c>
      <c r="J22" s="4">
        <f t="shared" si="4"/>
        <v>10</v>
      </c>
    </row>
    <row r="23" spans="1:13" x14ac:dyDescent="0.25">
      <c r="A23" s="4">
        <f t="shared" si="3"/>
        <v>11</v>
      </c>
      <c r="B23" s="612" t="s">
        <v>1336</v>
      </c>
      <c r="C23" s="848">
        <f>('Stmt AF'!$G$17-'Stmt AF'!$E$17)/12</f>
        <v>-2068.6919962497777</v>
      </c>
      <c r="D23" s="116">
        <f t="shared" si="5"/>
        <v>-1126460.0302050263</v>
      </c>
      <c r="E23" s="620">
        <v>31</v>
      </c>
      <c r="F23" s="621">
        <f t="shared" si="0"/>
        <v>61</v>
      </c>
      <c r="G23" s="615">
        <f>F23/F13</f>
        <v>0.16712328767123288</v>
      </c>
      <c r="H23" s="116">
        <f t="shared" si="1"/>
        <v>-345.72660759242865</v>
      </c>
      <c r="I23" s="116">
        <f t="shared" si="2"/>
        <v>-1117029.0617618486</v>
      </c>
      <c r="J23" s="4">
        <f t="shared" si="4"/>
        <v>11</v>
      </c>
    </row>
    <row r="24" spans="1:13" x14ac:dyDescent="0.25">
      <c r="A24" s="4">
        <f t="shared" si="3"/>
        <v>12</v>
      </c>
      <c r="B24" s="612" t="s">
        <v>1337</v>
      </c>
      <c r="C24" s="848">
        <f>('Stmt AF'!$G$17-'Stmt AF'!$E$17)/12</f>
        <v>-2068.6919962497777</v>
      </c>
      <c r="D24" s="116">
        <f t="shared" si="5"/>
        <v>-1128528.7222012761</v>
      </c>
      <c r="E24" s="620">
        <v>30</v>
      </c>
      <c r="F24" s="621">
        <f t="shared" si="0"/>
        <v>31</v>
      </c>
      <c r="G24" s="615">
        <f>F24/F13</f>
        <v>8.4931506849315067E-2</v>
      </c>
      <c r="H24" s="116">
        <f t="shared" si="1"/>
        <v>-175.69712844861127</v>
      </c>
      <c r="I24" s="116">
        <f t="shared" si="2"/>
        <v>-1117204.7588902973</v>
      </c>
      <c r="J24" s="4">
        <f t="shared" si="4"/>
        <v>12</v>
      </c>
    </row>
    <row r="25" spans="1:13" x14ac:dyDescent="0.25">
      <c r="A25" s="4">
        <f t="shared" si="3"/>
        <v>13</v>
      </c>
      <c r="B25" s="612" t="s">
        <v>1338</v>
      </c>
      <c r="C25" s="848">
        <f>('Stmt AF'!$G$17-'Stmt AF'!$E$17)/12</f>
        <v>-2068.6919962497777</v>
      </c>
      <c r="D25" s="116">
        <f t="shared" si="5"/>
        <v>-1130597.4141975259</v>
      </c>
      <c r="E25" s="620">
        <v>31</v>
      </c>
      <c r="F25" s="621">
        <f t="shared" si="0"/>
        <v>0</v>
      </c>
      <c r="G25" s="615">
        <f>F25/F13</f>
        <v>0</v>
      </c>
      <c r="H25" s="116">
        <f t="shared" si="1"/>
        <v>0</v>
      </c>
      <c r="I25" s="142">
        <f t="shared" si="2"/>
        <v>-1117204.7588902973</v>
      </c>
      <c r="J25" s="4">
        <f t="shared" si="4"/>
        <v>13</v>
      </c>
    </row>
    <row r="26" spans="1:13" x14ac:dyDescent="0.25">
      <c r="B26" s="612" t="s">
        <v>1992</v>
      </c>
      <c r="C26" s="617"/>
      <c r="D26" s="140">
        <f>'Stmt AF'!G17</f>
        <v>-1130597.4141975252</v>
      </c>
      <c r="E26" s="617"/>
      <c r="F26" s="617"/>
      <c r="G26" s="617"/>
      <c r="H26" s="617"/>
      <c r="I26" s="617"/>
      <c r="L26" s="1211"/>
      <c r="M26" s="1218"/>
    </row>
    <row r="29" spans="1:13" ht="18.75" x14ac:dyDescent="0.25">
      <c r="A29" s="253">
        <v>1</v>
      </c>
      <c r="B29" s="5" t="s">
        <v>1339</v>
      </c>
    </row>
    <row r="30" spans="1:13" ht="18.75" x14ac:dyDescent="0.25">
      <c r="A30" s="253">
        <v>2</v>
      </c>
      <c r="B30" s="5" t="s">
        <v>1340</v>
      </c>
    </row>
    <row r="73" spans="1:10" ht="18.75" x14ac:dyDescent="0.25">
      <c r="A73" s="253"/>
      <c r="J73" s="253"/>
    </row>
    <row r="74" spans="1:10" ht="18.75" x14ac:dyDescent="0.25">
      <c r="A74" s="253"/>
      <c r="J74" s="253"/>
    </row>
    <row r="75" spans="1:10" ht="18.75" x14ac:dyDescent="0.25">
      <c r="A75" s="253"/>
      <c r="J75" s="253"/>
    </row>
    <row r="76" spans="1:10" ht="18.75" x14ac:dyDescent="0.25">
      <c r="A76" s="253"/>
      <c r="J76" s="253"/>
    </row>
    <row r="77" spans="1:10" ht="18.75" x14ac:dyDescent="0.25">
      <c r="A77" s="253"/>
      <c r="J77" s="253"/>
    </row>
    <row r="78" spans="1:10" ht="18.75" x14ac:dyDescent="0.25">
      <c r="A78" s="253"/>
      <c r="J78" s="253"/>
    </row>
    <row r="79" spans="1:10" ht="18.75" x14ac:dyDescent="0.25">
      <c r="A79" s="253"/>
      <c r="J79" s="253"/>
    </row>
    <row r="131" spans="1:10" ht="18.75" x14ac:dyDescent="0.25">
      <c r="A131" s="253"/>
      <c r="J131" s="253"/>
    </row>
    <row r="132" spans="1:10" ht="18.75" x14ac:dyDescent="0.25">
      <c r="A132" s="253"/>
      <c r="J132" s="253"/>
    </row>
    <row r="171" spans="1:10" ht="18.75" x14ac:dyDescent="0.25">
      <c r="A171" s="253"/>
      <c r="J171" s="253"/>
    </row>
    <row r="174" spans="1:10" x14ac:dyDescent="0.25">
      <c r="A174" s="71"/>
      <c r="J174" s="71"/>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D147-BCA2-4BC0-A2C0-CBED007FE4F8}">
  <dimension ref="A1:N55"/>
  <sheetViews>
    <sheetView zoomScaleNormal="100" workbookViewId="0">
      <selection activeCell="E89" sqref="E89"/>
    </sheetView>
  </sheetViews>
  <sheetFormatPr defaultColWidth="8.7109375" defaultRowHeight="15.75" x14ac:dyDescent="0.25"/>
  <cols>
    <col min="1" max="1" width="5.28515625" style="4" bestFit="1" customWidth="1"/>
    <col min="2" max="2" width="55.7109375" style="31" customWidth="1"/>
    <col min="3" max="3" width="40.285156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4" bestFit="1" customWidth="1"/>
    <col min="13" max="13" width="8.7109375" style="31"/>
    <col min="14" max="14" width="38.28515625" style="31" customWidth="1"/>
    <col min="15" max="16384" width="8.7109375" style="31"/>
  </cols>
  <sheetData>
    <row r="1" spans="1:14" x14ac:dyDescent="0.25">
      <c r="A1" s="4" t="s">
        <v>1</v>
      </c>
    </row>
    <row r="2" spans="1:14" x14ac:dyDescent="0.25">
      <c r="A2" s="31"/>
      <c r="B2" s="1294" t="s">
        <v>0</v>
      </c>
      <c r="C2" s="1294"/>
      <c r="D2" s="1294"/>
      <c r="E2" s="1294"/>
      <c r="F2" s="1294"/>
      <c r="G2" s="1294"/>
      <c r="H2" s="1294"/>
      <c r="I2" s="1294"/>
      <c r="J2" s="1294"/>
      <c r="K2" s="1294"/>
      <c r="N2" s="256"/>
    </row>
    <row r="3" spans="1:14" x14ac:dyDescent="0.25">
      <c r="A3" s="31"/>
      <c r="B3" s="1294" t="s">
        <v>203</v>
      </c>
      <c r="C3" s="1294"/>
      <c r="D3" s="1294"/>
      <c r="E3" s="1294"/>
      <c r="F3" s="1294"/>
      <c r="G3" s="1294"/>
      <c r="H3" s="1294"/>
      <c r="I3" s="1294"/>
      <c r="J3" s="1294"/>
      <c r="K3" s="1294"/>
      <c r="N3" s="256"/>
    </row>
    <row r="4" spans="1:14" x14ac:dyDescent="0.25">
      <c r="A4" s="31"/>
      <c r="B4" s="1294" t="s">
        <v>204</v>
      </c>
      <c r="C4" s="1294"/>
      <c r="D4" s="1294"/>
      <c r="E4" s="1294"/>
      <c r="F4" s="1294"/>
      <c r="G4" s="1294"/>
      <c r="H4" s="1295"/>
      <c r="I4" s="1295"/>
      <c r="J4" s="1295"/>
      <c r="K4" s="1295"/>
    </row>
    <row r="5" spans="1:14" x14ac:dyDescent="0.25">
      <c r="B5" s="1298" t="s">
        <v>1549</v>
      </c>
      <c r="C5" s="1298"/>
      <c r="D5" s="1298"/>
      <c r="E5" s="1298"/>
      <c r="F5" s="1298"/>
      <c r="G5" s="1298"/>
      <c r="H5" s="1302"/>
      <c r="I5" s="1302"/>
      <c r="J5" s="1302"/>
      <c r="K5" s="1302"/>
      <c r="N5" s="1"/>
    </row>
    <row r="6" spans="1:14" x14ac:dyDescent="0.25">
      <c r="B6" s="1299" t="s">
        <v>4</v>
      </c>
      <c r="C6" s="1295"/>
      <c r="D6" s="1295"/>
      <c r="E6" s="1295"/>
      <c r="F6" s="1295"/>
      <c r="G6" s="1295"/>
      <c r="H6" s="1295"/>
      <c r="I6" s="1295"/>
      <c r="J6" s="1295"/>
      <c r="K6" s="1295"/>
      <c r="N6" s="256"/>
    </row>
    <row r="7" spans="1:14" x14ac:dyDescent="0.25">
      <c r="B7" s="262"/>
      <c r="C7" s="218"/>
      <c r="D7" s="1"/>
      <c r="E7" s="1"/>
      <c r="F7" s="1"/>
      <c r="G7" s="1"/>
      <c r="H7" s="1"/>
      <c r="I7" s="1"/>
      <c r="J7" s="1"/>
      <c r="K7" s="1"/>
      <c r="N7" s="256"/>
    </row>
    <row r="8" spans="1:14" x14ac:dyDescent="0.25">
      <c r="A8" s="4" t="s">
        <v>5</v>
      </c>
      <c r="B8" s="218"/>
      <c r="C8" s="4" t="s">
        <v>205</v>
      </c>
      <c r="D8" s="218"/>
      <c r="E8" s="34" t="s">
        <v>184</v>
      </c>
      <c r="F8" s="4"/>
      <c r="G8" s="34" t="s">
        <v>185</v>
      </c>
      <c r="H8" s="4"/>
      <c r="I8" s="34" t="s">
        <v>206</v>
      </c>
      <c r="J8" s="218"/>
      <c r="L8" s="4" t="s">
        <v>5</v>
      </c>
    </row>
    <row r="9" spans="1:14" x14ac:dyDescent="0.25">
      <c r="A9" s="4" t="s">
        <v>6</v>
      </c>
      <c r="B9" s="218"/>
      <c r="C9" s="849" t="s">
        <v>207</v>
      </c>
      <c r="D9" s="218"/>
      <c r="E9" s="923">
        <v>44926</v>
      </c>
      <c r="F9" s="218"/>
      <c r="G9" s="924">
        <v>45291</v>
      </c>
      <c r="H9" s="218"/>
      <c r="I9" s="850" t="s">
        <v>208</v>
      </c>
      <c r="J9" s="218"/>
      <c r="K9" s="849" t="s">
        <v>8</v>
      </c>
      <c r="L9" s="4" t="s">
        <v>6</v>
      </c>
    </row>
    <row r="10" spans="1:14" x14ac:dyDescent="0.25">
      <c r="E10" s="263"/>
      <c r="G10" s="263"/>
      <c r="H10" s="263"/>
      <c r="I10" s="263"/>
      <c r="J10" s="263"/>
      <c r="K10" s="263"/>
    </row>
    <row r="11" spans="1:14" ht="18.75" x14ac:dyDescent="0.25">
      <c r="A11" s="4">
        <v>1</v>
      </c>
      <c r="B11" s="31" t="s">
        <v>209</v>
      </c>
      <c r="C11" s="4" t="s">
        <v>210</v>
      </c>
      <c r="E11" s="38"/>
      <c r="G11" s="38"/>
      <c r="H11" s="39"/>
      <c r="I11" s="40">
        <f>'AD-1'!E31</f>
        <v>584038.95358923054</v>
      </c>
      <c r="J11" s="71"/>
      <c r="K11" s="4" t="s">
        <v>211</v>
      </c>
      <c r="L11" s="4">
        <f>A11</f>
        <v>1</v>
      </c>
    </row>
    <row r="12" spans="1:14" x14ac:dyDescent="0.25">
      <c r="A12" s="4">
        <f t="shared" ref="A12:A45" si="0">+A11+1</f>
        <v>2</v>
      </c>
      <c r="B12" s="31" t="s">
        <v>1</v>
      </c>
      <c r="E12" s="38"/>
      <c r="G12" s="38"/>
      <c r="H12" s="41"/>
      <c r="I12" s="38"/>
      <c r="J12" s="41"/>
      <c r="K12" s="4"/>
      <c r="L12" s="4">
        <f t="shared" ref="L12:L45" si="1">+L11+1</f>
        <v>2</v>
      </c>
      <c r="N12" s="808"/>
    </row>
    <row r="13" spans="1:14" ht="18.75" x14ac:dyDescent="0.25">
      <c r="A13" s="4">
        <f t="shared" si="0"/>
        <v>3</v>
      </c>
      <c r="B13" s="31" t="s">
        <v>212</v>
      </c>
      <c r="C13" s="4" t="s">
        <v>210</v>
      </c>
      <c r="E13" s="38"/>
      <c r="G13" s="38"/>
      <c r="H13" s="39"/>
      <c r="I13" s="42">
        <f>'AD-2'!E31</f>
        <v>0</v>
      </c>
      <c r="J13" s="71"/>
      <c r="K13" s="4" t="s">
        <v>213</v>
      </c>
      <c r="L13" s="4">
        <f t="shared" si="1"/>
        <v>3</v>
      </c>
    </row>
    <row r="14" spans="1:14" x14ac:dyDescent="0.25">
      <c r="A14" s="4">
        <f t="shared" si="0"/>
        <v>4</v>
      </c>
      <c r="E14" s="38"/>
      <c r="F14" s="1"/>
      <c r="G14" s="38"/>
      <c r="H14" s="41"/>
      <c r="I14" s="38"/>
      <c r="J14" s="41"/>
      <c r="K14" s="4"/>
      <c r="L14" s="4">
        <f t="shared" si="1"/>
        <v>4</v>
      </c>
    </row>
    <row r="15" spans="1:14" ht="18.75" x14ac:dyDescent="0.25">
      <c r="A15" s="4">
        <f t="shared" si="0"/>
        <v>5</v>
      </c>
      <c r="B15" s="31" t="s">
        <v>214</v>
      </c>
      <c r="E15" s="38"/>
      <c r="F15" s="1"/>
      <c r="G15" s="38"/>
      <c r="H15" s="39"/>
      <c r="I15" s="42">
        <f>'AD-3'!E31</f>
        <v>0</v>
      </c>
      <c r="J15" s="41"/>
      <c r="K15" s="4" t="s">
        <v>215</v>
      </c>
      <c r="L15" s="4">
        <f t="shared" si="1"/>
        <v>5</v>
      </c>
    </row>
    <row r="16" spans="1:14" x14ac:dyDescent="0.25">
      <c r="A16" s="4">
        <f t="shared" si="0"/>
        <v>6</v>
      </c>
      <c r="E16" s="38"/>
      <c r="F16" s="1"/>
      <c r="G16" s="38"/>
      <c r="H16" s="41"/>
      <c r="I16" s="38"/>
      <c r="J16" s="41"/>
      <c r="K16" s="4"/>
      <c r="L16" s="4">
        <f t="shared" si="1"/>
        <v>6</v>
      </c>
    </row>
    <row r="17" spans="1:14" ht="18.75" x14ac:dyDescent="0.25">
      <c r="A17" s="4">
        <f t="shared" si="0"/>
        <v>7</v>
      </c>
      <c r="B17" s="31" t="s">
        <v>216</v>
      </c>
      <c r="C17" s="4" t="s">
        <v>210</v>
      </c>
      <c r="E17" s="38"/>
      <c r="F17" s="1"/>
      <c r="G17" s="38"/>
      <c r="H17" s="39"/>
      <c r="I17" s="42">
        <f>'AD-4'!E31</f>
        <v>554696.24298076914</v>
      </c>
      <c r="J17" s="71"/>
      <c r="K17" s="4" t="s">
        <v>217</v>
      </c>
      <c r="L17" s="4">
        <f t="shared" si="1"/>
        <v>7</v>
      </c>
      <c r="N17" s="873"/>
    </row>
    <row r="18" spans="1:14" x14ac:dyDescent="0.25">
      <c r="A18" s="4">
        <f t="shared" si="0"/>
        <v>8</v>
      </c>
      <c r="E18" s="38"/>
      <c r="F18" s="1"/>
      <c r="G18" s="38"/>
      <c r="H18" s="41"/>
      <c r="I18" s="38"/>
      <c r="J18" s="41"/>
      <c r="K18" s="4"/>
      <c r="L18" s="4">
        <f t="shared" si="1"/>
        <v>8</v>
      </c>
      <c r="N18" s="873"/>
    </row>
    <row r="19" spans="1:14" ht="18.75" x14ac:dyDescent="0.25">
      <c r="A19" s="4">
        <f>+A18+1</f>
        <v>9</v>
      </c>
      <c r="B19" s="31" t="s">
        <v>218</v>
      </c>
      <c r="C19" s="4" t="s">
        <v>219</v>
      </c>
      <c r="E19" s="40">
        <f>'AD-5'!E15</f>
        <v>9750399.0658389479</v>
      </c>
      <c r="F19" s="43"/>
      <c r="G19" s="40">
        <f>'AD-5'!E17</f>
        <v>11031887.66371526</v>
      </c>
      <c r="H19" s="39"/>
      <c r="I19" s="38">
        <f>(E19+G19)/2</f>
        <v>10391143.364777103</v>
      </c>
      <c r="J19" s="41"/>
      <c r="K19" s="4" t="s">
        <v>220</v>
      </c>
      <c r="L19" s="4">
        <f>+L18+1</f>
        <v>9</v>
      </c>
      <c r="N19" s="873"/>
    </row>
    <row r="20" spans="1:14" x14ac:dyDescent="0.25">
      <c r="A20" s="4">
        <f t="shared" si="0"/>
        <v>10</v>
      </c>
      <c r="E20" s="38"/>
      <c r="G20" s="38"/>
      <c r="H20" s="41"/>
      <c r="I20" s="38"/>
      <c r="J20" s="41"/>
      <c r="K20" s="4"/>
      <c r="L20" s="4">
        <f t="shared" si="1"/>
        <v>10</v>
      </c>
      <c r="N20" s="873"/>
    </row>
    <row r="21" spans="1:14" ht="18.75" x14ac:dyDescent="0.25">
      <c r="A21" s="4">
        <f t="shared" si="0"/>
        <v>11</v>
      </c>
      <c r="B21" s="31" t="s">
        <v>221</v>
      </c>
      <c r="C21" s="4" t="s">
        <v>210</v>
      </c>
      <c r="E21" s="39"/>
      <c r="G21" s="39"/>
      <c r="H21" s="39"/>
      <c r="I21" s="42">
        <f>'AD-6'!F31</f>
        <v>7990057.3968355898</v>
      </c>
      <c r="J21" s="71"/>
      <c r="K21" s="4" t="s">
        <v>222</v>
      </c>
      <c r="L21" s="4">
        <f t="shared" si="1"/>
        <v>11</v>
      </c>
      <c r="N21" s="873"/>
    </row>
    <row r="22" spans="1:14" x14ac:dyDescent="0.25">
      <c r="A22" s="4">
        <f t="shared" si="0"/>
        <v>12</v>
      </c>
      <c r="E22" s="38"/>
      <c r="G22" s="38"/>
      <c r="H22" s="41"/>
      <c r="I22" s="38"/>
      <c r="J22" s="41"/>
      <c r="K22" s="4"/>
      <c r="L22" s="4">
        <f t="shared" si="1"/>
        <v>12</v>
      </c>
      <c r="N22" s="873"/>
    </row>
    <row r="23" spans="1:14" ht="18.75" x14ac:dyDescent="0.25">
      <c r="A23" s="4">
        <f t="shared" si="0"/>
        <v>13</v>
      </c>
      <c r="B23" s="31" t="s">
        <v>223</v>
      </c>
      <c r="E23" s="39"/>
      <c r="G23" s="39"/>
      <c r="H23" s="39"/>
      <c r="I23" s="42">
        <f>'AD-7'!E32</f>
        <v>0</v>
      </c>
      <c r="J23" s="41"/>
      <c r="K23" s="4" t="s">
        <v>224</v>
      </c>
      <c r="L23" s="4">
        <f t="shared" si="1"/>
        <v>13</v>
      </c>
      <c r="N23" s="873"/>
    </row>
    <row r="24" spans="1:14" x14ac:dyDescent="0.25">
      <c r="A24" s="4">
        <f t="shared" si="0"/>
        <v>14</v>
      </c>
      <c r="E24" s="38"/>
      <c r="G24" s="38"/>
      <c r="H24" s="41"/>
      <c r="I24" s="38"/>
      <c r="J24" s="41"/>
      <c r="K24" s="4"/>
      <c r="L24" s="4">
        <f t="shared" si="1"/>
        <v>14</v>
      </c>
      <c r="N24" s="873"/>
    </row>
    <row r="25" spans="1:14" ht="18.75" x14ac:dyDescent="0.25">
      <c r="A25" s="4">
        <f>+A24+1</f>
        <v>15</v>
      </c>
      <c r="B25" s="31" t="s">
        <v>225</v>
      </c>
      <c r="C25" s="4" t="s">
        <v>219</v>
      </c>
      <c r="D25" s="255"/>
      <c r="E25" s="42">
        <f>'AD-8'!C14</f>
        <v>112870.21667000001</v>
      </c>
      <c r="F25" s="1"/>
      <c r="G25" s="42">
        <f>'AD-8'!C16</f>
        <v>125194.79648999999</v>
      </c>
      <c r="H25" s="41"/>
      <c r="I25" s="38">
        <f>(E25+G25)/2</f>
        <v>119032.50658</v>
      </c>
      <c r="J25" s="264"/>
      <c r="K25" s="91" t="s">
        <v>226</v>
      </c>
      <c r="L25" s="4">
        <f>+L24+1</f>
        <v>15</v>
      </c>
    </row>
    <row r="26" spans="1:14" x14ac:dyDescent="0.25">
      <c r="A26" s="4">
        <f t="shared" si="0"/>
        <v>16</v>
      </c>
      <c r="E26" s="38"/>
      <c r="G26" s="38"/>
      <c r="H26" s="41"/>
      <c r="I26" s="38"/>
      <c r="J26" s="41"/>
      <c r="K26" s="4"/>
      <c r="L26" s="4">
        <f t="shared" si="1"/>
        <v>16</v>
      </c>
    </row>
    <row r="27" spans="1:14" ht="18.75" x14ac:dyDescent="0.25">
      <c r="A27" s="4">
        <f t="shared" si="0"/>
        <v>17</v>
      </c>
      <c r="B27" s="31" t="s">
        <v>227</v>
      </c>
      <c r="C27" s="4" t="s">
        <v>219</v>
      </c>
      <c r="E27" s="42">
        <f>'AD-9'!C14</f>
        <v>571823.00716999953</v>
      </c>
      <c r="F27" s="1"/>
      <c r="G27" s="42">
        <f>'AD-9'!C16</f>
        <v>614792.31672999891</v>
      </c>
      <c r="H27" s="39"/>
      <c r="I27" s="38">
        <f>(E27+G27)/2</f>
        <v>593307.66194999916</v>
      </c>
      <c r="J27" s="41"/>
      <c r="K27" s="4" t="s">
        <v>228</v>
      </c>
      <c r="L27" s="4">
        <f t="shared" si="1"/>
        <v>17</v>
      </c>
    </row>
    <row r="28" spans="1:14" x14ac:dyDescent="0.25">
      <c r="A28" s="4">
        <f t="shared" si="0"/>
        <v>18</v>
      </c>
      <c r="E28" s="38"/>
      <c r="F28" s="1"/>
      <c r="G28" s="38"/>
      <c r="H28" s="41"/>
      <c r="I28" s="38"/>
      <c r="J28" s="41"/>
      <c r="K28" s="4"/>
      <c r="L28" s="4">
        <f t="shared" si="1"/>
        <v>18</v>
      </c>
    </row>
    <row r="29" spans="1:14" ht="18.75" x14ac:dyDescent="0.25">
      <c r="A29" s="4">
        <f t="shared" si="0"/>
        <v>19</v>
      </c>
      <c r="B29" s="31" t="s">
        <v>229</v>
      </c>
      <c r="E29" s="42">
        <f>'AD-10'!D15</f>
        <v>1555621.3643625001</v>
      </c>
      <c r="F29" s="1"/>
      <c r="G29" s="42">
        <f>'AD-10'!D19</f>
        <v>1812002.4911979998</v>
      </c>
      <c r="H29" s="39"/>
      <c r="I29" s="925">
        <f>(E29+G29)/2</f>
        <v>1683811.9277802501</v>
      </c>
      <c r="J29" s="41"/>
      <c r="K29" s="4" t="s">
        <v>230</v>
      </c>
      <c r="L29" s="4">
        <f t="shared" si="1"/>
        <v>19</v>
      </c>
    </row>
    <row r="30" spans="1:14" x14ac:dyDescent="0.25">
      <c r="A30" s="4">
        <f t="shared" si="0"/>
        <v>20</v>
      </c>
      <c r="E30" s="38"/>
      <c r="F30" s="1"/>
      <c r="G30" s="38"/>
      <c r="H30" s="41"/>
      <c r="I30" s="38"/>
      <c r="J30" s="41"/>
      <c r="K30" s="4"/>
      <c r="L30" s="4">
        <f t="shared" si="1"/>
        <v>20</v>
      </c>
    </row>
    <row r="31" spans="1:14" ht="16.5" thickBot="1" x14ac:dyDescent="0.3">
      <c r="A31" s="4">
        <f t="shared" si="0"/>
        <v>21</v>
      </c>
      <c r="B31" s="31" t="s">
        <v>231</v>
      </c>
      <c r="E31" s="35"/>
      <c r="F31" s="43"/>
      <c r="G31" s="35"/>
      <c r="H31" s="44"/>
      <c r="I31" s="37">
        <f>I11+I13+I15+I17+I19+I21+I23+I25+I27+I29</f>
        <v>21916088.054492943</v>
      </c>
      <c r="J31" s="71"/>
      <c r="K31" s="4" t="s">
        <v>232</v>
      </c>
      <c r="L31" s="4">
        <f t="shared" si="1"/>
        <v>21</v>
      </c>
      <c r="M31" s="265"/>
    </row>
    <row r="32" spans="1:14" ht="16.5" thickTop="1" x14ac:dyDescent="0.25">
      <c r="A32" s="4">
        <f t="shared" si="0"/>
        <v>22</v>
      </c>
      <c r="E32" s="45"/>
      <c r="G32" s="45"/>
      <c r="H32" s="46"/>
      <c r="I32" s="45"/>
      <c r="J32" s="46"/>
      <c r="K32" s="4" t="s">
        <v>1</v>
      </c>
      <c r="L32" s="4">
        <f t="shared" si="1"/>
        <v>22</v>
      </c>
    </row>
    <row r="33" spans="1:13" x14ac:dyDescent="0.25">
      <c r="A33" s="4">
        <f t="shared" si="0"/>
        <v>23</v>
      </c>
      <c r="B33" s="31" t="s">
        <v>233</v>
      </c>
      <c r="E33" s="47"/>
      <c r="G33" s="47"/>
      <c r="H33" s="46"/>
      <c r="I33" s="926">
        <f>'True-Up Stmt AI'!E25</f>
        <v>0.20002998415514117</v>
      </c>
      <c r="J33" s="46"/>
      <c r="K33" s="4" t="s">
        <v>234</v>
      </c>
      <c r="L33" s="4">
        <f t="shared" si="1"/>
        <v>23</v>
      </c>
    </row>
    <row r="34" spans="1:13" x14ac:dyDescent="0.25">
      <c r="A34" s="4">
        <f t="shared" si="0"/>
        <v>24</v>
      </c>
      <c r="E34" s="45"/>
      <c r="G34" s="45"/>
      <c r="H34" s="46"/>
      <c r="I34" s="45"/>
      <c r="J34" s="46"/>
      <c r="K34" s="4"/>
      <c r="L34" s="4">
        <f t="shared" si="1"/>
        <v>24</v>
      </c>
    </row>
    <row r="35" spans="1:13" x14ac:dyDescent="0.25">
      <c r="A35" s="4">
        <f t="shared" si="0"/>
        <v>25</v>
      </c>
      <c r="B35" s="31" t="s">
        <v>235</v>
      </c>
      <c r="E35" s="6"/>
      <c r="F35" s="6"/>
      <c r="G35" s="6"/>
      <c r="H35" s="11"/>
      <c r="I35" s="48">
        <f>I21+I23</f>
        <v>7990057.3968355898</v>
      </c>
      <c r="J35" s="71"/>
      <c r="K35" s="4" t="s">
        <v>236</v>
      </c>
      <c r="L35" s="4">
        <f t="shared" si="1"/>
        <v>25</v>
      </c>
    </row>
    <row r="36" spans="1:13" x14ac:dyDescent="0.25">
      <c r="A36" s="4">
        <f t="shared" si="0"/>
        <v>26</v>
      </c>
      <c r="E36" s="45"/>
      <c r="G36" s="45"/>
      <c r="H36" s="46"/>
      <c r="I36" s="45"/>
      <c r="J36" s="46"/>
      <c r="K36" s="4"/>
      <c r="L36" s="4">
        <f t="shared" si="1"/>
        <v>26</v>
      </c>
    </row>
    <row r="37" spans="1:13" x14ac:dyDescent="0.25">
      <c r="A37" s="4">
        <f t="shared" si="0"/>
        <v>27</v>
      </c>
      <c r="B37" s="31" t="s">
        <v>58</v>
      </c>
      <c r="E37" s="6"/>
      <c r="G37" s="6"/>
      <c r="H37" s="46"/>
      <c r="I37" s="8">
        <f>I25*I33</f>
        <v>23810.070405144139</v>
      </c>
      <c r="J37" s="71"/>
      <c r="K37" s="4" t="s">
        <v>237</v>
      </c>
      <c r="L37" s="4">
        <f t="shared" si="1"/>
        <v>27</v>
      </c>
      <c r="M37" s="265"/>
    </row>
    <row r="38" spans="1:13" x14ac:dyDescent="0.25">
      <c r="A38" s="4">
        <f t="shared" si="0"/>
        <v>28</v>
      </c>
      <c r="E38" s="45"/>
      <c r="G38" s="45"/>
      <c r="H38" s="46"/>
      <c r="I38" s="49"/>
      <c r="J38" s="46"/>
      <c r="K38" s="4"/>
      <c r="L38" s="4">
        <f t="shared" si="1"/>
        <v>28</v>
      </c>
    </row>
    <row r="39" spans="1:13" x14ac:dyDescent="0.25">
      <c r="A39" s="4">
        <f t="shared" si="0"/>
        <v>29</v>
      </c>
      <c r="B39" s="31" t="s">
        <v>60</v>
      </c>
      <c r="E39" s="6"/>
      <c r="G39" s="6"/>
      <c r="H39" s="46"/>
      <c r="I39" s="8">
        <f>I27*I33</f>
        <v>118679.32221898218</v>
      </c>
      <c r="J39" s="46"/>
      <c r="K39" s="4" t="s">
        <v>238</v>
      </c>
      <c r="L39" s="4">
        <f t="shared" si="1"/>
        <v>29</v>
      </c>
      <c r="M39" s="265"/>
    </row>
    <row r="40" spans="1:13" x14ac:dyDescent="0.25">
      <c r="A40" s="4">
        <f t="shared" si="0"/>
        <v>30</v>
      </c>
      <c r="E40" s="6"/>
      <c r="G40" s="6"/>
      <c r="H40" s="46"/>
      <c r="I40" s="8"/>
      <c r="J40" s="46"/>
      <c r="K40" s="4"/>
      <c r="L40" s="4">
        <f t="shared" si="1"/>
        <v>30</v>
      </c>
      <c r="M40" s="265"/>
    </row>
    <row r="41" spans="1:13" x14ac:dyDescent="0.25">
      <c r="A41" s="4">
        <f t="shared" si="0"/>
        <v>31</v>
      </c>
      <c r="B41" s="31" t="s">
        <v>239</v>
      </c>
      <c r="E41" s="6"/>
      <c r="G41" s="6"/>
      <c r="H41" s="46"/>
      <c r="I41" s="914">
        <f>I29*I33</f>
        <v>336812.87323412113</v>
      </c>
      <c r="J41" s="46"/>
      <c r="K41" s="4" t="s">
        <v>240</v>
      </c>
      <c r="L41" s="4">
        <f t="shared" si="1"/>
        <v>31</v>
      </c>
      <c r="M41" s="265"/>
    </row>
    <row r="42" spans="1:13" x14ac:dyDescent="0.25">
      <c r="A42" s="4">
        <f t="shared" si="0"/>
        <v>32</v>
      </c>
      <c r="B42" s="31" t="s">
        <v>1</v>
      </c>
      <c r="E42" s="6"/>
      <c r="G42" s="6"/>
      <c r="H42" s="46"/>
      <c r="I42" s="8"/>
      <c r="J42" s="46"/>
      <c r="K42" s="4"/>
      <c r="L42" s="4">
        <f t="shared" si="1"/>
        <v>32</v>
      </c>
    </row>
    <row r="43" spans="1:13" ht="16.5" thickBot="1" x14ac:dyDescent="0.3">
      <c r="A43" s="4">
        <f t="shared" si="0"/>
        <v>33</v>
      </c>
      <c r="B43" s="31" t="s">
        <v>241</v>
      </c>
      <c r="E43" s="6"/>
      <c r="G43" s="6"/>
      <c r="H43" s="50"/>
      <c r="I43" s="24">
        <f>I35+I37+I39+I41</f>
        <v>8469359.6626938377</v>
      </c>
      <c r="J43" s="71"/>
      <c r="K43" s="4" t="s">
        <v>242</v>
      </c>
      <c r="L43" s="4">
        <f t="shared" si="1"/>
        <v>33</v>
      </c>
      <c r="M43" s="265"/>
    </row>
    <row r="44" spans="1:13" ht="16.5" thickTop="1" x14ac:dyDescent="0.25">
      <c r="A44" s="4">
        <f t="shared" si="0"/>
        <v>34</v>
      </c>
      <c r="E44" s="45"/>
      <c r="G44" s="45"/>
      <c r="H44" s="50"/>
      <c r="I44" s="49"/>
      <c r="J44" s="50"/>
      <c r="K44" s="4"/>
      <c r="L44" s="4">
        <f t="shared" si="1"/>
        <v>34</v>
      </c>
    </row>
    <row r="45" spans="1:13" ht="19.5" thickBot="1" x14ac:dyDescent="0.3">
      <c r="A45" s="4">
        <f t="shared" si="0"/>
        <v>35</v>
      </c>
      <c r="B45" s="31" t="s">
        <v>243</v>
      </c>
      <c r="E45" s="47"/>
      <c r="G45" s="47"/>
      <c r="H45" s="50"/>
      <c r="I45" s="51">
        <f>IFERROR(I43/I31,0)</f>
        <v>0.38644486377474485</v>
      </c>
      <c r="J45" s="71"/>
      <c r="K45" s="4" t="s">
        <v>244</v>
      </c>
      <c r="L45" s="4">
        <f t="shared" si="1"/>
        <v>35</v>
      </c>
      <c r="M45" s="265"/>
    </row>
    <row r="46" spans="1:13" ht="16.5" thickTop="1" x14ac:dyDescent="0.25">
      <c r="E46" s="218"/>
      <c r="G46" s="44"/>
      <c r="H46" s="50"/>
      <c r="I46" s="50"/>
      <c r="J46" s="50"/>
      <c r="K46" s="4"/>
    </row>
    <row r="47" spans="1:13" x14ac:dyDescent="0.25">
      <c r="B47" s="33"/>
    </row>
    <row r="48" spans="1:13" ht="18.75" x14ac:dyDescent="0.25">
      <c r="A48" s="253">
        <v>1</v>
      </c>
      <c r="B48" s="31" t="s">
        <v>245</v>
      </c>
    </row>
    <row r="49" spans="1:2" ht="18.75" x14ac:dyDescent="0.25">
      <c r="A49" s="266">
        <v>2</v>
      </c>
      <c r="B49" s="31" t="s">
        <v>246</v>
      </c>
    </row>
    <row r="50" spans="1:2" ht="18.75" x14ac:dyDescent="0.25">
      <c r="A50" s="266">
        <v>3</v>
      </c>
      <c r="B50" s="31" t="s">
        <v>247</v>
      </c>
    </row>
    <row r="51" spans="1:2" ht="18.75" x14ac:dyDescent="0.25">
      <c r="A51" s="266">
        <v>4</v>
      </c>
      <c r="B51" s="31" t="s">
        <v>248</v>
      </c>
    </row>
    <row r="52" spans="1:2" ht="18.75" x14ac:dyDescent="0.25">
      <c r="A52" s="266">
        <v>5</v>
      </c>
      <c r="B52" s="31" t="s">
        <v>249</v>
      </c>
    </row>
    <row r="53" spans="1:2" ht="18.75" x14ac:dyDescent="0.25">
      <c r="A53" s="266"/>
    </row>
    <row r="54" spans="1:2" ht="18.75" x14ac:dyDescent="0.25">
      <c r="A54" s="266"/>
    </row>
    <row r="55" spans="1:2" ht="18.75" x14ac:dyDescent="0.25">
      <c r="A55" s="266"/>
    </row>
  </sheetData>
  <mergeCells count="5">
    <mergeCell ref="B2:K2"/>
    <mergeCell ref="B3:K3"/>
    <mergeCell ref="B4:K4"/>
    <mergeCell ref="B5:K5"/>
    <mergeCell ref="B6:K6"/>
  </mergeCells>
  <pageMargins left="0.7" right="0.7" top="0.75" bottom="0.75" header="0.3" footer="0.3"/>
  <pageSetup scale="46" orientation="portrait" horizontalDpi="1200" verticalDpi="1200" r:id="rId1"/>
  <headerFooter scaleWithDoc="0">
    <oddFooter>&amp;C&amp;A</oddFooter>
  </headerFooter>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43ED-0D68-4A40-BDF3-7F05C4689775}">
  <dimension ref="A1:N39"/>
  <sheetViews>
    <sheetView zoomScaleNormal="100" workbookViewId="0">
      <selection activeCell="B3" sqref="B3:K3"/>
    </sheetView>
  </sheetViews>
  <sheetFormatPr defaultColWidth="8.7109375" defaultRowHeight="15.75" x14ac:dyDescent="0.25"/>
  <cols>
    <col min="1" max="1" width="5.28515625" style="4" bestFit="1" customWidth="1"/>
    <col min="2" max="2" width="67.5703125" style="31" customWidth="1"/>
    <col min="3" max="3" width="25.5703125" style="4" bestFit="1" customWidth="1"/>
    <col min="4" max="4" width="1.5703125" style="31" customWidth="1"/>
    <col min="5" max="5" width="16.7109375" style="31" customWidth="1"/>
    <col min="6" max="6" width="1.5703125" style="31" customWidth="1"/>
    <col min="7" max="7" width="16.7109375" style="31" customWidth="1"/>
    <col min="8" max="8" width="1.5703125" style="31" customWidth="1"/>
    <col min="9" max="9" width="16.7109375" style="31" customWidth="1"/>
    <col min="10" max="10" width="1.5703125" style="31" customWidth="1"/>
    <col min="11" max="11" width="34.5703125" style="31" customWidth="1"/>
    <col min="12" max="12" width="5.28515625" style="31" bestFit="1" customWidth="1"/>
    <col min="13" max="13" width="8.7109375" style="31"/>
    <col min="14" max="14" width="33.42578125" style="31" customWidth="1"/>
    <col min="15" max="16384" width="8.7109375" style="31"/>
  </cols>
  <sheetData>
    <row r="1" spans="1:14" x14ac:dyDescent="0.25">
      <c r="H1" s="4"/>
      <c r="I1" s="4"/>
      <c r="J1" s="4"/>
      <c r="K1" s="4"/>
      <c r="L1" s="4"/>
    </row>
    <row r="2" spans="1:14" x14ac:dyDescent="0.25">
      <c r="B2" s="1294" t="s">
        <v>0</v>
      </c>
      <c r="C2" s="1294"/>
      <c r="D2" s="1294"/>
      <c r="E2" s="1294"/>
      <c r="F2" s="1294"/>
      <c r="G2" s="1294"/>
      <c r="H2" s="1294"/>
      <c r="I2" s="1294"/>
      <c r="J2" s="1294"/>
      <c r="K2" s="1294"/>
      <c r="L2" s="4"/>
    </row>
    <row r="3" spans="1:14" x14ac:dyDescent="0.25">
      <c r="B3" s="1294" t="s">
        <v>349</v>
      </c>
      <c r="C3" s="1294"/>
      <c r="D3" s="1294"/>
      <c r="E3" s="1294"/>
      <c r="F3" s="1294"/>
      <c r="G3" s="1294"/>
      <c r="H3" s="1294"/>
      <c r="I3" s="1294"/>
      <c r="J3" s="1294"/>
      <c r="K3" s="1294"/>
      <c r="L3" s="4"/>
    </row>
    <row r="4" spans="1:14" x14ac:dyDescent="0.25">
      <c r="B4" s="1294" t="s">
        <v>350</v>
      </c>
      <c r="C4" s="1294"/>
      <c r="D4" s="1294"/>
      <c r="E4" s="1294"/>
      <c r="F4" s="1294"/>
      <c r="G4" s="1294"/>
      <c r="H4" s="1294"/>
      <c r="I4" s="1294"/>
      <c r="J4" s="1294"/>
      <c r="K4" s="1294"/>
      <c r="L4" s="4"/>
    </row>
    <row r="5" spans="1:14" x14ac:dyDescent="0.25">
      <c r="B5" s="1300" t="str">
        <f>'Stmt AD'!B5</f>
        <v>Base Period &amp; True-Up Period 12 - Months Ending December 31, 2023</v>
      </c>
      <c r="C5" s="1300"/>
      <c r="D5" s="1300"/>
      <c r="E5" s="1300"/>
      <c r="F5" s="1300"/>
      <c r="G5" s="1300"/>
      <c r="H5" s="1300"/>
      <c r="I5" s="1300"/>
      <c r="J5" s="1300"/>
      <c r="K5" s="1300"/>
      <c r="L5" s="4"/>
      <c r="N5" s="1"/>
    </row>
    <row r="6" spans="1:14" x14ac:dyDescent="0.25">
      <c r="B6" s="1299" t="s">
        <v>4</v>
      </c>
      <c r="C6" s="1295"/>
      <c r="D6" s="1295"/>
      <c r="E6" s="1295"/>
      <c r="F6" s="1295"/>
      <c r="G6" s="1295"/>
      <c r="H6" s="1295"/>
      <c r="I6" s="1295"/>
      <c r="J6" s="1295"/>
      <c r="K6" s="1295"/>
      <c r="L6" s="4"/>
      <c r="N6" s="329"/>
    </row>
    <row r="7" spans="1:14" x14ac:dyDescent="0.25">
      <c r="B7" s="4"/>
      <c r="D7" s="4"/>
      <c r="E7" s="4"/>
      <c r="F7" s="4"/>
      <c r="G7" s="4"/>
      <c r="H7" s="218"/>
      <c r="I7" s="218"/>
      <c r="J7" s="218"/>
      <c r="K7" s="4"/>
      <c r="L7" s="4"/>
    </row>
    <row r="8" spans="1:14" x14ac:dyDescent="0.25">
      <c r="A8" s="4" t="s">
        <v>5</v>
      </c>
      <c r="B8" s="218"/>
      <c r="C8" s="4" t="s">
        <v>205</v>
      </c>
      <c r="D8" s="218"/>
      <c r="E8" s="34" t="s">
        <v>184</v>
      </c>
      <c r="F8" s="4"/>
      <c r="G8" s="34" t="s">
        <v>185</v>
      </c>
      <c r="H8" s="4"/>
      <c r="I8" s="34" t="s">
        <v>206</v>
      </c>
      <c r="J8" s="218"/>
      <c r="K8" s="4"/>
      <c r="L8" s="4" t="s">
        <v>5</v>
      </c>
    </row>
    <row r="9" spans="1:14" x14ac:dyDescent="0.25">
      <c r="A9" s="4" t="s">
        <v>6</v>
      </c>
      <c r="B9" s="218"/>
      <c r="C9" s="849" t="s">
        <v>207</v>
      </c>
      <c r="D9" s="218"/>
      <c r="E9" s="970">
        <f>'Stmt AD'!E9</f>
        <v>44926</v>
      </c>
      <c r="F9" s="218"/>
      <c r="G9" s="970">
        <f>'Stmt AD'!G9</f>
        <v>45291</v>
      </c>
      <c r="H9" s="218"/>
      <c r="I9" s="850" t="s">
        <v>208</v>
      </c>
      <c r="J9" s="218"/>
      <c r="K9" s="849" t="s">
        <v>8</v>
      </c>
      <c r="L9" s="4" t="s">
        <v>6</v>
      </c>
      <c r="N9" s="1094"/>
    </row>
    <row r="10" spans="1:14" x14ac:dyDescent="0.25">
      <c r="B10" s="4"/>
      <c r="D10" s="4"/>
      <c r="E10" s="4"/>
      <c r="F10" s="4"/>
      <c r="G10" s="4"/>
      <c r="H10" s="4"/>
      <c r="I10" s="4"/>
      <c r="J10" s="4"/>
      <c r="K10" s="4"/>
      <c r="L10" s="4"/>
      <c r="N10" s="825"/>
    </row>
    <row r="11" spans="1:14" ht="18.75" x14ac:dyDescent="0.25">
      <c r="A11" s="4">
        <v>1</v>
      </c>
      <c r="B11" s="31" t="s">
        <v>351</v>
      </c>
      <c r="C11" s="4" t="s">
        <v>352</v>
      </c>
      <c r="D11" s="4"/>
      <c r="E11" s="69"/>
      <c r="F11" s="35"/>
      <c r="G11" s="69"/>
      <c r="H11" s="39"/>
      <c r="I11" s="40">
        <f>'AE-1'!F31</f>
        <v>1933499.1032278647</v>
      </c>
      <c r="J11" s="71"/>
      <c r="K11" s="4" t="s">
        <v>353</v>
      </c>
      <c r="L11" s="4">
        <f>A11</f>
        <v>1</v>
      </c>
      <c r="N11" s="1094"/>
    </row>
    <row r="12" spans="1:14" x14ac:dyDescent="0.25">
      <c r="A12" s="4">
        <f>A11+1</f>
        <v>2</v>
      </c>
      <c r="E12" s="70"/>
      <c r="G12" s="70"/>
      <c r="H12" s="41"/>
      <c r="I12" s="70"/>
      <c r="J12" s="41"/>
      <c r="K12" s="330"/>
      <c r="L12" s="4">
        <f>L11+1</f>
        <v>2</v>
      </c>
      <c r="N12" s="825"/>
    </row>
    <row r="13" spans="1:14" ht="18.75" x14ac:dyDescent="0.25">
      <c r="A13" s="4">
        <f t="shared" ref="A13:A29" si="0">+A12+1</f>
        <v>3</v>
      </c>
      <c r="B13" s="31" t="s">
        <v>354</v>
      </c>
      <c r="E13" s="40">
        <f>'AE-2'!C14</f>
        <v>69951.332410000017</v>
      </c>
      <c r="F13" s="69"/>
      <c r="G13" s="40">
        <f>'AE-2'!C16</f>
        <v>76610.14694999998</v>
      </c>
      <c r="H13" s="71"/>
      <c r="I13" s="38">
        <f>(E13+G13)/2</f>
        <v>73280.739679999999</v>
      </c>
      <c r="J13" s="71"/>
      <c r="K13" s="4" t="s">
        <v>355</v>
      </c>
      <c r="L13" s="4">
        <f t="shared" ref="L13:L29" si="1">+L12+1</f>
        <v>3</v>
      </c>
      <c r="N13" s="825"/>
    </row>
    <row r="14" spans="1:14" x14ac:dyDescent="0.25">
      <c r="A14" s="4">
        <f t="shared" si="0"/>
        <v>4</v>
      </c>
      <c r="E14" s="70"/>
      <c r="G14" s="70"/>
      <c r="H14" s="41"/>
      <c r="I14" s="38"/>
      <c r="J14" s="41"/>
      <c r="K14" s="44"/>
      <c r="L14" s="4">
        <f t="shared" si="1"/>
        <v>4</v>
      </c>
      <c r="N14" s="825"/>
    </row>
    <row r="15" spans="1:14" ht="18.75" x14ac:dyDescent="0.25">
      <c r="A15" s="4">
        <f t="shared" si="0"/>
        <v>5</v>
      </c>
      <c r="B15" s="31" t="s">
        <v>356</v>
      </c>
      <c r="E15" s="42">
        <f>'AE-3'!C14</f>
        <v>243049.82983647494</v>
      </c>
      <c r="G15" s="42">
        <f>'AE-3'!C16</f>
        <v>268071.91264152038</v>
      </c>
      <c r="H15" s="39"/>
      <c r="I15" s="38">
        <f>(E15+G15)/2</f>
        <v>255560.87123899767</v>
      </c>
      <c r="J15" s="41"/>
      <c r="K15" s="4" t="s">
        <v>357</v>
      </c>
      <c r="L15" s="4">
        <f t="shared" si="1"/>
        <v>5</v>
      </c>
      <c r="N15" s="825"/>
    </row>
    <row r="16" spans="1:14" x14ac:dyDescent="0.25">
      <c r="A16" s="4">
        <f t="shared" si="0"/>
        <v>6</v>
      </c>
      <c r="E16" s="38"/>
      <c r="G16" s="38"/>
      <c r="H16" s="41"/>
      <c r="I16" s="38"/>
      <c r="J16" s="41"/>
      <c r="K16" s="44"/>
      <c r="L16" s="4">
        <f t="shared" si="1"/>
        <v>6</v>
      </c>
      <c r="N16" s="825"/>
    </row>
    <row r="17" spans="1:14" ht="18.75" x14ac:dyDescent="0.25">
      <c r="A17" s="4">
        <f t="shared" si="0"/>
        <v>7</v>
      </c>
      <c r="B17" s="31" t="s">
        <v>358</v>
      </c>
      <c r="E17" s="42">
        <f>'AE-4'!D15</f>
        <v>646344.7064883</v>
      </c>
      <c r="G17" s="42">
        <f>'AE-4'!D19</f>
        <v>756371.15274399996</v>
      </c>
      <c r="H17" s="39"/>
      <c r="I17" s="38">
        <f>(E17+G17)/2</f>
        <v>701357.92961614998</v>
      </c>
      <c r="J17" s="41"/>
      <c r="K17" s="4" t="s">
        <v>359</v>
      </c>
      <c r="L17" s="4">
        <f t="shared" si="1"/>
        <v>7</v>
      </c>
      <c r="N17" s="825"/>
    </row>
    <row r="18" spans="1:14" x14ac:dyDescent="0.25">
      <c r="A18" s="4">
        <f t="shared" si="0"/>
        <v>8</v>
      </c>
      <c r="E18" s="70"/>
      <c r="G18" s="70"/>
      <c r="H18" s="41"/>
      <c r="I18" s="70"/>
      <c r="J18" s="41"/>
      <c r="K18" s="46"/>
      <c r="L18" s="4">
        <f t="shared" si="1"/>
        <v>8</v>
      </c>
      <c r="N18" s="825"/>
    </row>
    <row r="19" spans="1:14" x14ac:dyDescent="0.25">
      <c r="A19" s="4">
        <f t="shared" si="0"/>
        <v>9</v>
      </c>
      <c r="B19" s="31" t="s">
        <v>233</v>
      </c>
      <c r="E19" s="72"/>
      <c r="G19" s="72"/>
      <c r="H19" s="73"/>
      <c r="I19" s="971">
        <f>'True-Up Stmt AI'!E25</f>
        <v>0.20002998415514117</v>
      </c>
      <c r="J19" s="73"/>
      <c r="K19" s="44" t="s">
        <v>234</v>
      </c>
      <c r="L19" s="4">
        <f t="shared" si="1"/>
        <v>9</v>
      </c>
      <c r="N19"/>
    </row>
    <row r="20" spans="1:14" x14ac:dyDescent="0.25">
      <c r="A20" s="4">
        <f t="shared" si="0"/>
        <v>10</v>
      </c>
      <c r="E20" s="70"/>
      <c r="G20" s="70"/>
      <c r="H20" s="41"/>
      <c r="I20" s="74"/>
      <c r="J20" s="41"/>
      <c r="K20" s="46"/>
      <c r="L20" s="4">
        <f t="shared" si="1"/>
        <v>10</v>
      </c>
    </row>
    <row r="21" spans="1:14" x14ac:dyDescent="0.25">
      <c r="A21" s="4">
        <f t="shared" si="0"/>
        <v>11</v>
      </c>
      <c r="B21" s="31" t="s">
        <v>121</v>
      </c>
      <c r="E21" s="70"/>
      <c r="G21" s="70"/>
      <c r="H21" s="41"/>
      <c r="I21" s="75">
        <f>I13*I19</f>
        <v>14658.345197067425</v>
      </c>
      <c r="J21" s="71"/>
      <c r="K21" s="46" t="s">
        <v>360</v>
      </c>
      <c r="L21" s="4">
        <f t="shared" si="1"/>
        <v>11</v>
      </c>
    </row>
    <row r="22" spans="1:14" x14ac:dyDescent="0.25">
      <c r="A22" s="4">
        <f t="shared" si="0"/>
        <v>12</v>
      </c>
      <c r="E22" s="70"/>
      <c r="G22" s="70"/>
      <c r="H22" s="41"/>
      <c r="I22" s="74"/>
      <c r="J22" s="41"/>
      <c r="K22" s="46"/>
      <c r="L22" s="4">
        <f t="shared" si="1"/>
        <v>12</v>
      </c>
    </row>
    <row r="23" spans="1:14" x14ac:dyDescent="0.25">
      <c r="A23" s="4">
        <f t="shared" si="0"/>
        <v>13</v>
      </c>
      <c r="B23" s="31" t="s">
        <v>361</v>
      </c>
      <c r="E23" s="38"/>
      <c r="F23" s="6"/>
      <c r="G23" s="38"/>
      <c r="H23" s="75"/>
      <c r="I23" s="76">
        <f>I15*I19</f>
        <v>51119.837024610781</v>
      </c>
      <c r="J23" s="41"/>
      <c r="K23" s="46" t="s">
        <v>362</v>
      </c>
      <c r="L23" s="4">
        <f t="shared" si="1"/>
        <v>13</v>
      </c>
    </row>
    <row r="24" spans="1:14" x14ac:dyDescent="0.25">
      <c r="A24" s="4">
        <f t="shared" si="0"/>
        <v>14</v>
      </c>
      <c r="E24" s="38"/>
      <c r="F24" s="6"/>
      <c r="G24" s="38"/>
      <c r="H24" s="39"/>
      <c r="I24" s="76"/>
      <c r="J24" s="41"/>
      <c r="K24" s="46"/>
      <c r="L24" s="4">
        <f t="shared" si="1"/>
        <v>14</v>
      </c>
    </row>
    <row r="25" spans="1:14" x14ac:dyDescent="0.25">
      <c r="A25" s="4">
        <f t="shared" si="0"/>
        <v>15</v>
      </c>
      <c r="B25" s="31" t="s">
        <v>363</v>
      </c>
      <c r="E25" s="76"/>
      <c r="F25" s="6"/>
      <c r="G25" s="76"/>
      <c r="H25" s="39"/>
      <c r="I25" s="972">
        <f>I17*I19</f>
        <v>140292.61554820111</v>
      </c>
      <c r="J25" s="41"/>
      <c r="K25" s="46" t="s">
        <v>364</v>
      </c>
      <c r="L25" s="4">
        <f t="shared" si="1"/>
        <v>15</v>
      </c>
    </row>
    <row r="26" spans="1:14" x14ac:dyDescent="0.25">
      <c r="A26" s="4">
        <f t="shared" si="0"/>
        <v>16</v>
      </c>
      <c r="E26" s="76"/>
      <c r="F26" s="6"/>
      <c r="G26" s="76"/>
      <c r="H26" s="39"/>
      <c r="I26" s="76"/>
      <c r="J26" s="41"/>
      <c r="K26" s="46"/>
      <c r="L26" s="4">
        <f t="shared" si="1"/>
        <v>16</v>
      </c>
    </row>
    <row r="27" spans="1:14" ht="16.5" thickBot="1" x14ac:dyDescent="0.3">
      <c r="A27" s="4">
        <f t="shared" si="0"/>
        <v>17</v>
      </c>
      <c r="B27" s="31" t="s">
        <v>127</v>
      </c>
      <c r="E27" s="75"/>
      <c r="F27" s="6"/>
      <c r="G27" s="75"/>
      <c r="H27" s="39"/>
      <c r="I27" s="77">
        <f>I11+I21+I23+I25</f>
        <v>2139569.9009977439</v>
      </c>
      <c r="J27" s="71"/>
      <c r="K27" s="46" t="s">
        <v>365</v>
      </c>
      <c r="L27" s="4">
        <f t="shared" si="1"/>
        <v>17</v>
      </c>
    </row>
    <row r="28" spans="1:14" ht="16.5" thickTop="1" x14ac:dyDescent="0.25">
      <c r="A28" s="4">
        <f t="shared" si="0"/>
        <v>18</v>
      </c>
      <c r="G28" s="48"/>
      <c r="H28" s="41"/>
      <c r="I28" s="41"/>
      <c r="J28" s="41"/>
      <c r="K28" s="46"/>
      <c r="L28" s="4">
        <f t="shared" si="1"/>
        <v>18</v>
      </c>
    </row>
    <row r="29" spans="1:14" ht="19.5" thickBot="1" x14ac:dyDescent="0.3">
      <c r="A29" s="4">
        <f t="shared" si="0"/>
        <v>19</v>
      </c>
      <c r="B29" s="31" t="s">
        <v>366</v>
      </c>
      <c r="D29" s="4"/>
      <c r="E29" s="39"/>
      <c r="G29" s="39"/>
      <c r="H29" s="39"/>
      <c r="I29" s="78">
        <f>'AE-5'!E31</f>
        <v>0</v>
      </c>
      <c r="J29" s="4"/>
      <c r="K29" s="4" t="s">
        <v>367</v>
      </c>
      <c r="L29" s="4">
        <f t="shared" si="1"/>
        <v>19</v>
      </c>
    </row>
    <row r="30" spans="1:14" ht="16.5" thickTop="1" x14ac:dyDescent="0.25">
      <c r="G30" s="48"/>
      <c r="H30" s="41"/>
      <c r="I30" s="41"/>
      <c r="J30" s="41"/>
      <c r="K30" s="46"/>
      <c r="L30" s="4"/>
    </row>
    <row r="32" spans="1:14" ht="18.75" x14ac:dyDescent="0.25">
      <c r="A32" s="253">
        <v>1</v>
      </c>
      <c r="B32" s="31" t="s">
        <v>368</v>
      </c>
    </row>
    <row r="33" spans="1:2" ht="18.75" x14ac:dyDescent="0.25">
      <c r="A33" s="266">
        <v>2</v>
      </c>
      <c r="B33" s="31" t="s">
        <v>369</v>
      </c>
    </row>
    <row r="34" spans="1:2" ht="18.75" x14ac:dyDescent="0.25">
      <c r="A34" s="266">
        <v>3</v>
      </c>
      <c r="B34" s="31" t="s">
        <v>370</v>
      </c>
    </row>
    <row r="35" spans="1:2" ht="18.75" x14ac:dyDescent="0.25">
      <c r="A35" s="266">
        <v>4</v>
      </c>
      <c r="B35" s="31" t="s">
        <v>248</v>
      </c>
    </row>
    <row r="37" spans="1:2" ht="18.75" x14ac:dyDescent="0.25">
      <c r="A37" s="266"/>
    </row>
    <row r="39" spans="1:2" x14ac:dyDescent="0.25">
      <c r="A39" s="71"/>
      <c r="B39" s="1"/>
    </row>
  </sheetData>
  <mergeCells count="5">
    <mergeCell ref="B2:K2"/>
    <mergeCell ref="B3:K3"/>
    <mergeCell ref="B4:K4"/>
    <mergeCell ref="B5:K5"/>
    <mergeCell ref="B6:K6"/>
  </mergeCells>
  <pageMargins left="0.7" right="0.7" top="0.75" bottom="0.75" header="0.3" footer="0.3"/>
  <pageSetup scale="46" orientation="portrait" horizontalDpi="1200" verticalDpi="1200" r:id="rId1"/>
  <headerFooter scaleWithDoc="0">
    <oddFooter>&amp;C&amp;A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workbookViewId="0"/>
  </sheetViews>
  <sheetFormatPr defaultColWidth="9.28515625" defaultRowHeight="15.75" x14ac:dyDescent="0.25"/>
  <cols>
    <col min="1" max="1" width="5.28515625" style="218" customWidth="1"/>
    <col min="2" max="2" width="35.28515625" style="1" customWidth="1"/>
    <col min="3" max="3" width="18.5703125" style="87" customWidth="1"/>
    <col min="4" max="4" width="26.5703125" style="87" bestFit="1" customWidth="1"/>
    <col min="5" max="5" width="18.5703125" style="1" customWidth="1"/>
    <col min="6" max="6" width="60.28515625" style="1" customWidth="1"/>
    <col min="7" max="7" width="5.28515625" style="218" customWidth="1"/>
    <col min="8" max="8" width="24" style="1" customWidth="1"/>
    <col min="9" max="9" width="11" style="1" customWidth="1"/>
    <col min="10" max="10" width="7.28515625" style="1" customWidth="1"/>
    <col min="11" max="11" width="9.28515625" style="1" customWidth="1"/>
    <col min="12" max="12" width="14" style="1" customWidth="1"/>
    <col min="13" max="13" width="13.42578125" style="1" customWidth="1"/>
    <col min="14" max="16384" width="9.28515625" style="1"/>
  </cols>
  <sheetData>
    <row r="2" spans="1:9" x14ac:dyDescent="0.25">
      <c r="B2" s="1294" t="s">
        <v>0</v>
      </c>
      <c r="C2" s="1294"/>
      <c r="D2" s="1294"/>
      <c r="E2" s="1294"/>
      <c r="F2" s="1294"/>
    </row>
    <row r="3" spans="1:9" x14ac:dyDescent="0.25">
      <c r="B3" s="1294" t="s">
        <v>250</v>
      </c>
      <c r="C3" s="1294"/>
      <c r="D3" s="1294"/>
      <c r="E3" s="1294"/>
      <c r="F3" s="1294"/>
    </row>
    <row r="4" spans="1:9" x14ac:dyDescent="0.25">
      <c r="B4" s="1294" t="s">
        <v>251</v>
      </c>
      <c r="C4" s="1294"/>
      <c r="D4" s="1294"/>
      <c r="E4" s="1294"/>
      <c r="F4" s="1294"/>
    </row>
    <row r="5" spans="1:9" x14ac:dyDescent="0.25">
      <c r="B5" s="1294" t="str">
        <f>'AD-1'!B5</f>
        <v>BASE PERIOD / TRUE UP PERIOD - 12/31/2023 PER BOOK</v>
      </c>
      <c r="C5" s="1294"/>
      <c r="D5" s="1294"/>
      <c r="E5" s="1294"/>
      <c r="F5" s="1294"/>
    </row>
    <row r="6" spans="1:9" x14ac:dyDescent="0.25">
      <c r="B6" s="1299" t="s">
        <v>4</v>
      </c>
      <c r="C6" s="1299"/>
      <c r="D6" s="1299"/>
      <c r="E6" s="1299"/>
      <c r="F6" s="1299"/>
    </row>
    <row r="7" spans="1:9" x14ac:dyDescent="0.25">
      <c r="B7" s="267"/>
      <c r="C7" s="268"/>
      <c r="D7" s="268"/>
      <c r="E7" s="267"/>
      <c r="F7" s="267"/>
    </row>
    <row r="8" spans="1:9" x14ac:dyDescent="0.25">
      <c r="B8" s="1294" t="s">
        <v>284</v>
      </c>
      <c r="C8" s="1294"/>
      <c r="D8" s="1294"/>
      <c r="E8" s="1294"/>
      <c r="F8" s="1294"/>
    </row>
    <row r="9" spans="1:9" x14ac:dyDescent="0.25">
      <c r="G9" s="4"/>
    </row>
    <row r="10" spans="1:9" x14ac:dyDescent="0.25">
      <c r="B10" s="927"/>
      <c r="C10" s="269" t="s">
        <v>177</v>
      </c>
      <c r="D10" s="928"/>
      <c r="E10" s="269"/>
      <c r="F10" s="928"/>
      <c r="G10" s="4"/>
    </row>
    <row r="11" spans="1:9" x14ac:dyDescent="0.25">
      <c r="B11" s="270"/>
      <c r="C11" s="218" t="s">
        <v>285</v>
      </c>
      <c r="D11" s="270"/>
      <c r="E11" s="274" t="s">
        <v>285</v>
      </c>
      <c r="F11" s="270"/>
      <c r="G11" s="4"/>
    </row>
    <row r="12" spans="1:9" x14ac:dyDescent="0.25">
      <c r="A12" s="4" t="s">
        <v>5</v>
      </c>
      <c r="B12" s="273"/>
      <c r="C12" s="218" t="s">
        <v>286</v>
      </c>
      <c r="D12" s="270"/>
      <c r="E12" s="274" t="s">
        <v>286</v>
      </c>
      <c r="F12" s="270"/>
      <c r="G12" s="4" t="s">
        <v>5</v>
      </c>
    </row>
    <row r="13" spans="1:9" ht="18.75" x14ac:dyDescent="0.25">
      <c r="A13" s="4" t="s">
        <v>6</v>
      </c>
      <c r="B13" s="275" t="s">
        <v>255</v>
      </c>
      <c r="C13" s="930" t="s">
        <v>256</v>
      </c>
      <c r="D13" s="275" t="s">
        <v>8</v>
      </c>
      <c r="E13" s="276" t="s">
        <v>257</v>
      </c>
      <c r="F13" s="275" t="s">
        <v>8</v>
      </c>
      <c r="G13" s="4" t="s">
        <v>6</v>
      </c>
    </row>
    <row r="14" spans="1:9" x14ac:dyDescent="0.25">
      <c r="A14" s="4"/>
      <c r="B14" s="287"/>
      <c r="C14" s="288"/>
      <c r="D14" s="270"/>
      <c r="E14" s="274"/>
      <c r="F14" s="270"/>
      <c r="G14" s="4"/>
    </row>
    <row r="15" spans="1:9" x14ac:dyDescent="0.25">
      <c r="A15" s="4">
        <v>1</v>
      </c>
      <c r="B15" s="931" t="str">
        <f>'AD-1'!B14</f>
        <v>Dec-22</v>
      </c>
      <c r="C15" s="58">
        <v>9583284.5886699781</v>
      </c>
      <c r="D15" s="941" t="s">
        <v>258</v>
      </c>
      <c r="E15" s="64">
        <v>9750399.0658389479</v>
      </c>
      <c r="F15" s="941" t="s">
        <v>259</v>
      </c>
      <c r="G15" s="4">
        <f>A15</f>
        <v>1</v>
      </c>
      <c r="I15" s="277"/>
    </row>
    <row r="16" spans="1:9" x14ac:dyDescent="0.25">
      <c r="A16" s="4">
        <f>A15+1</f>
        <v>2</v>
      </c>
      <c r="B16" s="934"/>
      <c r="C16" s="52"/>
      <c r="D16" s="941"/>
      <c r="E16" s="65"/>
      <c r="F16" s="941"/>
      <c r="G16" s="4">
        <f>G15+1</f>
        <v>2</v>
      </c>
    </row>
    <row r="17" spans="1:9" x14ac:dyDescent="0.25">
      <c r="A17" s="4">
        <f t="shared" ref="A17:A21" si="0">A16+1</f>
        <v>3</v>
      </c>
      <c r="B17" s="931" t="str">
        <f>'AD-1'!B26</f>
        <v>Dec-23</v>
      </c>
      <c r="C17" s="52">
        <v>10855749.871329978</v>
      </c>
      <c r="D17" s="941" t="s">
        <v>258</v>
      </c>
      <c r="E17" s="52">
        <v>11031887.66371526</v>
      </c>
      <c r="F17" s="941" t="s">
        <v>270</v>
      </c>
      <c r="G17" s="4">
        <f t="shared" ref="G17" si="1">G16+1</f>
        <v>3</v>
      </c>
      <c r="I17" s="277"/>
    </row>
    <row r="18" spans="1:9" x14ac:dyDescent="0.25">
      <c r="A18" s="4">
        <f t="shared" si="0"/>
        <v>4</v>
      </c>
      <c r="B18" s="289"/>
      <c r="C18" s="61"/>
      <c r="D18" s="290"/>
      <c r="E18" s="61"/>
      <c r="F18" s="290"/>
      <c r="G18" s="4">
        <f t="shared" ref="G18:G21" si="2">G17+1</f>
        <v>4</v>
      </c>
    </row>
    <row r="19" spans="1:9" x14ac:dyDescent="0.25">
      <c r="A19" s="4">
        <f>A18+1</f>
        <v>5</v>
      </c>
      <c r="B19" s="278"/>
      <c r="C19" s="60"/>
      <c r="D19" s="278"/>
      <c r="E19" s="60"/>
      <c r="F19" s="278"/>
      <c r="G19" s="4">
        <f>G18+1</f>
        <v>5</v>
      </c>
    </row>
    <row r="20" spans="1:9" x14ac:dyDescent="0.25">
      <c r="A20" s="4">
        <f t="shared" si="0"/>
        <v>6</v>
      </c>
      <c r="B20" s="278" t="s">
        <v>287</v>
      </c>
      <c r="C20" s="55">
        <f>(C15+C17)/2</f>
        <v>10219517.229999978</v>
      </c>
      <c r="D20" s="942" t="s">
        <v>288</v>
      </c>
      <c r="E20" s="55">
        <f>(E15+E17)/2</f>
        <v>10391143.364777103</v>
      </c>
      <c r="F20" s="935" t="s">
        <v>288</v>
      </c>
      <c r="G20" s="4">
        <f t="shared" si="2"/>
        <v>6</v>
      </c>
    </row>
    <row r="21" spans="1:9" x14ac:dyDescent="0.25">
      <c r="A21" s="4">
        <f t="shared" si="0"/>
        <v>7</v>
      </c>
      <c r="B21" s="117"/>
      <c r="C21" s="56"/>
      <c r="D21" s="93"/>
      <c r="E21" s="56"/>
      <c r="F21" s="66"/>
      <c r="G21" s="4">
        <f t="shared" si="2"/>
        <v>7</v>
      </c>
    </row>
    <row r="22" spans="1:9" x14ac:dyDescent="0.25">
      <c r="B22" s="31"/>
      <c r="C22" s="31"/>
      <c r="D22" s="31"/>
      <c r="E22" s="31"/>
      <c r="F22" s="31"/>
    </row>
    <row r="23" spans="1:9" x14ac:dyDescent="0.25">
      <c r="C23" s="31"/>
      <c r="D23" s="31"/>
      <c r="E23" s="106"/>
      <c r="F23" s="31"/>
    </row>
    <row r="24" spans="1:9" ht="18.75" x14ac:dyDescent="0.25">
      <c r="A24" s="266">
        <v>1</v>
      </c>
      <c r="B24" s="31" t="s">
        <v>276</v>
      </c>
      <c r="C24" s="31"/>
      <c r="D24" s="31"/>
      <c r="E24" s="31"/>
      <c r="F24" s="31"/>
    </row>
    <row r="25" spans="1:9" x14ac:dyDescent="0.25">
      <c r="B25" s="31" t="s">
        <v>277</v>
      </c>
      <c r="C25" s="31"/>
      <c r="D25" s="31"/>
      <c r="E25" s="31"/>
      <c r="F25" s="31"/>
    </row>
    <row r="26" spans="1:9" x14ac:dyDescent="0.25">
      <c r="C26" s="31"/>
      <c r="D26" s="31"/>
      <c r="E26" s="31"/>
      <c r="F26" s="31"/>
    </row>
    <row r="27" spans="1:9" x14ac:dyDescent="0.25">
      <c r="C27" s="31"/>
      <c r="D27" s="31"/>
      <c r="E27" s="31"/>
      <c r="F27" s="3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Normal="100" workbookViewId="0">
      <selection activeCell="M14" sqref="M14"/>
    </sheetView>
  </sheetViews>
  <sheetFormatPr defaultColWidth="8.85546875" defaultRowHeight="15.75" x14ac:dyDescent="0.25"/>
  <cols>
    <col min="1" max="1" width="5.140625" style="4" bestFit="1" customWidth="1"/>
    <col min="2" max="2" width="78.42578125" style="31" customWidth="1"/>
    <col min="3" max="3" width="21.140625" style="31" customWidth="1"/>
    <col min="4" max="4" width="1.5703125" style="31" customWidth="1"/>
    <col min="5" max="5" width="16.85546875" style="31" customWidth="1"/>
    <col min="6" max="6" width="1.5703125" style="31" customWidth="1"/>
    <col min="7" max="7" width="44.85546875" style="31" customWidth="1"/>
    <col min="8" max="8" width="5.140625" style="31" customWidth="1"/>
    <col min="9" max="9" width="8.85546875" style="31"/>
    <col min="10" max="10" width="20.42578125" style="31" bestFit="1" customWidth="1"/>
    <col min="11" max="16384" width="8.85546875" style="31"/>
  </cols>
  <sheetData>
    <row r="1" spans="1:12" x14ac:dyDescent="0.25">
      <c r="G1" s="4"/>
      <c r="H1" s="4"/>
    </row>
    <row r="2" spans="1:12" x14ac:dyDescent="0.25">
      <c r="B2" s="1294" t="s">
        <v>0</v>
      </c>
      <c r="C2" s="1294"/>
      <c r="D2" s="1294"/>
      <c r="E2" s="1294"/>
      <c r="F2" s="1294"/>
      <c r="G2" s="1294"/>
      <c r="H2" s="4"/>
    </row>
    <row r="3" spans="1:12" x14ac:dyDescent="0.25">
      <c r="B3" s="1294" t="s">
        <v>455</v>
      </c>
      <c r="C3" s="1294"/>
      <c r="D3" s="1294"/>
      <c r="E3" s="1294"/>
      <c r="F3" s="1294"/>
      <c r="G3" s="1294"/>
      <c r="H3" s="4"/>
    </row>
    <row r="4" spans="1:12" x14ac:dyDescent="0.25">
      <c r="B4" s="1294" t="s">
        <v>456</v>
      </c>
      <c r="C4" s="1294"/>
      <c r="D4" s="1294"/>
      <c r="E4" s="1294"/>
      <c r="F4" s="1294"/>
      <c r="G4" s="1294"/>
      <c r="H4" s="4"/>
    </row>
    <row r="5" spans="1:12" x14ac:dyDescent="0.25">
      <c r="B5" s="1300" t="s">
        <v>1549</v>
      </c>
      <c r="C5" s="1300"/>
      <c r="D5" s="1300"/>
      <c r="E5" s="1300"/>
      <c r="F5" s="1300"/>
      <c r="G5" s="1300"/>
      <c r="H5" s="4"/>
      <c r="J5"/>
      <c r="K5"/>
      <c r="L5"/>
    </row>
    <row r="6" spans="1:12" x14ac:dyDescent="0.25">
      <c r="B6" s="1299" t="s">
        <v>4</v>
      </c>
      <c r="C6" s="1295"/>
      <c r="D6" s="1295"/>
      <c r="E6" s="1295"/>
      <c r="F6" s="1295"/>
      <c r="G6" s="1295"/>
      <c r="H6" s="4"/>
    </row>
    <row r="7" spans="1:12" x14ac:dyDescent="0.25">
      <c r="B7" s="4"/>
      <c r="C7" s="4"/>
      <c r="D7" s="4"/>
      <c r="E7" s="11"/>
      <c r="F7" s="11"/>
      <c r="G7" s="4"/>
      <c r="H7" s="4"/>
    </row>
    <row r="8" spans="1:12" x14ac:dyDescent="0.25">
      <c r="A8" s="4" t="s">
        <v>5</v>
      </c>
      <c r="B8" s="218"/>
      <c r="C8" s="4" t="s">
        <v>205</v>
      </c>
      <c r="D8" s="218"/>
      <c r="E8" s="357"/>
      <c r="F8" s="357"/>
      <c r="G8" s="4"/>
      <c r="H8" s="4" t="s">
        <v>5</v>
      </c>
    </row>
    <row r="9" spans="1:12" x14ac:dyDescent="0.25">
      <c r="A9" s="4" t="s">
        <v>6</v>
      </c>
      <c r="C9" s="849" t="s">
        <v>207</v>
      </c>
      <c r="D9" s="218"/>
      <c r="E9" s="850" t="s">
        <v>7</v>
      </c>
      <c r="F9" s="357"/>
      <c r="G9" s="849" t="s">
        <v>8</v>
      </c>
      <c r="H9" s="4" t="s">
        <v>6</v>
      </c>
    </row>
    <row r="10" spans="1:12" x14ac:dyDescent="0.25">
      <c r="C10" s="218"/>
      <c r="D10" s="218"/>
      <c r="E10" s="357"/>
      <c r="F10" s="357"/>
      <c r="G10" s="4"/>
      <c r="H10" s="4"/>
    </row>
    <row r="11" spans="1:12" x14ac:dyDescent="0.25">
      <c r="A11" s="4">
        <v>1</v>
      </c>
      <c r="B11" s="251" t="s">
        <v>457</v>
      </c>
      <c r="G11" s="4"/>
      <c r="H11" s="4">
        <f>A11</f>
        <v>1</v>
      </c>
    </row>
    <row r="12" spans="1:12" x14ac:dyDescent="0.25">
      <c r="A12" s="4">
        <f>+A11+1</f>
        <v>2</v>
      </c>
      <c r="B12" s="31" t="s">
        <v>458</v>
      </c>
      <c r="C12" s="4" t="s">
        <v>459</v>
      </c>
      <c r="E12" s="40">
        <f>'AH-1'!D43</f>
        <v>124467.228</v>
      </c>
      <c r="G12" s="4" t="s">
        <v>460</v>
      </c>
      <c r="H12" s="4">
        <f>+H11+1</f>
        <v>2</v>
      </c>
    </row>
    <row r="13" spans="1:12" x14ac:dyDescent="0.25">
      <c r="A13" s="4">
        <f t="shared" ref="A13:A60" si="0">+A12+1</f>
        <v>3</v>
      </c>
      <c r="B13" s="32" t="s">
        <v>1788</v>
      </c>
      <c r="E13" s="48"/>
      <c r="G13" s="4"/>
      <c r="H13" s="4">
        <f t="shared" ref="H13:H60" si="1">+H12+1</f>
        <v>3</v>
      </c>
    </row>
    <row r="14" spans="1:12" x14ac:dyDescent="0.25">
      <c r="A14" s="4">
        <f t="shared" si="0"/>
        <v>4</v>
      </c>
      <c r="B14" s="31" t="s">
        <v>1789</v>
      </c>
      <c r="C14" s="358"/>
      <c r="E14" s="42">
        <f>-'AH-1'!E51</f>
        <v>-2767.4720000000002</v>
      </c>
      <c r="G14" s="4" t="s">
        <v>1790</v>
      </c>
      <c r="H14" s="4">
        <f t="shared" si="1"/>
        <v>4</v>
      </c>
    </row>
    <row r="15" spans="1:12" x14ac:dyDescent="0.25">
      <c r="A15" s="4">
        <f t="shared" si="0"/>
        <v>5</v>
      </c>
      <c r="B15" s="31" t="s">
        <v>1791</v>
      </c>
      <c r="E15" s="42">
        <f>-'AH-1'!E52</f>
        <v>-1440.5550000000001</v>
      </c>
      <c r="G15" s="4" t="s">
        <v>1792</v>
      </c>
      <c r="H15" s="4">
        <f t="shared" si="1"/>
        <v>5</v>
      </c>
    </row>
    <row r="16" spans="1:12" x14ac:dyDescent="0.25">
      <c r="A16" s="4">
        <f t="shared" si="0"/>
        <v>6</v>
      </c>
      <c r="B16" s="31" t="s">
        <v>1793</v>
      </c>
      <c r="E16" s="42">
        <f>-'AH-1'!E53</f>
        <v>0</v>
      </c>
      <c r="G16" s="4" t="s">
        <v>1794</v>
      </c>
      <c r="H16" s="4">
        <f t="shared" si="1"/>
        <v>6</v>
      </c>
    </row>
    <row r="17" spans="1:10" x14ac:dyDescent="0.25">
      <c r="A17" s="4">
        <f t="shared" si="0"/>
        <v>7</v>
      </c>
      <c r="B17" s="31" t="s">
        <v>1795</v>
      </c>
      <c r="E17" s="42">
        <f>-'AH-1'!E59</f>
        <v>-2881.4657500000003</v>
      </c>
      <c r="G17" s="4" t="s">
        <v>1796</v>
      </c>
      <c r="H17" s="4">
        <f t="shared" si="1"/>
        <v>7</v>
      </c>
    </row>
    <row r="18" spans="1:10" x14ac:dyDescent="0.25">
      <c r="A18" s="4">
        <f t="shared" si="0"/>
        <v>8</v>
      </c>
      <c r="B18" s="31" t="s">
        <v>1797</v>
      </c>
      <c r="E18" s="921">
        <f>-SUM('True-up Stmt AH-1'!E47+'True-up Stmt AH-1'!D57+'True-up Stmt AH-1'!D58)</f>
        <v>-1738.614</v>
      </c>
      <c r="G18" s="4" t="s">
        <v>1798</v>
      </c>
      <c r="H18" s="4">
        <f t="shared" si="1"/>
        <v>8</v>
      </c>
    </row>
    <row r="19" spans="1:10" ht="16.5" thickBot="1" x14ac:dyDescent="0.3">
      <c r="A19" s="4">
        <f t="shared" si="0"/>
        <v>9</v>
      </c>
      <c r="B19" s="31" t="s">
        <v>461</v>
      </c>
      <c r="E19" s="96">
        <f>SUM(E12:E18)</f>
        <v>115639.12125000001</v>
      </c>
      <c r="G19" s="4" t="s">
        <v>1799</v>
      </c>
      <c r="H19" s="4">
        <f t="shared" si="1"/>
        <v>9</v>
      </c>
    </row>
    <row r="20" spans="1:10" ht="16.5" thickTop="1" x14ac:dyDescent="0.25">
      <c r="A20" s="4">
        <f t="shared" si="0"/>
        <v>10</v>
      </c>
      <c r="E20" s="6"/>
      <c r="H20" s="4">
        <f t="shared" si="1"/>
        <v>10</v>
      </c>
    </row>
    <row r="21" spans="1:10" x14ac:dyDescent="0.25">
      <c r="A21" s="4">
        <f t="shared" si="0"/>
        <v>11</v>
      </c>
      <c r="B21" s="250" t="s">
        <v>462</v>
      </c>
      <c r="E21" s="38"/>
      <c r="G21" s="4"/>
      <c r="H21" s="4">
        <f t="shared" si="1"/>
        <v>11</v>
      </c>
    </row>
    <row r="22" spans="1:10" x14ac:dyDescent="0.25">
      <c r="A22" s="4">
        <f t="shared" si="0"/>
        <v>12</v>
      </c>
      <c r="B22" s="32" t="s">
        <v>463</v>
      </c>
      <c r="C22" s="4" t="s">
        <v>464</v>
      </c>
      <c r="E22" s="40">
        <f>'True-Up AH-2'!D26</f>
        <v>626994.16997000016</v>
      </c>
      <c r="G22" s="4" t="s">
        <v>1822</v>
      </c>
      <c r="H22" s="4">
        <f t="shared" si="1"/>
        <v>12</v>
      </c>
    </row>
    <row r="23" spans="1:10" x14ac:dyDescent="0.25">
      <c r="A23" s="4">
        <f t="shared" si="0"/>
        <v>13</v>
      </c>
      <c r="B23" s="32" t="s">
        <v>1800</v>
      </c>
      <c r="E23" s="38" t="s">
        <v>1</v>
      </c>
      <c r="G23" s="4"/>
      <c r="H23" s="4">
        <f t="shared" si="1"/>
        <v>13</v>
      </c>
    </row>
    <row r="24" spans="1:10" x14ac:dyDescent="0.25">
      <c r="A24" s="4">
        <f t="shared" si="0"/>
        <v>14</v>
      </c>
      <c r="B24" s="32" t="s">
        <v>1801</v>
      </c>
      <c r="E24" s="42">
        <f>-'True-Up AH-2'!D44</f>
        <v>-908.44687999999996</v>
      </c>
      <c r="G24" s="4" t="s">
        <v>1823</v>
      </c>
      <c r="H24" s="4">
        <f t="shared" si="1"/>
        <v>14</v>
      </c>
    </row>
    <row r="25" spans="1:10" ht="31.5" x14ac:dyDescent="0.25">
      <c r="A25" s="4">
        <f t="shared" si="0"/>
        <v>15</v>
      </c>
      <c r="B25" s="32" t="s">
        <v>1802</v>
      </c>
      <c r="E25" s="42">
        <f>-SUM('True-Up AH-2'!D32+'True-Up AH-2'!D38+'True-Up AH-2'!E34)</f>
        <v>-1384.4115131900001</v>
      </c>
      <c r="G25" s="91" t="s">
        <v>1824</v>
      </c>
      <c r="H25" s="4">
        <f t="shared" si="1"/>
        <v>15</v>
      </c>
      <c r="I25" s="1200"/>
      <c r="J25" s="6"/>
    </row>
    <row r="26" spans="1:10" ht="18.75" x14ac:dyDescent="0.25">
      <c r="A26" s="4">
        <f t="shared" si="0"/>
        <v>16</v>
      </c>
      <c r="B26" s="32" t="s">
        <v>1803</v>
      </c>
      <c r="E26" s="42">
        <f>-'True-Up AH-2'!D40</f>
        <v>0</v>
      </c>
      <c r="G26" s="4" t="s">
        <v>1825</v>
      </c>
      <c r="H26" s="4">
        <f t="shared" si="1"/>
        <v>16</v>
      </c>
      <c r="I26" s="1200"/>
      <c r="J26" s="35"/>
    </row>
    <row r="27" spans="1:10" x14ac:dyDescent="0.25">
      <c r="A27" s="4">
        <f t="shared" si="0"/>
        <v>17</v>
      </c>
      <c r="B27" s="32" t="s">
        <v>1804</v>
      </c>
      <c r="E27" s="42">
        <f>-'True-Up AH-2'!D41</f>
        <v>-1267.5963200000001</v>
      </c>
      <c r="G27" s="4" t="s">
        <v>1826</v>
      </c>
      <c r="H27" s="4">
        <f t="shared" si="1"/>
        <v>17</v>
      </c>
    </row>
    <row r="28" spans="1:10" x14ac:dyDescent="0.25">
      <c r="A28" s="4">
        <f t="shared" si="0"/>
        <v>18</v>
      </c>
      <c r="B28" s="32" t="s">
        <v>1805</v>
      </c>
      <c r="E28" s="42">
        <f>-'True-Up AH-2'!D36</f>
        <v>-22096.966619999999</v>
      </c>
      <c r="G28" s="4" t="s">
        <v>1827</v>
      </c>
      <c r="H28" s="4">
        <f t="shared" si="1"/>
        <v>18</v>
      </c>
      <c r="J28" s="6"/>
    </row>
    <row r="29" spans="1:10" x14ac:dyDescent="0.25">
      <c r="A29" s="4">
        <f t="shared" si="0"/>
        <v>19</v>
      </c>
      <c r="B29" s="32" t="s">
        <v>1806</v>
      </c>
      <c r="E29" s="42">
        <v>0</v>
      </c>
      <c r="G29" s="91" t="s">
        <v>1487</v>
      </c>
      <c r="H29" s="4">
        <f>+H28+1</f>
        <v>19</v>
      </c>
      <c r="I29" s="1200"/>
      <c r="J29" s="6"/>
    </row>
    <row r="30" spans="1:10" x14ac:dyDescent="0.25">
      <c r="A30" s="4">
        <f t="shared" si="0"/>
        <v>20</v>
      </c>
      <c r="B30" s="32" t="s">
        <v>1807</v>
      </c>
      <c r="E30" s="42">
        <f>-'True-Up AH-2'!E43</f>
        <v>-55.474339999999998</v>
      </c>
      <c r="G30" s="91" t="s">
        <v>1828</v>
      </c>
      <c r="H30" s="4">
        <f>+H29+1</f>
        <v>20</v>
      </c>
      <c r="I30" s="1200"/>
    </row>
    <row r="31" spans="1:10" x14ac:dyDescent="0.25">
      <c r="A31" s="4">
        <f t="shared" si="0"/>
        <v>21</v>
      </c>
      <c r="B31" s="32" t="s">
        <v>1808</v>
      </c>
      <c r="E31" s="42">
        <f>-'True-Up AH-2'!E35</f>
        <v>-112751.95299999999</v>
      </c>
      <c r="G31" s="4" t="s">
        <v>1829</v>
      </c>
      <c r="H31" s="4">
        <f>+H30+1</f>
        <v>21</v>
      </c>
    </row>
    <row r="32" spans="1:10" x14ac:dyDescent="0.25">
      <c r="A32" s="4">
        <f t="shared" si="0"/>
        <v>22</v>
      </c>
      <c r="B32" s="32" t="s">
        <v>1809</v>
      </c>
      <c r="E32" s="42">
        <f>-'True-Up AH-2'!D46</f>
        <v>0</v>
      </c>
      <c r="G32" s="91" t="s">
        <v>1830</v>
      </c>
      <c r="H32" s="4">
        <f t="shared" ref="H32:H33" si="2">+H31+1</f>
        <v>22</v>
      </c>
    </row>
    <row r="33" spans="1:9" x14ac:dyDescent="0.25">
      <c r="A33" s="4">
        <f t="shared" si="0"/>
        <v>23</v>
      </c>
      <c r="B33" s="32" t="s">
        <v>1810</v>
      </c>
      <c r="E33" s="42">
        <f>-'True-Up AH-2'!D37</f>
        <v>-0.77205999999999997</v>
      </c>
      <c r="G33" s="91" t="s">
        <v>1831</v>
      </c>
      <c r="H33" s="4">
        <f t="shared" si="2"/>
        <v>23</v>
      </c>
    </row>
    <row r="34" spans="1:9" ht="31.5" x14ac:dyDescent="0.25">
      <c r="A34" s="4">
        <f t="shared" si="0"/>
        <v>24</v>
      </c>
      <c r="B34" s="32" t="s">
        <v>1811</v>
      </c>
      <c r="E34" s="908">
        <f>-SUM('True-Up AH-2'!D33+'True-Up AH-2'!D45+'True-Up AH-2'!E30+'True-Up AH-2'!E31+'True-Up AH-2'!E42+'True-Up AH-2'!D39+'True-Up AH-2'!D47)</f>
        <v>3928.8736539000001</v>
      </c>
      <c r="G34" s="91" t="s">
        <v>1832</v>
      </c>
      <c r="H34" s="4">
        <f>+H33+1</f>
        <v>24</v>
      </c>
    </row>
    <row r="35" spans="1:9" x14ac:dyDescent="0.25">
      <c r="A35" s="4">
        <f t="shared" si="0"/>
        <v>25</v>
      </c>
      <c r="B35" s="32" t="s">
        <v>466</v>
      </c>
      <c r="E35" s="48">
        <f>SUM(E22:E34)</f>
        <v>492457.4228907103</v>
      </c>
      <c r="G35" s="4" t="s">
        <v>1812</v>
      </c>
      <c r="H35" s="4">
        <f>+H34+1</f>
        <v>25</v>
      </c>
    </row>
    <row r="36" spans="1:9" x14ac:dyDescent="0.25">
      <c r="A36" s="4">
        <f t="shared" si="0"/>
        <v>26</v>
      </c>
      <c r="B36" s="32" t="s">
        <v>467</v>
      </c>
      <c r="E36" s="908">
        <f>-'True-Up AH-2'!F15</f>
        <v>-10584.239569999998</v>
      </c>
      <c r="G36" s="4" t="s">
        <v>1833</v>
      </c>
      <c r="H36" s="4">
        <f t="shared" ref="H36:H47" si="3">+H35+1</f>
        <v>26</v>
      </c>
    </row>
    <row r="37" spans="1:9" x14ac:dyDescent="0.25">
      <c r="A37" s="4">
        <f t="shared" si="0"/>
        <v>27</v>
      </c>
      <c r="B37" s="32" t="s">
        <v>469</v>
      </c>
      <c r="E37" s="48">
        <f>SUM(E35:E36)</f>
        <v>481873.18332071032</v>
      </c>
      <c r="G37" s="4" t="s">
        <v>1813</v>
      </c>
      <c r="H37" s="4">
        <f t="shared" si="3"/>
        <v>27</v>
      </c>
    </row>
    <row r="38" spans="1:9" x14ac:dyDescent="0.25">
      <c r="A38" s="4">
        <f t="shared" si="0"/>
        <v>28</v>
      </c>
      <c r="B38" s="31" t="s">
        <v>233</v>
      </c>
      <c r="E38" s="926">
        <f>+'True-Up Stmt AI'!E25</f>
        <v>0.20002998415514117</v>
      </c>
      <c r="G38" s="4" t="s">
        <v>234</v>
      </c>
      <c r="H38" s="4">
        <f t="shared" si="3"/>
        <v>28</v>
      </c>
    </row>
    <row r="39" spans="1:9" x14ac:dyDescent="0.25">
      <c r="A39" s="4">
        <f t="shared" si="0"/>
        <v>29</v>
      </c>
      <c r="B39" s="32" t="s">
        <v>470</v>
      </c>
      <c r="E39" s="911">
        <f>E37*E38</f>
        <v>96389.085224429116</v>
      </c>
      <c r="G39" s="4" t="s">
        <v>1667</v>
      </c>
      <c r="H39" s="4">
        <f t="shared" si="3"/>
        <v>29</v>
      </c>
    </row>
    <row r="40" spans="1:9" x14ac:dyDescent="0.25">
      <c r="A40" s="4">
        <f t="shared" si="0"/>
        <v>30</v>
      </c>
      <c r="B40" s="31" t="s">
        <v>471</v>
      </c>
      <c r="E40" s="925">
        <f>E60*(-E36)</f>
        <v>4100.9997881873715</v>
      </c>
      <c r="G40" s="4" t="s">
        <v>1814</v>
      </c>
      <c r="H40" s="4">
        <f t="shared" si="3"/>
        <v>30</v>
      </c>
    </row>
    <row r="41" spans="1:9" ht="16.5" thickBot="1" x14ac:dyDescent="0.3">
      <c r="A41" s="4">
        <f t="shared" si="0"/>
        <v>31</v>
      </c>
      <c r="B41" s="32" t="s">
        <v>472</v>
      </c>
      <c r="E41" s="24">
        <f>E40+E39</f>
        <v>100490.08501261649</v>
      </c>
      <c r="G41" s="4" t="s">
        <v>1815</v>
      </c>
      <c r="H41" s="4">
        <f t="shared" si="3"/>
        <v>31</v>
      </c>
      <c r="I41" s="32"/>
    </row>
    <row r="42" spans="1:9" ht="16.5" thickTop="1" x14ac:dyDescent="0.25">
      <c r="A42" s="4">
        <f t="shared" si="0"/>
        <v>32</v>
      </c>
      <c r="B42" s="340"/>
      <c r="E42" s="10"/>
      <c r="G42" s="4"/>
      <c r="H42" s="4">
        <f t="shared" si="3"/>
        <v>32</v>
      </c>
    </row>
    <row r="43" spans="1:9" x14ac:dyDescent="0.25">
      <c r="A43" s="4">
        <f t="shared" si="0"/>
        <v>33</v>
      </c>
      <c r="B43" s="250" t="s">
        <v>473</v>
      </c>
      <c r="E43" s="49"/>
      <c r="G43" s="4"/>
      <c r="H43" s="4">
        <f t="shared" si="3"/>
        <v>33</v>
      </c>
    </row>
    <row r="44" spans="1:9" x14ac:dyDescent="0.25">
      <c r="A44" s="4">
        <f t="shared" si="0"/>
        <v>34</v>
      </c>
      <c r="B44" s="32" t="s">
        <v>474</v>
      </c>
      <c r="E44" s="7">
        <f>'Stmt AD'!I35</f>
        <v>7990057.3968355898</v>
      </c>
      <c r="G44" s="4" t="s">
        <v>475</v>
      </c>
      <c r="H44" s="4">
        <f t="shared" si="3"/>
        <v>34</v>
      </c>
    </row>
    <row r="45" spans="1:9" x14ac:dyDescent="0.25">
      <c r="A45" s="4">
        <f t="shared" si="0"/>
        <v>35</v>
      </c>
      <c r="B45" s="32" t="s">
        <v>58</v>
      </c>
      <c r="E45" s="95">
        <v>0</v>
      </c>
      <c r="G45" s="4" t="s">
        <v>44</v>
      </c>
      <c r="H45" s="4">
        <f t="shared" si="3"/>
        <v>35</v>
      </c>
    </row>
    <row r="46" spans="1:9" x14ac:dyDescent="0.25">
      <c r="A46" s="4">
        <f t="shared" si="0"/>
        <v>36</v>
      </c>
      <c r="B46" s="32" t="s">
        <v>60</v>
      </c>
      <c r="E46" s="9">
        <f>'True Up Stmt AD'!I39</f>
        <v>118679.32221898218</v>
      </c>
      <c r="G46" s="4" t="s">
        <v>115</v>
      </c>
      <c r="H46" s="4">
        <f t="shared" si="3"/>
        <v>36</v>
      </c>
    </row>
    <row r="47" spans="1:9" x14ac:dyDescent="0.25">
      <c r="A47" s="4">
        <f t="shared" si="0"/>
        <v>37</v>
      </c>
      <c r="B47" s="32" t="s">
        <v>239</v>
      </c>
      <c r="E47" s="842">
        <f>'True Up Stmt AD'!I41</f>
        <v>336812.87323412113</v>
      </c>
      <c r="G47" s="4" t="s">
        <v>116</v>
      </c>
      <c r="H47" s="4">
        <f t="shared" si="3"/>
        <v>37</v>
      </c>
    </row>
    <row r="48" spans="1:9" ht="16.5" thickBot="1" x14ac:dyDescent="0.3">
      <c r="A48" s="4">
        <f t="shared" si="0"/>
        <v>38</v>
      </c>
      <c r="B48" s="32" t="s">
        <v>476</v>
      </c>
      <c r="E48" s="17">
        <f>SUM(E44:E47)</f>
        <v>8445549.5922886934</v>
      </c>
      <c r="G48" s="4" t="s">
        <v>1816</v>
      </c>
      <c r="H48" s="4">
        <f t="shared" si="1"/>
        <v>38</v>
      </c>
      <c r="I48" s="359"/>
    </row>
    <row r="49" spans="1:9" ht="16.5" thickTop="1" x14ac:dyDescent="0.25">
      <c r="A49" s="4">
        <f t="shared" si="0"/>
        <v>39</v>
      </c>
      <c r="B49" s="340"/>
      <c r="E49" s="6"/>
      <c r="G49" s="4"/>
      <c r="H49" s="4">
        <f t="shared" si="1"/>
        <v>39</v>
      </c>
    </row>
    <row r="50" spans="1:9" x14ac:dyDescent="0.25">
      <c r="A50" s="4">
        <f t="shared" si="0"/>
        <v>40</v>
      </c>
      <c r="B50" s="32" t="s">
        <v>235</v>
      </c>
      <c r="E50" s="35">
        <f>E44</f>
        <v>7990057.3968355898</v>
      </c>
      <c r="G50" s="46" t="s">
        <v>1817</v>
      </c>
      <c r="H50" s="4">
        <f>+H49+1</f>
        <v>40</v>
      </c>
    </row>
    <row r="51" spans="1:9" x14ac:dyDescent="0.25">
      <c r="A51" s="4">
        <f t="shared" si="0"/>
        <v>41</v>
      </c>
      <c r="B51" s="32" t="s">
        <v>477</v>
      </c>
      <c r="E51" s="12">
        <f>'Stmt AD'!I11</f>
        <v>584038.95358923054</v>
      </c>
      <c r="G51" s="4" t="s">
        <v>478</v>
      </c>
      <c r="H51" s="4">
        <f t="shared" ref="H51:H58" si="4">+H50+1</f>
        <v>41</v>
      </c>
    </row>
    <row r="52" spans="1:9" x14ac:dyDescent="0.25">
      <c r="A52" s="4">
        <f t="shared" si="0"/>
        <v>42</v>
      </c>
      <c r="B52" s="32" t="s">
        <v>479</v>
      </c>
      <c r="E52" s="95">
        <v>0</v>
      </c>
      <c r="G52" s="4" t="s">
        <v>44</v>
      </c>
      <c r="H52" s="4">
        <f t="shared" si="4"/>
        <v>42</v>
      </c>
    </row>
    <row r="53" spans="1:9" x14ac:dyDescent="0.25">
      <c r="A53" s="4">
        <f t="shared" si="0"/>
        <v>43</v>
      </c>
      <c r="B53" s="32" t="s">
        <v>480</v>
      </c>
      <c r="E53" s="12">
        <f>'Stmt AD'!I17</f>
        <v>554696.24298076914</v>
      </c>
      <c r="G53" s="4" t="s">
        <v>481</v>
      </c>
      <c r="H53" s="4">
        <f t="shared" si="4"/>
        <v>43</v>
      </c>
    </row>
    <row r="54" spans="1:9" x14ac:dyDescent="0.25">
      <c r="A54" s="4">
        <f t="shared" si="0"/>
        <v>44</v>
      </c>
      <c r="B54" s="32" t="s">
        <v>482</v>
      </c>
      <c r="E54" s="12">
        <f>'Stmt AD'!I19</f>
        <v>10391143.364777103</v>
      </c>
      <c r="G54" s="4" t="s">
        <v>483</v>
      </c>
      <c r="H54" s="4">
        <f t="shared" si="4"/>
        <v>44</v>
      </c>
    </row>
    <row r="55" spans="1:9" x14ac:dyDescent="0.25">
      <c r="A55" s="4">
        <f t="shared" si="0"/>
        <v>45</v>
      </c>
      <c r="B55" s="32" t="s">
        <v>58</v>
      </c>
      <c r="E55" s="95">
        <v>0</v>
      </c>
      <c r="G55" s="4" t="s">
        <v>44</v>
      </c>
      <c r="H55" s="4">
        <f t="shared" si="4"/>
        <v>45</v>
      </c>
    </row>
    <row r="56" spans="1:9" x14ac:dyDescent="0.25">
      <c r="A56" s="4">
        <f t="shared" si="0"/>
        <v>46</v>
      </c>
      <c r="B56" s="32" t="s">
        <v>484</v>
      </c>
      <c r="E56" s="12">
        <f>'Stmt AD'!I27</f>
        <v>593307.66194999916</v>
      </c>
      <c r="G56" s="4" t="s">
        <v>485</v>
      </c>
      <c r="H56" s="4">
        <f t="shared" si="4"/>
        <v>46</v>
      </c>
    </row>
    <row r="57" spans="1:9" x14ac:dyDescent="0.25">
      <c r="A57" s="4">
        <f t="shared" si="0"/>
        <v>47</v>
      </c>
      <c r="B57" s="32" t="s">
        <v>486</v>
      </c>
      <c r="E57" s="983">
        <f>'Stmt AD'!I29</f>
        <v>1683811.9277802501</v>
      </c>
      <c r="G57" s="4" t="s">
        <v>487</v>
      </c>
      <c r="H57" s="4">
        <f t="shared" si="4"/>
        <v>47</v>
      </c>
    </row>
    <row r="58" spans="1:9" ht="16.5" thickBot="1" x14ac:dyDescent="0.3">
      <c r="A58" s="4">
        <f t="shared" si="0"/>
        <v>48</v>
      </c>
      <c r="B58" s="32" t="s">
        <v>488</v>
      </c>
      <c r="E58" s="96">
        <f>SUM(E50:E57)</f>
        <v>21797055.54791294</v>
      </c>
      <c r="G58" s="4" t="s">
        <v>1818</v>
      </c>
      <c r="H58" s="4">
        <f t="shared" si="4"/>
        <v>48</v>
      </c>
      <c r="I58" s="359"/>
    </row>
    <row r="59" spans="1:9" ht="16.5" thickTop="1" x14ac:dyDescent="0.25">
      <c r="A59" s="4">
        <f t="shared" si="0"/>
        <v>49</v>
      </c>
      <c r="E59" s="70"/>
      <c r="G59" s="4"/>
      <c r="H59" s="4">
        <f t="shared" si="1"/>
        <v>49</v>
      </c>
    </row>
    <row r="60" spans="1:9" ht="16.5" thickBot="1" x14ac:dyDescent="0.3">
      <c r="A60" s="4">
        <f t="shared" si="0"/>
        <v>50</v>
      </c>
      <c r="B60" s="32" t="s">
        <v>489</v>
      </c>
      <c r="E60" s="51">
        <f>E48/E58</f>
        <v>0.38746286505185107</v>
      </c>
      <c r="G60" s="4" t="s">
        <v>1819</v>
      </c>
      <c r="H60" s="4">
        <f t="shared" si="1"/>
        <v>50</v>
      </c>
      <c r="I60" s="359"/>
    </row>
    <row r="61" spans="1:9" ht="16.5" thickTop="1" x14ac:dyDescent="0.25">
      <c r="B61" s="32" t="s">
        <v>1</v>
      </c>
      <c r="E61" s="75"/>
      <c r="G61" s="4"/>
      <c r="H61" s="4"/>
    </row>
    <row r="62" spans="1:9" x14ac:dyDescent="0.25">
      <c r="B62" s="32"/>
      <c r="E62" s="75"/>
      <c r="F62" s="75"/>
      <c r="G62" s="4"/>
      <c r="H62" s="4"/>
    </row>
    <row r="63" spans="1:9" ht="18.75" x14ac:dyDescent="0.25">
      <c r="A63" s="266">
        <v>1</v>
      </c>
      <c r="B63" s="32" t="s">
        <v>490</v>
      </c>
      <c r="H63" s="4"/>
    </row>
    <row r="64" spans="1:9" x14ac:dyDescent="0.25">
      <c r="B64" s="32" t="s">
        <v>491</v>
      </c>
      <c r="E64" s="70"/>
      <c r="F64" s="70"/>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4F2F-AECC-410E-B487-80296AA5B30C}">
  <sheetPr>
    <pageSetUpPr fitToPage="1"/>
  </sheetPr>
  <dimension ref="A1:L420"/>
  <sheetViews>
    <sheetView topLeftCell="A25" zoomScaleNormal="100" workbookViewId="0">
      <selection activeCell="E58" sqref="E58"/>
    </sheetView>
  </sheetViews>
  <sheetFormatPr defaultColWidth="13.42578125" defaultRowHeight="15.75" x14ac:dyDescent="0.25"/>
  <cols>
    <col min="1" max="1" width="5.28515625" style="4" customWidth="1"/>
    <col min="2" max="2" width="8.5703125" style="360" customWidth="1"/>
    <col min="3" max="3" width="63.7109375" style="31" customWidth="1"/>
    <col min="4" max="4" width="16.7109375" style="31" customWidth="1"/>
    <col min="5" max="5" width="16.7109375" style="6" customWidth="1"/>
    <col min="6" max="6" width="16.7109375" style="31" customWidth="1"/>
    <col min="7" max="7" width="35.7109375" style="31" customWidth="1"/>
    <col min="8" max="8" width="5.28515625" style="4" customWidth="1"/>
    <col min="9" max="16384" width="13.42578125" style="31"/>
  </cols>
  <sheetData>
    <row r="1" spans="1:11" x14ac:dyDescent="0.25">
      <c r="A1" s="218"/>
    </row>
    <row r="2" spans="1:11" s="1" customFormat="1" x14ac:dyDescent="0.25">
      <c r="A2" s="218"/>
      <c r="B2" s="1294" t="s">
        <v>0</v>
      </c>
      <c r="C2" s="1294"/>
      <c r="D2" s="1294"/>
      <c r="E2" s="1294"/>
      <c r="F2" s="1294"/>
      <c r="G2" s="1294"/>
      <c r="H2" s="218"/>
      <c r="J2"/>
      <c r="K2"/>
    </row>
    <row r="3" spans="1:11" s="1" customFormat="1" x14ac:dyDescent="0.25">
      <c r="A3" s="218"/>
      <c r="B3" s="1294" t="s">
        <v>492</v>
      </c>
      <c r="C3" s="1294"/>
      <c r="D3" s="1294"/>
      <c r="E3" s="1294"/>
      <c r="F3" s="1294"/>
      <c r="G3" s="1294"/>
      <c r="H3" s="218"/>
    </row>
    <row r="4" spans="1:11" s="1" customFormat="1" x14ac:dyDescent="0.25">
      <c r="A4" s="218"/>
      <c r="B4" s="1294" t="s">
        <v>1551</v>
      </c>
      <c r="C4" s="1294"/>
      <c r="D4" s="1294"/>
      <c r="E4" s="1294"/>
      <c r="F4" s="1294"/>
      <c r="G4" s="1294"/>
      <c r="H4" s="218"/>
      <c r="J4"/>
      <c r="K4"/>
    </row>
    <row r="5" spans="1:11" s="1" customFormat="1" x14ac:dyDescent="0.25">
      <c r="A5" s="218"/>
      <c r="B5" s="1299" t="s">
        <v>4</v>
      </c>
      <c r="C5" s="1299"/>
      <c r="D5" s="1299"/>
      <c r="E5" s="1299"/>
      <c r="F5" s="1299"/>
      <c r="G5" s="1299"/>
      <c r="H5" s="218"/>
    </row>
    <row r="6" spans="1:11" ht="16.5" thickBot="1" x14ac:dyDescent="0.3">
      <c r="A6" s="34"/>
      <c r="B6" s="361"/>
      <c r="C6" s="272"/>
      <c r="D6" s="272"/>
      <c r="E6" s="362"/>
      <c r="F6" s="272"/>
      <c r="G6" s="272"/>
    </row>
    <row r="7" spans="1:11" s="1" customFormat="1" x14ac:dyDescent="0.25">
      <c r="A7" s="4"/>
      <c r="B7" s="363"/>
      <c r="C7" s="364"/>
      <c r="D7" s="365" t="s">
        <v>184</v>
      </c>
      <c r="E7" s="366" t="s">
        <v>185</v>
      </c>
      <c r="F7" s="365" t="s">
        <v>493</v>
      </c>
      <c r="G7" s="367"/>
      <c r="H7" s="4"/>
    </row>
    <row r="8" spans="1:11" s="1" customFormat="1" x14ac:dyDescent="0.25">
      <c r="A8" s="4" t="s">
        <v>5</v>
      </c>
      <c r="B8" s="368" t="s">
        <v>449</v>
      </c>
      <c r="D8" s="270" t="s">
        <v>177</v>
      </c>
      <c r="E8" s="270" t="s">
        <v>494</v>
      </c>
      <c r="F8" s="270" t="s">
        <v>177</v>
      </c>
      <c r="G8" s="369"/>
      <c r="H8" s="4" t="s">
        <v>5</v>
      </c>
    </row>
    <row r="9" spans="1:11" s="1" customFormat="1" x14ac:dyDescent="0.25">
      <c r="A9" s="4" t="s">
        <v>6</v>
      </c>
      <c r="B9" s="370" t="s">
        <v>495</v>
      </c>
      <c r="C9" s="930" t="s">
        <v>306</v>
      </c>
      <c r="D9" s="275" t="s">
        <v>496</v>
      </c>
      <c r="E9" s="275" t="s">
        <v>497</v>
      </c>
      <c r="F9" s="275" t="s">
        <v>498</v>
      </c>
      <c r="G9" s="371" t="s">
        <v>8</v>
      </c>
      <c r="H9" s="4" t="s">
        <v>6</v>
      </c>
    </row>
    <row r="10" spans="1:11" s="1" customFormat="1" x14ac:dyDescent="0.25">
      <c r="A10" s="4"/>
      <c r="B10" s="372"/>
      <c r="C10" s="373" t="s">
        <v>499</v>
      </c>
      <c r="D10" s="984"/>
      <c r="E10" s="984"/>
      <c r="F10" s="984"/>
      <c r="G10" s="374"/>
      <c r="H10" s="4"/>
      <c r="J10" s="31"/>
      <c r="K10" s="31"/>
    </row>
    <row r="11" spans="1:11" s="1" customFormat="1" x14ac:dyDescent="0.25">
      <c r="A11" s="4">
        <v>1</v>
      </c>
      <c r="B11" s="375">
        <v>560</v>
      </c>
      <c r="C11" s="31" t="s">
        <v>500</v>
      </c>
      <c r="D11" s="232">
        <v>10109.646000000001</v>
      </c>
      <c r="E11" s="232">
        <f>E47</f>
        <v>115.52</v>
      </c>
      <c r="F11" s="232">
        <f t="shared" ref="F11:F25" si="0">D11-E11</f>
        <v>9994.1260000000002</v>
      </c>
      <c r="G11" s="376" t="s">
        <v>501</v>
      </c>
      <c r="H11" s="4">
        <f>A11</f>
        <v>1</v>
      </c>
      <c r="J11" s="31"/>
      <c r="K11" s="31"/>
    </row>
    <row r="12" spans="1:11" s="1" customFormat="1" x14ac:dyDescent="0.25">
      <c r="A12" s="4">
        <f>A11+1</f>
        <v>2</v>
      </c>
      <c r="B12" s="375">
        <v>561.1</v>
      </c>
      <c r="C12" s="31" t="s">
        <v>502</v>
      </c>
      <c r="D12" s="233">
        <v>565.95600000000002</v>
      </c>
      <c r="E12" s="233">
        <v>0</v>
      </c>
      <c r="F12" s="233">
        <f t="shared" si="0"/>
        <v>565.95600000000002</v>
      </c>
      <c r="G12" s="376" t="s">
        <v>503</v>
      </c>
      <c r="H12" s="4">
        <f>H11+1</f>
        <v>2</v>
      </c>
      <c r="J12" s="31"/>
      <c r="K12" s="31"/>
    </row>
    <row r="13" spans="1:11" s="1" customFormat="1" x14ac:dyDescent="0.25">
      <c r="A13" s="4">
        <f t="shared" ref="A13:A65" si="1">A12+1</f>
        <v>3</v>
      </c>
      <c r="B13" s="375">
        <v>561.20000000000005</v>
      </c>
      <c r="C13" s="31" t="s">
        <v>504</v>
      </c>
      <c r="D13" s="233">
        <v>1921.825</v>
      </c>
      <c r="E13" s="233">
        <v>0</v>
      </c>
      <c r="F13" s="233">
        <f t="shared" si="0"/>
        <v>1921.825</v>
      </c>
      <c r="G13" s="376" t="s">
        <v>505</v>
      </c>
      <c r="H13" s="4">
        <f t="shared" ref="H13:H65" si="2">H12+1</f>
        <v>3</v>
      </c>
      <c r="J13" s="31"/>
      <c r="K13" s="31"/>
    </row>
    <row r="14" spans="1:11" s="1" customFormat="1" x14ac:dyDescent="0.25">
      <c r="A14" s="4">
        <f t="shared" si="1"/>
        <v>4</v>
      </c>
      <c r="B14" s="375">
        <v>561.29999999999995</v>
      </c>
      <c r="C14" s="31" t="s">
        <v>506</v>
      </c>
      <c r="D14" s="233">
        <v>274.32499999999999</v>
      </c>
      <c r="E14" s="233">
        <v>0</v>
      </c>
      <c r="F14" s="233">
        <f t="shared" si="0"/>
        <v>274.32499999999999</v>
      </c>
      <c r="G14" s="376" t="s">
        <v>507</v>
      </c>
      <c r="H14" s="4">
        <f t="shared" si="2"/>
        <v>4</v>
      </c>
      <c r="J14" s="31"/>
      <c r="K14" s="31"/>
    </row>
    <row r="15" spans="1:11" s="1" customFormat="1" ht="17.25" customHeight="1" x14ac:dyDescent="0.25">
      <c r="A15" s="4">
        <f t="shared" si="1"/>
        <v>5</v>
      </c>
      <c r="B15" s="375">
        <v>561.4</v>
      </c>
      <c r="C15" s="31" t="s">
        <v>508</v>
      </c>
      <c r="D15" s="233">
        <v>2767.4720000000002</v>
      </c>
      <c r="E15" s="6">
        <f>E48</f>
        <v>2767.4720000000002</v>
      </c>
      <c r="F15" s="233">
        <f t="shared" si="0"/>
        <v>0</v>
      </c>
      <c r="G15" s="376" t="s">
        <v>509</v>
      </c>
      <c r="H15" s="4">
        <f t="shared" si="2"/>
        <v>5</v>
      </c>
      <c r="J15" s="31"/>
      <c r="K15" s="31"/>
    </row>
    <row r="16" spans="1:11" s="1" customFormat="1" x14ac:dyDescent="0.25">
      <c r="A16" s="4">
        <f t="shared" si="1"/>
        <v>6</v>
      </c>
      <c r="B16" s="375">
        <v>561.5</v>
      </c>
      <c r="C16" s="31" t="s">
        <v>510</v>
      </c>
      <c r="D16" s="233">
        <v>141.84</v>
      </c>
      <c r="E16" s="233">
        <v>0</v>
      </c>
      <c r="F16" s="233">
        <f t="shared" si="0"/>
        <v>141.84</v>
      </c>
      <c r="G16" s="376" t="s">
        <v>511</v>
      </c>
      <c r="H16" s="4">
        <f t="shared" si="2"/>
        <v>6</v>
      </c>
      <c r="J16" s="31"/>
      <c r="K16" s="31"/>
    </row>
    <row r="17" spans="1:11" s="1" customFormat="1" x14ac:dyDescent="0.25">
      <c r="A17" s="4">
        <f t="shared" si="1"/>
        <v>7</v>
      </c>
      <c r="B17" s="375">
        <v>561.6</v>
      </c>
      <c r="C17" s="31" t="s">
        <v>512</v>
      </c>
      <c r="D17" s="233">
        <v>0</v>
      </c>
      <c r="E17" s="233">
        <v>0</v>
      </c>
      <c r="F17" s="233">
        <f t="shared" si="0"/>
        <v>0</v>
      </c>
      <c r="G17" s="376" t="s">
        <v>513</v>
      </c>
      <c r="H17" s="4">
        <f t="shared" si="2"/>
        <v>7</v>
      </c>
      <c r="J17" s="31"/>
      <c r="K17" s="31"/>
    </row>
    <row r="18" spans="1:11" s="1" customFormat="1" x14ac:dyDescent="0.25">
      <c r="A18" s="4">
        <f t="shared" si="1"/>
        <v>8</v>
      </c>
      <c r="B18" s="375">
        <v>561.70000000000005</v>
      </c>
      <c r="C18" s="31" t="s">
        <v>514</v>
      </c>
      <c r="D18" s="233">
        <v>0</v>
      </c>
      <c r="E18" s="233">
        <v>0</v>
      </c>
      <c r="F18" s="233">
        <f t="shared" si="0"/>
        <v>0</v>
      </c>
      <c r="G18" s="985" t="s">
        <v>515</v>
      </c>
      <c r="H18" s="4">
        <f t="shared" si="2"/>
        <v>8</v>
      </c>
      <c r="J18" s="31"/>
      <c r="K18" s="31"/>
    </row>
    <row r="19" spans="1:11" s="1" customFormat="1" x14ac:dyDescent="0.25">
      <c r="A19" s="4">
        <f t="shared" si="1"/>
        <v>9</v>
      </c>
      <c r="B19" s="375">
        <v>561.79999999999995</v>
      </c>
      <c r="C19" s="31" t="s">
        <v>516</v>
      </c>
      <c r="D19" s="233">
        <v>2508.1060000000002</v>
      </c>
      <c r="E19" s="6">
        <f>E49</f>
        <v>1440.5550000000001</v>
      </c>
      <c r="F19" s="233">
        <f t="shared" si="0"/>
        <v>1067.5510000000002</v>
      </c>
      <c r="G19" s="985" t="s">
        <v>517</v>
      </c>
      <c r="H19" s="4">
        <f t="shared" si="2"/>
        <v>9</v>
      </c>
      <c r="J19" s="31"/>
      <c r="K19" s="31"/>
    </row>
    <row r="20" spans="1:11" s="1" customFormat="1" ht="15" customHeight="1" x14ac:dyDescent="0.25">
      <c r="A20" s="4">
        <f t="shared" si="1"/>
        <v>10</v>
      </c>
      <c r="B20" s="375">
        <v>562</v>
      </c>
      <c r="C20" s="31" t="s">
        <v>518</v>
      </c>
      <c r="D20" s="233">
        <v>12718.573</v>
      </c>
      <c r="E20" s="233">
        <v>0</v>
      </c>
      <c r="F20" s="233">
        <f t="shared" si="0"/>
        <v>12718.573</v>
      </c>
      <c r="G20" s="985" t="s">
        <v>519</v>
      </c>
      <c r="H20" s="4">
        <f t="shared" si="2"/>
        <v>10</v>
      </c>
      <c r="J20" s="31"/>
      <c r="K20" s="31"/>
    </row>
    <row r="21" spans="1:11" s="1" customFormat="1" x14ac:dyDescent="0.25">
      <c r="A21" s="4">
        <f t="shared" si="1"/>
        <v>11</v>
      </c>
      <c r="B21" s="375">
        <v>563</v>
      </c>
      <c r="C21" s="31" t="s">
        <v>520</v>
      </c>
      <c r="D21" s="233">
        <v>10371.396000000001</v>
      </c>
      <c r="E21" s="233">
        <v>0</v>
      </c>
      <c r="F21" s="233">
        <f t="shared" si="0"/>
        <v>10371.396000000001</v>
      </c>
      <c r="G21" s="985" t="s">
        <v>521</v>
      </c>
      <c r="H21" s="4">
        <f t="shared" si="2"/>
        <v>11</v>
      </c>
      <c r="J21" s="31"/>
      <c r="K21" s="31"/>
    </row>
    <row r="22" spans="1:11" s="1" customFormat="1" x14ac:dyDescent="0.25">
      <c r="A22" s="4">
        <f>A21+1</f>
        <v>12</v>
      </c>
      <c r="B22" s="375">
        <v>564</v>
      </c>
      <c r="C22" s="31" t="s">
        <v>522</v>
      </c>
      <c r="D22" s="233">
        <v>11.574</v>
      </c>
      <c r="E22" s="233">
        <v>0</v>
      </c>
      <c r="F22" s="233">
        <f t="shared" si="0"/>
        <v>11.574</v>
      </c>
      <c r="G22" s="985" t="s">
        <v>523</v>
      </c>
      <c r="H22" s="4">
        <f>H21+1</f>
        <v>12</v>
      </c>
      <c r="J22" s="31"/>
      <c r="K22" s="31"/>
    </row>
    <row r="23" spans="1:11" s="1" customFormat="1" x14ac:dyDescent="0.25">
      <c r="A23" s="4">
        <f t="shared" si="1"/>
        <v>13</v>
      </c>
      <c r="B23" s="375">
        <v>565</v>
      </c>
      <c r="C23" s="31" t="s">
        <v>524</v>
      </c>
      <c r="D23" s="233">
        <v>0</v>
      </c>
      <c r="E23" s="233">
        <v>0</v>
      </c>
      <c r="F23" s="233">
        <f t="shared" si="0"/>
        <v>0</v>
      </c>
      <c r="G23" s="985" t="s">
        <v>525</v>
      </c>
      <c r="H23" s="4">
        <f t="shared" si="2"/>
        <v>13</v>
      </c>
      <c r="J23" s="31"/>
      <c r="K23" s="31"/>
    </row>
    <row r="24" spans="1:11" s="1" customFormat="1" x14ac:dyDescent="0.25">
      <c r="A24" s="4">
        <f t="shared" si="1"/>
        <v>14</v>
      </c>
      <c r="B24" s="375">
        <v>566</v>
      </c>
      <c r="C24" s="31" t="s">
        <v>526</v>
      </c>
      <c r="D24" s="233">
        <v>17850.218000000001</v>
      </c>
      <c r="E24" s="6">
        <f>E56</f>
        <v>2881.4657500000003</v>
      </c>
      <c r="F24" s="233">
        <f t="shared" si="0"/>
        <v>14968.752250000001</v>
      </c>
      <c r="G24" s="985" t="s">
        <v>527</v>
      </c>
      <c r="H24" s="4">
        <f t="shared" si="2"/>
        <v>14</v>
      </c>
      <c r="J24" s="31"/>
      <c r="K24" s="31"/>
    </row>
    <row r="25" spans="1:11" s="1" customFormat="1" x14ac:dyDescent="0.25">
      <c r="A25" s="4">
        <f>A24+1</f>
        <v>15</v>
      </c>
      <c r="B25" s="375">
        <v>567</v>
      </c>
      <c r="C25" s="31" t="s">
        <v>528</v>
      </c>
      <c r="D25" s="94">
        <v>3938.6669999999999</v>
      </c>
      <c r="E25" s="94">
        <v>0</v>
      </c>
      <c r="F25" s="94">
        <f t="shared" si="0"/>
        <v>3938.6669999999999</v>
      </c>
      <c r="G25" s="985" t="s">
        <v>529</v>
      </c>
      <c r="H25" s="4">
        <f t="shared" si="2"/>
        <v>15</v>
      </c>
      <c r="J25" s="31"/>
      <c r="K25" s="31"/>
    </row>
    <row r="26" spans="1:11" s="1" customFormat="1" x14ac:dyDescent="0.25">
      <c r="A26" s="4">
        <f>A25+1</f>
        <v>16</v>
      </c>
      <c r="B26" s="375"/>
      <c r="C26" s="31"/>
      <c r="D26" s="233"/>
      <c r="E26" s="6"/>
      <c r="F26" s="233"/>
      <c r="G26" s="376"/>
      <c r="H26" s="4">
        <f>H25+1</f>
        <v>16</v>
      </c>
      <c r="J26" s="31"/>
      <c r="K26" s="31"/>
    </row>
    <row r="27" spans="1:11" s="1" customFormat="1" ht="16.5" thickBot="1" x14ac:dyDescent="0.3">
      <c r="A27" s="4">
        <f>A26+1</f>
        <v>17</v>
      </c>
      <c r="B27" s="377"/>
      <c r="C27" s="986" t="s">
        <v>530</v>
      </c>
      <c r="D27" s="97">
        <f>SUM(D11:D25)</f>
        <v>63179.598000000005</v>
      </c>
      <c r="E27" s="987">
        <f>SUM(E11:E25)</f>
        <v>7205.0127500000008</v>
      </c>
      <c r="F27" s="97">
        <f>SUM(F11:F25)</f>
        <v>55974.585250000004</v>
      </c>
      <c r="G27" s="988" t="str">
        <f>"Sum Lines "&amp;A11&amp;" thru "&amp;A25</f>
        <v>Sum Lines 1 thru 15</v>
      </c>
      <c r="H27" s="4">
        <f>H26+1</f>
        <v>17</v>
      </c>
      <c r="J27" s="31"/>
      <c r="K27" s="31"/>
    </row>
    <row r="28" spans="1:11" s="1" customFormat="1" x14ac:dyDescent="0.25">
      <c r="A28" s="4">
        <f t="shared" si="1"/>
        <v>18</v>
      </c>
      <c r="B28" s="378"/>
      <c r="C28" s="31"/>
      <c r="D28" s="989"/>
      <c r="E28" s="98"/>
      <c r="F28" s="989"/>
      <c r="G28" s="985"/>
      <c r="H28" s="4">
        <f t="shared" si="2"/>
        <v>18</v>
      </c>
      <c r="J28" s="31"/>
      <c r="K28" s="31"/>
    </row>
    <row r="29" spans="1:11" s="1" customFormat="1" x14ac:dyDescent="0.25">
      <c r="A29" s="4">
        <f t="shared" si="1"/>
        <v>19</v>
      </c>
      <c r="B29" s="372"/>
      <c r="C29" s="373" t="s">
        <v>531</v>
      </c>
      <c r="D29" s="989"/>
      <c r="E29" s="98"/>
      <c r="F29" s="989"/>
      <c r="G29" s="985"/>
      <c r="H29" s="4">
        <f t="shared" si="2"/>
        <v>19</v>
      </c>
      <c r="J29" s="31"/>
      <c r="K29" s="31"/>
    </row>
    <row r="30" spans="1:11" s="1" customFormat="1" x14ac:dyDescent="0.25">
      <c r="A30" s="4">
        <f t="shared" si="1"/>
        <v>20</v>
      </c>
      <c r="B30" s="375">
        <v>568</v>
      </c>
      <c r="C30" s="31" t="s">
        <v>532</v>
      </c>
      <c r="D30" s="232">
        <v>2904.3609999999999</v>
      </c>
      <c r="E30" s="232">
        <v>0</v>
      </c>
      <c r="F30" s="232">
        <f t="shared" ref="F30:F39" si="3">D30-E30</f>
        <v>2904.3609999999999</v>
      </c>
      <c r="G30" s="985" t="s">
        <v>533</v>
      </c>
      <c r="H30" s="4">
        <f t="shared" si="2"/>
        <v>20</v>
      </c>
      <c r="J30" s="31"/>
      <c r="K30" s="31"/>
    </row>
    <row r="31" spans="1:11" s="1" customFormat="1" x14ac:dyDescent="0.25">
      <c r="A31" s="4">
        <f t="shared" si="1"/>
        <v>21</v>
      </c>
      <c r="B31" s="375">
        <v>569</v>
      </c>
      <c r="C31" s="31" t="s">
        <v>534</v>
      </c>
      <c r="D31" s="233">
        <v>547.48299999999995</v>
      </c>
      <c r="E31" s="6">
        <v>0</v>
      </c>
      <c r="F31" s="233">
        <f t="shared" si="3"/>
        <v>547.48299999999995</v>
      </c>
      <c r="G31" s="985" t="s">
        <v>535</v>
      </c>
      <c r="H31" s="4">
        <f t="shared" si="2"/>
        <v>21</v>
      </c>
      <c r="J31" s="31"/>
      <c r="K31" s="31"/>
    </row>
    <row r="32" spans="1:11" s="1" customFormat="1" x14ac:dyDescent="0.25">
      <c r="A32" s="4">
        <f t="shared" si="1"/>
        <v>22</v>
      </c>
      <c r="B32" s="375">
        <v>569.1</v>
      </c>
      <c r="C32" s="31" t="s">
        <v>536</v>
      </c>
      <c r="D32" s="233">
        <v>1336.528</v>
      </c>
      <c r="E32" s="6">
        <v>0</v>
      </c>
      <c r="F32" s="233">
        <f t="shared" si="3"/>
        <v>1336.528</v>
      </c>
      <c r="G32" s="985" t="s">
        <v>537</v>
      </c>
      <c r="H32" s="4">
        <f t="shared" si="2"/>
        <v>22</v>
      </c>
      <c r="J32" s="31"/>
      <c r="K32" s="31"/>
    </row>
    <row r="33" spans="1:11" s="1" customFormat="1" x14ac:dyDescent="0.25">
      <c r="A33" s="4">
        <f t="shared" si="1"/>
        <v>23</v>
      </c>
      <c r="B33" s="375">
        <v>569.20000000000005</v>
      </c>
      <c r="C33" s="31" t="s">
        <v>538</v>
      </c>
      <c r="D33" s="233">
        <v>1948.4169999999999</v>
      </c>
      <c r="E33" s="6">
        <v>0</v>
      </c>
      <c r="F33" s="233">
        <f t="shared" si="3"/>
        <v>1948.4169999999999</v>
      </c>
      <c r="G33" s="985" t="s">
        <v>539</v>
      </c>
      <c r="H33" s="4">
        <f t="shared" si="2"/>
        <v>23</v>
      </c>
      <c r="J33" s="31"/>
      <c r="K33" s="31"/>
    </row>
    <row r="34" spans="1:11" s="1" customFormat="1" x14ac:dyDescent="0.25">
      <c r="A34" s="4">
        <f t="shared" si="1"/>
        <v>24</v>
      </c>
      <c r="B34" s="375">
        <v>569.29999999999995</v>
      </c>
      <c r="C34" s="31" t="s">
        <v>540</v>
      </c>
      <c r="D34" s="233">
        <v>0</v>
      </c>
      <c r="E34" s="6">
        <v>0</v>
      </c>
      <c r="F34" s="233">
        <f t="shared" si="3"/>
        <v>0</v>
      </c>
      <c r="G34" s="985" t="s">
        <v>541</v>
      </c>
      <c r="H34" s="4">
        <f t="shared" si="2"/>
        <v>24</v>
      </c>
      <c r="J34" s="31"/>
      <c r="K34" s="31"/>
    </row>
    <row r="35" spans="1:11" s="1" customFormat="1" x14ac:dyDescent="0.25">
      <c r="A35" s="4">
        <f t="shared" si="1"/>
        <v>25</v>
      </c>
      <c r="B35" s="375">
        <v>569.4</v>
      </c>
      <c r="C35" s="31" t="s">
        <v>542</v>
      </c>
      <c r="D35" s="233">
        <v>131.28399999999999</v>
      </c>
      <c r="E35" s="6">
        <v>0</v>
      </c>
      <c r="F35" s="233">
        <f t="shared" si="3"/>
        <v>131.28399999999999</v>
      </c>
      <c r="G35" s="985" t="s">
        <v>543</v>
      </c>
      <c r="H35" s="4">
        <f t="shared" si="2"/>
        <v>25</v>
      </c>
      <c r="J35" s="31"/>
      <c r="K35" s="31"/>
    </row>
    <row r="36" spans="1:11" s="1" customFormat="1" x14ac:dyDescent="0.25">
      <c r="A36" s="4">
        <f t="shared" si="1"/>
        <v>26</v>
      </c>
      <c r="B36" s="375">
        <v>570</v>
      </c>
      <c r="C36" s="31" t="s">
        <v>544</v>
      </c>
      <c r="D36" s="233">
        <v>18953.580999999998</v>
      </c>
      <c r="E36" s="6">
        <f>+E58</f>
        <v>1623.0940000000001</v>
      </c>
      <c r="F36" s="233">
        <f t="shared" si="3"/>
        <v>17330.486999999997</v>
      </c>
      <c r="G36" s="985" t="s">
        <v>545</v>
      </c>
      <c r="H36" s="4">
        <f t="shared" si="2"/>
        <v>26</v>
      </c>
      <c r="J36" s="31"/>
      <c r="K36" s="31"/>
    </row>
    <row r="37" spans="1:11" s="1" customFormat="1" x14ac:dyDescent="0.25">
      <c r="A37" s="4">
        <f t="shared" si="1"/>
        <v>27</v>
      </c>
      <c r="B37" s="375">
        <v>571</v>
      </c>
      <c r="C37" s="31" t="s">
        <v>546</v>
      </c>
      <c r="D37" s="233">
        <v>33837.959000000003</v>
      </c>
      <c r="E37" s="6">
        <v>0</v>
      </c>
      <c r="F37" s="233">
        <f t="shared" si="3"/>
        <v>33837.959000000003</v>
      </c>
      <c r="G37" s="985" t="s">
        <v>547</v>
      </c>
      <c r="H37" s="4">
        <f t="shared" si="2"/>
        <v>27</v>
      </c>
      <c r="I37" s="2"/>
      <c r="J37" s="31"/>
      <c r="K37" s="31"/>
    </row>
    <row r="38" spans="1:11" s="1" customFormat="1" x14ac:dyDescent="0.25">
      <c r="A38" s="4">
        <f t="shared" si="1"/>
        <v>28</v>
      </c>
      <c r="B38" s="375">
        <v>572</v>
      </c>
      <c r="C38" s="31" t="s">
        <v>548</v>
      </c>
      <c r="D38" s="233">
        <v>1591.7819999999999</v>
      </c>
      <c r="E38" s="6">
        <v>0</v>
      </c>
      <c r="F38" s="233">
        <f t="shared" si="3"/>
        <v>1591.7819999999999</v>
      </c>
      <c r="G38" s="376" t="s">
        <v>549</v>
      </c>
      <c r="H38" s="4">
        <f t="shared" si="2"/>
        <v>28</v>
      </c>
      <c r="I38" s="2"/>
      <c r="J38" s="31"/>
      <c r="K38" s="31"/>
    </row>
    <row r="39" spans="1:11" s="1" customFormat="1" x14ac:dyDescent="0.25">
      <c r="A39" s="4">
        <f t="shared" si="1"/>
        <v>29</v>
      </c>
      <c r="B39" s="375">
        <v>573</v>
      </c>
      <c r="C39" s="31" t="s">
        <v>550</v>
      </c>
      <c r="D39" s="233">
        <v>36.234999999999999</v>
      </c>
      <c r="E39" s="94">
        <v>0</v>
      </c>
      <c r="F39" s="94">
        <f t="shared" si="3"/>
        <v>36.234999999999999</v>
      </c>
      <c r="G39" s="376" t="s">
        <v>551</v>
      </c>
      <c r="H39" s="4">
        <f t="shared" si="2"/>
        <v>29</v>
      </c>
      <c r="I39" s="3"/>
      <c r="J39" s="31"/>
      <c r="K39" s="31"/>
    </row>
    <row r="40" spans="1:11" s="1" customFormat="1" x14ac:dyDescent="0.25">
      <c r="A40" s="4">
        <f t="shared" si="1"/>
        <v>30</v>
      </c>
      <c r="B40" s="375"/>
      <c r="C40" s="31"/>
      <c r="D40" s="990"/>
      <c r="E40" s="6"/>
      <c r="F40" s="990"/>
      <c r="G40" s="376"/>
      <c r="H40" s="4">
        <f t="shared" si="2"/>
        <v>30</v>
      </c>
      <c r="J40" s="31"/>
      <c r="K40" s="31"/>
    </row>
    <row r="41" spans="1:11" s="1" customFormat="1" x14ac:dyDescent="0.25">
      <c r="A41" s="4">
        <f t="shared" si="1"/>
        <v>31</v>
      </c>
      <c r="B41" s="378"/>
      <c r="C41" s="259" t="s">
        <v>552</v>
      </c>
      <c r="D41" s="232">
        <f>SUM(D30:D39)</f>
        <v>61287.63</v>
      </c>
      <c r="E41" s="232">
        <f>SUM(E30:E39)</f>
        <v>1623.0940000000001</v>
      </c>
      <c r="F41" s="232">
        <f>SUM(F30:F39)</f>
        <v>59664.536</v>
      </c>
      <c r="G41" s="376" t="str">
        <f>"Sum Lines "&amp;A30&amp;" thru "&amp;A39</f>
        <v>Sum Lines 20 thru 29</v>
      </c>
      <c r="H41" s="4">
        <f t="shared" si="2"/>
        <v>31</v>
      </c>
      <c r="J41" s="31"/>
      <c r="K41" s="31"/>
    </row>
    <row r="42" spans="1:11" s="1" customFormat="1" x14ac:dyDescent="0.25">
      <c r="A42" s="4">
        <f t="shared" si="1"/>
        <v>32</v>
      </c>
      <c r="B42" s="378"/>
      <c r="C42" s="31"/>
      <c r="D42" s="980"/>
      <c r="E42" s="980"/>
      <c r="F42" s="980"/>
      <c r="G42" s="376"/>
      <c r="H42" s="4">
        <f t="shared" si="2"/>
        <v>32</v>
      </c>
      <c r="J42" s="31"/>
      <c r="K42" s="31"/>
    </row>
    <row r="43" spans="1:11" s="1" customFormat="1" ht="16.5" thickBot="1" x14ac:dyDescent="0.3">
      <c r="A43" s="4">
        <f t="shared" si="1"/>
        <v>33</v>
      </c>
      <c r="B43" s="368"/>
      <c r="C43" s="1" t="s">
        <v>553</v>
      </c>
      <c r="D43" s="99">
        <f>D27+D41</f>
        <v>124467.228</v>
      </c>
      <c r="E43" s="99">
        <f>+E27+E41</f>
        <v>8828.1067500000008</v>
      </c>
      <c r="F43" s="99">
        <f>+F27+F41</f>
        <v>115639.12125</v>
      </c>
      <c r="G43" s="376" t="str">
        <f>"Line "&amp;A27&amp;" + Line "&amp;A41</f>
        <v>Line 17 + Line 31</v>
      </c>
      <c r="H43" s="4">
        <f t="shared" si="2"/>
        <v>33</v>
      </c>
      <c r="J43" s="31"/>
      <c r="K43" s="31"/>
    </row>
    <row r="44" spans="1:11" ht="17.25" thickTop="1" thickBot="1" x14ac:dyDescent="0.3">
      <c r="A44" s="4">
        <f t="shared" si="1"/>
        <v>34</v>
      </c>
      <c r="B44" s="379"/>
      <c r="C44" s="863"/>
      <c r="D44" s="100"/>
      <c r="E44" s="100"/>
      <c r="F44" s="100"/>
      <c r="G44" s="196"/>
      <c r="H44" s="4">
        <f t="shared" si="2"/>
        <v>34</v>
      </c>
    </row>
    <row r="45" spans="1:11" x14ac:dyDescent="0.25">
      <c r="A45" s="4">
        <f t="shared" si="1"/>
        <v>35</v>
      </c>
      <c r="B45" s="380"/>
      <c r="D45" s="98"/>
      <c r="E45" s="98"/>
      <c r="F45" s="98"/>
      <c r="G45" s="381"/>
      <c r="H45" s="4">
        <f>H44+1</f>
        <v>35</v>
      </c>
    </row>
    <row r="46" spans="1:11" x14ac:dyDescent="0.25">
      <c r="A46" s="4">
        <f t="shared" si="1"/>
        <v>36</v>
      </c>
      <c r="B46" s="382" t="s">
        <v>554</v>
      </c>
      <c r="D46" s="98"/>
      <c r="E46" s="98"/>
      <c r="F46" s="98"/>
      <c r="G46" s="381"/>
      <c r="H46" s="4">
        <f t="shared" si="2"/>
        <v>36</v>
      </c>
    </row>
    <row r="47" spans="1:11" x14ac:dyDescent="0.25">
      <c r="A47" s="4">
        <f t="shared" si="1"/>
        <v>37</v>
      </c>
      <c r="B47" s="380" t="s">
        <v>555</v>
      </c>
      <c r="C47" s="31" t="s">
        <v>1929</v>
      </c>
      <c r="D47" s="98"/>
      <c r="E47" s="35">
        <v>115.52</v>
      </c>
      <c r="F47" s="98"/>
      <c r="G47" s="381"/>
      <c r="H47" s="4">
        <f t="shared" si="2"/>
        <v>37</v>
      </c>
      <c r="I47"/>
      <c r="J47"/>
      <c r="K47"/>
    </row>
    <row r="48" spans="1:11" x14ac:dyDescent="0.25">
      <c r="A48" s="4">
        <f t="shared" si="1"/>
        <v>38</v>
      </c>
      <c r="B48" s="380" t="s">
        <v>556</v>
      </c>
      <c r="C48" s="31" t="s">
        <v>557</v>
      </c>
      <c r="D48" s="98"/>
      <c r="E48" s="6">
        <v>2767.4720000000002</v>
      </c>
      <c r="G48" s="381"/>
      <c r="H48" s="4">
        <f t="shared" si="2"/>
        <v>38</v>
      </c>
    </row>
    <row r="49" spans="1:12" x14ac:dyDescent="0.25">
      <c r="A49" s="4">
        <f t="shared" si="1"/>
        <v>39</v>
      </c>
      <c r="B49" s="380">
        <v>561.79999999999995</v>
      </c>
      <c r="C49" s="31" t="s">
        <v>558</v>
      </c>
      <c r="D49" s="98"/>
      <c r="E49" s="6">
        <v>1440.5550000000001</v>
      </c>
      <c r="G49" s="381"/>
      <c r="H49" s="4">
        <f t="shared" si="2"/>
        <v>39</v>
      </c>
    </row>
    <row r="50" spans="1:12" x14ac:dyDescent="0.25">
      <c r="A50" s="4">
        <f t="shared" si="1"/>
        <v>40</v>
      </c>
      <c r="B50" s="380">
        <v>565</v>
      </c>
      <c r="C50" s="31" t="s">
        <v>559</v>
      </c>
      <c r="D50" s="98"/>
      <c r="E50" s="6">
        <v>0</v>
      </c>
      <c r="F50" s="101"/>
      <c r="G50" s="381"/>
      <c r="H50" s="4">
        <f t="shared" si="2"/>
        <v>40</v>
      </c>
    </row>
    <row r="51" spans="1:12" x14ac:dyDescent="0.25">
      <c r="A51" s="4">
        <f t="shared" si="1"/>
        <v>41</v>
      </c>
      <c r="B51" s="380" t="s">
        <v>560</v>
      </c>
      <c r="C51" s="31" t="s">
        <v>561</v>
      </c>
      <c r="D51" s="35">
        <v>0</v>
      </c>
      <c r="F51" s="98"/>
      <c r="G51" s="381"/>
      <c r="H51" s="4">
        <f t="shared" si="2"/>
        <v>41</v>
      </c>
    </row>
    <row r="52" spans="1:12" x14ac:dyDescent="0.25">
      <c r="A52" s="4">
        <f t="shared" si="1"/>
        <v>42</v>
      </c>
      <c r="B52" s="380"/>
      <c r="C52" s="31" t="s">
        <v>562</v>
      </c>
      <c r="D52" s="6">
        <v>5.7439999999999998</v>
      </c>
      <c r="F52" s="98"/>
      <c r="G52" s="381"/>
      <c r="H52" s="4">
        <f t="shared" si="2"/>
        <v>42</v>
      </c>
    </row>
    <row r="53" spans="1:12" x14ac:dyDescent="0.25">
      <c r="A53" s="4">
        <f t="shared" si="1"/>
        <v>43</v>
      </c>
      <c r="B53" s="380"/>
      <c r="C53" s="31" t="s">
        <v>563</v>
      </c>
      <c r="D53" s="6">
        <v>850.52300000000002</v>
      </c>
      <c r="F53" s="98"/>
      <c r="G53" s="381"/>
      <c r="H53" s="4">
        <f t="shared" si="2"/>
        <v>43</v>
      </c>
      <c r="K53" s="1171"/>
      <c r="L53"/>
    </row>
    <row r="54" spans="1:12" x14ac:dyDescent="0.25">
      <c r="A54" s="4">
        <f t="shared" si="1"/>
        <v>44</v>
      </c>
      <c r="B54" s="380"/>
      <c r="C54" s="31" t="s">
        <v>564</v>
      </c>
      <c r="D54" s="6">
        <v>249.04400000000001</v>
      </c>
      <c r="F54" s="98"/>
      <c r="G54" s="381"/>
      <c r="H54" s="4">
        <f t="shared" si="2"/>
        <v>44</v>
      </c>
      <c r="K54" s="439"/>
      <c r="L54"/>
    </row>
    <row r="55" spans="1:12" x14ac:dyDescent="0.25">
      <c r="A55" s="4">
        <f t="shared" si="1"/>
        <v>45</v>
      </c>
      <c r="B55" s="380"/>
      <c r="C55" s="31" t="s">
        <v>565</v>
      </c>
      <c r="D55" s="6">
        <v>609.37900000000002</v>
      </c>
      <c r="E55" s="31"/>
      <c r="F55" s="101"/>
      <c r="G55" s="381"/>
      <c r="H55" s="4">
        <f t="shared" si="2"/>
        <v>45</v>
      </c>
      <c r="J55" s="681"/>
      <c r="K55"/>
      <c r="L55" s="5"/>
    </row>
    <row r="56" spans="1:12" ht="18.75" x14ac:dyDescent="0.25">
      <c r="A56" s="4">
        <f t="shared" si="1"/>
        <v>46</v>
      </c>
      <c r="B56" s="380"/>
      <c r="C56" s="31" t="s">
        <v>1715</v>
      </c>
      <c r="D56" s="877">
        <v>1166.77575</v>
      </c>
      <c r="E56" s="922">
        <f>SUM(D51:D56)</f>
        <v>2881.4657500000003</v>
      </c>
      <c r="F56" s="101"/>
      <c r="G56" s="381"/>
      <c r="H56" s="4">
        <f t="shared" si="2"/>
        <v>46</v>
      </c>
      <c r="J56" s="681"/>
      <c r="K56" s="1172"/>
      <c r="L56"/>
    </row>
    <row r="57" spans="1:12" x14ac:dyDescent="0.25">
      <c r="A57" s="4">
        <f t="shared" si="1"/>
        <v>47</v>
      </c>
      <c r="B57" s="380" t="s">
        <v>2046</v>
      </c>
      <c r="C57" s="31" t="s">
        <v>2047</v>
      </c>
      <c r="D57" s="6">
        <v>84.296000000000006</v>
      </c>
      <c r="E57" s="31"/>
      <c r="F57" s="101"/>
      <c r="G57" s="381"/>
      <c r="H57" s="4">
        <f t="shared" si="2"/>
        <v>47</v>
      </c>
      <c r="J57" s="681"/>
      <c r="K57" s="1172"/>
      <c r="L57"/>
    </row>
    <row r="58" spans="1:12" x14ac:dyDescent="0.25">
      <c r="A58" s="4">
        <f t="shared" si="1"/>
        <v>48</v>
      </c>
      <c r="B58" s="380"/>
      <c r="C58" s="31" t="s">
        <v>2048</v>
      </c>
      <c r="D58" s="877">
        <v>1538.798</v>
      </c>
      <c r="E58" s="922">
        <f>SUM(D57:D58)</f>
        <v>1623.0940000000001</v>
      </c>
      <c r="F58" s="101"/>
      <c r="G58" s="381"/>
      <c r="H58" s="4">
        <f t="shared" si="2"/>
        <v>48</v>
      </c>
      <c r="J58" s="681"/>
      <c r="K58" s="1172"/>
      <c r="L58"/>
    </row>
    <row r="59" spans="1:12" x14ac:dyDescent="0.25">
      <c r="A59" s="4">
        <f t="shared" si="1"/>
        <v>49</v>
      </c>
      <c r="B59" s="380"/>
      <c r="D59" s="6"/>
      <c r="F59" s="98"/>
      <c r="G59" s="381"/>
      <c r="H59" s="4">
        <f t="shared" si="2"/>
        <v>49</v>
      </c>
    </row>
    <row r="60" spans="1:12" ht="16.5" thickBot="1" x14ac:dyDescent="0.3">
      <c r="A60" s="4">
        <f t="shared" si="1"/>
        <v>50</v>
      </c>
      <c r="B60" s="383"/>
      <c r="C60" s="1" t="s">
        <v>566</v>
      </c>
      <c r="D60" s="98"/>
      <c r="E60" s="102">
        <f>SUM(E47:E59)</f>
        <v>8828.1067500000008</v>
      </c>
      <c r="F60" s="98"/>
      <c r="G60" s="381"/>
      <c r="H60" s="4">
        <f t="shared" si="2"/>
        <v>50</v>
      </c>
    </row>
    <row r="61" spans="1:12" ht="16.5" thickTop="1" x14ac:dyDescent="0.25">
      <c r="A61" s="4">
        <f t="shared" si="1"/>
        <v>51</v>
      </c>
      <c r="B61" s="383"/>
      <c r="C61" s="1"/>
      <c r="D61" s="98"/>
      <c r="E61" s="43"/>
      <c r="F61" s="98"/>
      <c r="G61" s="381"/>
      <c r="H61" s="4">
        <f t="shared" si="2"/>
        <v>51</v>
      </c>
    </row>
    <row r="62" spans="1:12" x14ac:dyDescent="0.25">
      <c r="A62" s="4">
        <f t="shared" si="1"/>
        <v>52</v>
      </c>
      <c r="B62" s="383"/>
      <c r="C62" s="1"/>
      <c r="D62" s="98"/>
      <c r="E62" s="43"/>
      <c r="F62" s="98"/>
      <c r="G62" s="381"/>
      <c r="H62" s="4">
        <f t="shared" si="2"/>
        <v>52</v>
      </c>
    </row>
    <row r="63" spans="1:12" ht="18.75" x14ac:dyDescent="0.25">
      <c r="A63" s="4">
        <f t="shared" si="1"/>
        <v>53</v>
      </c>
      <c r="B63" s="406">
        <v>1</v>
      </c>
      <c r="C63" s="1100" t="s">
        <v>1515</v>
      </c>
      <c r="D63" s="98"/>
      <c r="E63" s="43"/>
      <c r="F63" s="98"/>
      <c r="G63" s="381"/>
      <c r="H63" s="4">
        <f t="shared" si="2"/>
        <v>53</v>
      </c>
    </row>
    <row r="64" spans="1:12" x14ac:dyDescent="0.25">
      <c r="A64" s="4">
        <f t="shared" si="1"/>
        <v>54</v>
      </c>
      <c r="B64" s="383"/>
      <c r="C64" s="1100" t="s">
        <v>1514</v>
      </c>
      <c r="D64" s="98"/>
      <c r="E64" s="43"/>
      <c r="F64" s="98"/>
      <c r="G64" s="381"/>
      <c r="H64" s="4">
        <f t="shared" si="2"/>
        <v>54</v>
      </c>
    </row>
    <row r="65" spans="1:8" ht="16.5" thickBot="1" x14ac:dyDescent="0.3">
      <c r="A65" s="4">
        <f t="shared" si="1"/>
        <v>55</v>
      </c>
      <c r="B65" s="384"/>
      <c r="C65" s="863"/>
      <c r="D65" s="863"/>
      <c r="E65" s="894"/>
      <c r="F65" s="863"/>
      <c r="G65" s="196"/>
      <c r="H65" s="4">
        <f t="shared" si="2"/>
        <v>55</v>
      </c>
    </row>
    <row r="66" spans="1:8" x14ac:dyDescent="0.25">
      <c r="B66" s="385"/>
    </row>
    <row r="67" spans="1:8" x14ac:dyDescent="0.25">
      <c r="B67" s="385"/>
    </row>
    <row r="68" spans="1:8" x14ac:dyDescent="0.25">
      <c r="B68" s="385"/>
    </row>
    <row r="69" spans="1:8" x14ac:dyDescent="0.25">
      <c r="B69" s="385"/>
    </row>
    <row r="70" spans="1:8" x14ac:dyDescent="0.25">
      <c r="B70" s="385"/>
    </row>
    <row r="71" spans="1:8" x14ac:dyDescent="0.25">
      <c r="B71" s="385"/>
    </row>
    <row r="72" spans="1:8" x14ac:dyDescent="0.25">
      <c r="B72" s="385"/>
    </row>
    <row r="73" spans="1:8" x14ac:dyDescent="0.25">
      <c r="B73" s="385"/>
    </row>
    <row r="74" spans="1:8" x14ac:dyDescent="0.25">
      <c r="B74" s="385"/>
    </row>
    <row r="75" spans="1:8" x14ac:dyDescent="0.25">
      <c r="B75" s="385"/>
    </row>
    <row r="76" spans="1:8" x14ac:dyDescent="0.25">
      <c r="B76" s="385"/>
    </row>
    <row r="77" spans="1:8" x14ac:dyDescent="0.25">
      <c r="B77" s="385"/>
    </row>
    <row r="78" spans="1:8" x14ac:dyDescent="0.25">
      <c r="B78" s="385"/>
    </row>
    <row r="79" spans="1:8" x14ac:dyDescent="0.25">
      <c r="B79" s="385"/>
    </row>
    <row r="80" spans="1:8" x14ac:dyDescent="0.25">
      <c r="B80" s="385"/>
    </row>
    <row r="81" spans="2:5" x14ac:dyDescent="0.25">
      <c r="B81" s="385"/>
      <c r="E81" s="31"/>
    </row>
    <row r="82" spans="2:5" x14ac:dyDescent="0.25">
      <c r="B82" s="385"/>
      <c r="E82" s="31"/>
    </row>
    <row r="83" spans="2:5" x14ac:dyDescent="0.25">
      <c r="B83" s="385"/>
      <c r="E83" s="31"/>
    </row>
    <row r="84" spans="2:5" x14ac:dyDescent="0.25">
      <c r="B84" s="385"/>
      <c r="E84" s="31"/>
    </row>
    <row r="85" spans="2:5" x14ac:dyDescent="0.25">
      <c r="B85" s="385"/>
      <c r="E85" s="31"/>
    </row>
    <row r="86" spans="2:5" x14ac:dyDescent="0.25">
      <c r="B86" s="385"/>
      <c r="E86" s="31"/>
    </row>
    <row r="87" spans="2:5" x14ac:dyDescent="0.25">
      <c r="B87" s="385"/>
      <c r="E87" s="31"/>
    </row>
    <row r="88" spans="2:5" x14ac:dyDescent="0.25">
      <c r="B88" s="385"/>
      <c r="E88" s="31"/>
    </row>
    <row r="89" spans="2:5" x14ac:dyDescent="0.25">
      <c r="B89" s="385"/>
      <c r="E89" s="31"/>
    </row>
    <row r="90" spans="2:5" x14ac:dyDescent="0.25">
      <c r="B90" s="385"/>
      <c r="E90" s="31"/>
    </row>
    <row r="91" spans="2:5" x14ac:dyDescent="0.25">
      <c r="B91" s="385"/>
      <c r="E91" s="31"/>
    </row>
    <row r="92" spans="2:5" x14ac:dyDescent="0.25">
      <c r="B92" s="385"/>
      <c r="E92" s="31"/>
    </row>
    <row r="93" spans="2:5" x14ac:dyDescent="0.25">
      <c r="B93" s="385"/>
      <c r="E93" s="31"/>
    </row>
    <row r="94" spans="2:5" x14ac:dyDescent="0.25">
      <c r="B94" s="385"/>
      <c r="E94" s="31"/>
    </row>
    <row r="95" spans="2:5" x14ac:dyDescent="0.25">
      <c r="B95" s="385"/>
      <c r="E95" s="31"/>
    </row>
    <row r="96" spans="2:5" x14ac:dyDescent="0.25">
      <c r="B96" s="385"/>
      <c r="E96" s="31"/>
    </row>
    <row r="97" spans="2:5" x14ac:dyDescent="0.25">
      <c r="B97" s="385"/>
      <c r="E97" s="31"/>
    </row>
    <row r="98" spans="2:5" x14ac:dyDescent="0.25">
      <c r="B98" s="385"/>
      <c r="E98" s="31"/>
    </row>
    <row r="99" spans="2:5" x14ac:dyDescent="0.25">
      <c r="B99" s="385"/>
      <c r="E99" s="31"/>
    </row>
    <row r="100" spans="2:5" x14ac:dyDescent="0.25">
      <c r="B100" s="385"/>
      <c r="E100" s="31"/>
    </row>
    <row r="101" spans="2:5" x14ac:dyDescent="0.25">
      <c r="B101" s="385"/>
      <c r="E101" s="31"/>
    </row>
    <row r="102" spans="2:5" x14ac:dyDescent="0.25">
      <c r="B102" s="385"/>
      <c r="E102" s="31"/>
    </row>
    <row r="103" spans="2:5" x14ac:dyDescent="0.25">
      <c r="B103" s="385"/>
      <c r="E103" s="31"/>
    </row>
    <row r="104" spans="2:5" x14ac:dyDescent="0.25">
      <c r="B104" s="385"/>
      <c r="E104" s="31"/>
    </row>
    <row r="105" spans="2:5" x14ac:dyDescent="0.25">
      <c r="B105" s="385"/>
      <c r="E105" s="31"/>
    </row>
    <row r="106" spans="2:5" x14ac:dyDescent="0.25">
      <c r="B106" s="385"/>
      <c r="E106" s="31"/>
    </row>
    <row r="107" spans="2:5" x14ac:dyDescent="0.25">
      <c r="B107" s="385"/>
      <c r="E107" s="31"/>
    </row>
    <row r="108" spans="2:5" x14ac:dyDescent="0.25">
      <c r="B108" s="385"/>
      <c r="E108" s="31"/>
    </row>
    <row r="109" spans="2:5" x14ac:dyDescent="0.25">
      <c r="B109" s="385"/>
      <c r="E109" s="31"/>
    </row>
    <row r="110" spans="2:5" x14ac:dyDescent="0.25">
      <c r="B110" s="385"/>
      <c r="E110" s="31"/>
    </row>
    <row r="111" spans="2:5" x14ac:dyDescent="0.25">
      <c r="B111" s="385"/>
      <c r="E111" s="31"/>
    </row>
    <row r="112" spans="2:5" x14ac:dyDescent="0.25">
      <c r="B112" s="385"/>
      <c r="E112" s="31"/>
    </row>
    <row r="113" spans="2:5" x14ac:dyDescent="0.25">
      <c r="B113" s="385"/>
      <c r="E113" s="31"/>
    </row>
    <row r="114" spans="2:5" x14ac:dyDescent="0.25">
      <c r="B114" s="385"/>
      <c r="E114" s="31"/>
    </row>
    <row r="115" spans="2:5" x14ac:dyDescent="0.25">
      <c r="B115" s="385"/>
      <c r="E115" s="31"/>
    </row>
    <row r="116" spans="2:5" x14ac:dyDescent="0.25">
      <c r="B116" s="385"/>
      <c r="E116" s="31"/>
    </row>
    <row r="117" spans="2:5" x14ac:dyDescent="0.25">
      <c r="B117" s="385"/>
      <c r="E117" s="31"/>
    </row>
    <row r="118" spans="2:5" x14ac:dyDescent="0.25">
      <c r="B118" s="385"/>
      <c r="E118" s="31"/>
    </row>
    <row r="119" spans="2:5" x14ac:dyDescent="0.25">
      <c r="B119" s="385"/>
      <c r="E119" s="31"/>
    </row>
    <row r="120" spans="2:5" x14ac:dyDescent="0.25">
      <c r="B120" s="385"/>
      <c r="E120" s="31"/>
    </row>
    <row r="121" spans="2:5" x14ac:dyDescent="0.25">
      <c r="B121" s="385"/>
      <c r="E121" s="31"/>
    </row>
    <row r="122" spans="2:5" x14ac:dyDescent="0.25">
      <c r="B122" s="385"/>
      <c r="E122" s="31"/>
    </row>
    <row r="123" spans="2:5" x14ac:dyDescent="0.25">
      <c r="B123" s="385"/>
      <c r="E123" s="31"/>
    </row>
    <row r="124" spans="2:5" x14ac:dyDescent="0.25">
      <c r="B124" s="385"/>
      <c r="E124" s="31"/>
    </row>
    <row r="125" spans="2:5" x14ac:dyDescent="0.25">
      <c r="B125" s="385"/>
      <c r="E125" s="31"/>
    </row>
    <row r="126" spans="2:5" x14ac:dyDescent="0.25">
      <c r="B126" s="385"/>
      <c r="E126" s="31"/>
    </row>
    <row r="127" spans="2:5" x14ac:dyDescent="0.25">
      <c r="B127" s="385"/>
      <c r="E127" s="31"/>
    </row>
    <row r="128" spans="2:5" x14ac:dyDescent="0.25">
      <c r="B128" s="385"/>
      <c r="E128" s="31"/>
    </row>
    <row r="129" spans="2:5" x14ac:dyDescent="0.25">
      <c r="B129" s="385"/>
      <c r="E129" s="31"/>
    </row>
    <row r="130" spans="2:5" x14ac:dyDescent="0.25">
      <c r="B130" s="385"/>
      <c r="E130" s="31"/>
    </row>
    <row r="131" spans="2:5" x14ac:dyDescent="0.25">
      <c r="B131" s="385"/>
      <c r="E131" s="31"/>
    </row>
    <row r="132" spans="2:5" x14ac:dyDescent="0.25">
      <c r="B132" s="385"/>
      <c r="E132" s="31"/>
    </row>
    <row r="133" spans="2:5" x14ac:dyDescent="0.25">
      <c r="B133" s="385"/>
      <c r="E133" s="31"/>
    </row>
    <row r="134" spans="2:5" x14ac:dyDescent="0.25">
      <c r="B134" s="385"/>
      <c r="E134" s="31"/>
    </row>
    <row r="135" spans="2:5" x14ac:dyDescent="0.25">
      <c r="B135" s="385"/>
      <c r="E135" s="31"/>
    </row>
    <row r="136" spans="2:5" x14ac:dyDescent="0.25">
      <c r="B136" s="385"/>
      <c r="E136" s="31"/>
    </row>
    <row r="137" spans="2:5" x14ac:dyDescent="0.25">
      <c r="B137" s="385"/>
      <c r="E137" s="31"/>
    </row>
    <row r="138" spans="2:5" x14ac:dyDescent="0.25">
      <c r="B138" s="385"/>
      <c r="E138" s="31"/>
    </row>
    <row r="139" spans="2:5" x14ac:dyDescent="0.25">
      <c r="B139" s="385"/>
      <c r="E139" s="31"/>
    </row>
    <row r="140" spans="2:5" x14ac:dyDescent="0.25">
      <c r="B140" s="385"/>
      <c r="E140" s="31"/>
    </row>
    <row r="141" spans="2:5" x14ac:dyDescent="0.25">
      <c r="B141" s="385"/>
      <c r="E141" s="31"/>
    </row>
    <row r="142" spans="2:5" x14ac:dyDescent="0.25">
      <c r="B142" s="385"/>
      <c r="E142" s="31"/>
    </row>
    <row r="143" spans="2:5" x14ac:dyDescent="0.25">
      <c r="B143" s="385"/>
      <c r="E143" s="31"/>
    </row>
    <row r="144" spans="2:5" x14ac:dyDescent="0.25">
      <c r="B144" s="385"/>
      <c r="E144" s="31"/>
    </row>
    <row r="145" spans="2:5" x14ac:dyDescent="0.25">
      <c r="B145" s="385"/>
      <c r="E145" s="31"/>
    </row>
    <row r="146" spans="2:5" x14ac:dyDescent="0.25">
      <c r="B146" s="385"/>
      <c r="E146" s="31"/>
    </row>
    <row r="147" spans="2:5" x14ac:dyDescent="0.25">
      <c r="B147" s="385"/>
      <c r="E147" s="31"/>
    </row>
    <row r="148" spans="2:5" x14ac:dyDescent="0.25">
      <c r="B148" s="385"/>
      <c r="E148" s="31"/>
    </row>
    <row r="149" spans="2:5" x14ac:dyDescent="0.25">
      <c r="B149" s="385"/>
      <c r="E149" s="31"/>
    </row>
    <row r="150" spans="2:5" x14ac:dyDescent="0.25">
      <c r="B150" s="385"/>
      <c r="E150" s="31"/>
    </row>
    <row r="151" spans="2:5" x14ac:dyDescent="0.25">
      <c r="B151" s="385"/>
      <c r="E151" s="31"/>
    </row>
    <row r="152" spans="2:5" x14ac:dyDescent="0.25">
      <c r="B152" s="385"/>
      <c r="E152" s="31"/>
    </row>
    <row r="153" spans="2:5" x14ac:dyDescent="0.25">
      <c r="B153" s="385"/>
      <c r="E153" s="31"/>
    </row>
    <row r="154" spans="2:5" x14ac:dyDescent="0.25">
      <c r="B154" s="385"/>
      <c r="E154" s="31"/>
    </row>
    <row r="155" spans="2:5" x14ac:dyDescent="0.25">
      <c r="B155" s="385"/>
      <c r="E155" s="31"/>
    </row>
    <row r="156" spans="2:5" x14ac:dyDescent="0.25">
      <c r="B156" s="385"/>
      <c r="E156" s="31"/>
    </row>
    <row r="157" spans="2:5" x14ac:dyDescent="0.25">
      <c r="B157" s="385"/>
      <c r="E157" s="31"/>
    </row>
    <row r="158" spans="2:5" x14ac:dyDescent="0.25">
      <c r="B158" s="385"/>
      <c r="E158" s="31"/>
    </row>
    <row r="159" spans="2:5" x14ac:dyDescent="0.25">
      <c r="B159" s="385"/>
      <c r="E159" s="31"/>
    </row>
    <row r="160" spans="2:5" x14ac:dyDescent="0.25">
      <c r="B160" s="385"/>
      <c r="E160" s="31"/>
    </row>
    <row r="161" spans="2:5" x14ac:dyDescent="0.25">
      <c r="B161" s="385"/>
      <c r="E161" s="31"/>
    </row>
    <row r="162" spans="2:5" x14ac:dyDescent="0.25">
      <c r="B162" s="385"/>
      <c r="E162" s="31"/>
    </row>
    <row r="163" spans="2:5" x14ac:dyDescent="0.25">
      <c r="B163" s="385"/>
      <c r="E163" s="31"/>
    </row>
    <row r="164" spans="2:5" x14ac:dyDescent="0.25">
      <c r="B164" s="385"/>
      <c r="E164" s="31"/>
    </row>
    <row r="165" spans="2:5" x14ac:dyDescent="0.25">
      <c r="B165" s="385"/>
      <c r="E165" s="31"/>
    </row>
    <row r="166" spans="2:5" x14ac:dyDescent="0.25">
      <c r="B166" s="385"/>
      <c r="E166" s="31"/>
    </row>
    <row r="167" spans="2:5" x14ac:dyDescent="0.25">
      <c r="B167" s="385"/>
      <c r="E167" s="31"/>
    </row>
    <row r="168" spans="2:5" x14ac:dyDescent="0.25">
      <c r="B168" s="385"/>
      <c r="E168" s="31"/>
    </row>
    <row r="169" spans="2:5" x14ac:dyDescent="0.25">
      <c r="B169" s="385"/>
      <c r="E169" s="31"/>
    </row>
    <row r="170" spans="2:5" x14ac:dyDescent="0.25">
      <c r="B170" s="385"/>
      <c r="E170" s="31"/>
    </row>
    <row r="171" spans="2:5" x14ac:dyDescent="0.25">
      <c r="B171" s="385"/>
      <c r="E171" s="31"/>
    </row>
    <row r="172" spans="2:5" x14ac:dyDescent="0.25">
      <c r="B172" s="385"/>
      <c r="E172" s="31"/>
    </row>
    <row r="173" spans="2:5" x14ac:dyDescent="0.25">
      <c r="B173" s="385"/>
      <c r="E173" s="31"/>
    </row>
    <row r="174" spans="2:5" x14ac:dyDescent="0.25">
      <c r="B174" s="385"/>
      <c r="E174" s="31"/>
    </row>
    <row r="175" spans="2:5" x14ac:dyDescent="0.25">
      <c r="B175" s="385"/>
      <c r="E175" s="31"/>
    </row>
    <row r="176" spans="2:5" x14ac:dyDescent="0.25">
      <c r="B176" s="385"/>
      <c r="E176" s="31"/>
    </row>
    <row r="177" spans="2:5" x14ac:dyDescent="0.25">
      <c r="B177" s="385"/>
      <c r="E177" s="31"/>
    </row>
    <row r="178" spans="2:5" x14ac:dyDescent="0.25">
      <c r="B178" s="385"/>
      <c r="E178" s="31"/>
    </row>
    <row r="179" spans="2:5" x14ac:dyDescent="0.25">
      <c r="B179" s="385"/>
      <c r="E179" s="31"/>
    </row>
    <row r="180" spans="2:5" x14ac:dyDescent="0.25">
      <c r="B180" s="385"/>
      <c r="E180" s="31"/>
    </row>
    <row r="181" spans="2:5" x14ac:dyDescent="0.25">
      <c r="B181" s="385"/>
      <c r="E181" s="31"/>
    </row>
    <row r="182" spans="2:5" x14ac:dyDescent="0.25">
      <c r="B182" s="385"/>
      <c r="E182" s="31"/>
    </row>
    <row r="183" spans="2:5" x14ac:dyDescent="0.25">
      <c r="B183" s="385"/>
      <c r="E183" s="31"/>
    </row>
    <row r="184" spans="2:5" x14ac:dyDescent="0.25">
      <c r="B184" s="385"/>
      <c r="E184" s="31"/>
    </row>
    <row r="185" spans="2:5" x14ac:dyDescent="0.25">
      <c r="B185" s="385"/>
      <c r="E185" s="31"/>
    </row>
    <row r="186" spans="2:5" x14ac:dyDescent="0.25">
      <c r="B186" s="385"/>
      <c r="E186" s="31"/>
    </row>
    <row r="187" spans="2:5" x14ac:dyDescent="0.25">
      <c r="B187" s="385"/>
      <c r="E187" s="31"/>
    </row>
    <row r="188" spans="2:5" x14ac:dyDescent="0.25">
      <c r="B188" s="385"/>
      <c r="E188" s="31"/>
    </row>
    <row r="189" spans="2:5" x14ac:dyDescent="0.25">
      <c r="B189" s="385"/>
      <c r="E189" s="31"/>
    </row>
    <row r="190" spans="2:5" x14ac:dyDescent="0.25">
      <c r="B190" s="385"/>
      <c r="E190" s="31"/>
    </row>
    <row r="191" spans="2:5" x14ac:dyDescent="0.25">
      <c r="B191" s="385"/>
      <c r="E191" s="31"/>
    </row>
    <row r="192" spans="2:5" x14ac:dyDescent="0.25">
      <c r="B192" s="385"/>
      <c r="E192" s="31"/>
    </row>
    <row r="193" spans="2:5" x14ac:dyDescent="0.25">
      <c r="B193" s="385"/>
      <c r="E193" s="31"/>
    </row>
    <row r="194" spans="2:5" x14ac:dyDescent="0.25">
      <c r="B194" s="385"/>
      <c r="E194" s="31"/>
    </row>
    <row r="195" spans="2:5" x14ac:dyDescent="0.25">
      <c r="B195" s="385"/>
      <c r="E195" s="31"/>
    </row>
    <row r="196" spans="2:5" x14ac:dyDescent="0.25">
      <c r="B196" s="385"/>
      <c r="E196" s="31"/>
    </row>
    <row r="197" spans="2:5" x14ac:dyDescent="0.25">
      <c r="B197" s="385"/>
      <c r="E197" s="31"/>
    </row>
    <row r="198" spans="2:5" x14ac:dyDescent="0.25">
      <c r="B198" s="385"/>
      <c r="E198" s="31"/>
    </row>
    <row r="199" spans="2:5" x14ac:dyDescent="0.25">
      <c r="B199" s="385"/>
      <c r="E199" s="31"/>
    </row>
    <row r="200" spans="2:5" x14ac:dyDescent="0.25">
      <c r="B200" s="385"/>
      <c r="E200" s="31"/>
    </row>
    <row r="201" spans="2:5" x14ac:dyDescent="0.25">
      <c r="B201" s="385"/>
      <c r="E201" s="31"/>
    </row>
    <row r="202" spans="2:5" x14ac:dyDescent="0.25">
      <c r="B202" s="385"/>
      <c r="E202" s="31"/>
    </row>
    <row r="203" spans="2:5" x14ac:dyDescent="0.25">
      <c r="B203" s="385"/>
      <c r="E203" s="31"/>
    </row>
    <row r="204" spans="2:5" x14ac:dyDescent="0.25">
      <c r="B204" s="385"/>
      <c r="E204" s="31"/>
    </row>
    <row r="205" spans="2:5" x14ac:dyDescent="0.25">
      <c r="B205" s="385"/>
      <c r="E205" s="31"/>
    </row>
    <row r="206" spans="2:5" x14ac:dyDescent="0.25">
      <c r="B206" s="385"/>
      <c r="E206" s="31"/>
    </row>
    <row r="207" spans="2:5" x14ac:dyDescent="0.25">
      <c r="B207" s="385"/>
      <c r="E207" s="31"/>
    </row>
    <row r="208" spans="2:5" x14ac:dyDescent="0.25">
      <c r="B208" s="385"/>
      <c r="E208" s="31"/>
    </row>
    <row r="209" spans="2:5" x14ac:dyDescent="0.25">
      <c r="B209" s="385"/>
      <c r="E209" s="31"/>
    </row>
    <row r="210" spans="2:5" x14ac:dyDescent="0.25">
      <c r="B210" s="385"/>
      <c r="E210" s="31"/>
    </row>
    <row r="211" spans="2:5" x14ac:dyDescent="0.25">
      <c r="B211" s="385"/>
      <c r="E211" s="31"/>
    </row>
    <row r="212" spans="2:5" x14ac:dyDescent="0.25">
      <c r="B212" s="385"/>
      <c r="E212" s="31"/>
    </row>
    <row r="213" spans="2:5" x14ac:dyDescent="0.25">
      <c r="B213" s="385"/>
      <c r="E213" s="31"/>
    </row>
    <row r="214" spans="2:5" x14ac:dyDescent="0.25">
      <c r="B214" s="385"/>
      <c r="E214" s="31"/>
    </row>
    <row r="215" spans="2:5" x14ac:dyDescent="0.25">
      <c r="B215" s="385"/>
      <c r="E215" s="31"/>
    </row>
    <row r="216" spans="2:5" x14ac:dyDescent="0.25">
      <c r="B216" s="385"/>
      <c r="E216" s="31"/>
    </row>
    <row r="217" spans="2:5" x14ac:dyDescent="0.25">
      <c r="B217" s="385"/>
      <c r="E217" s="31"/>
    </row>
    <row r="218" spans="2:5" x14ac:dyDescent="0.25">
      <c r="B218" s="385"/>
      <c r="E218" s="31"/>
    </row>
    <row r="219" spans="2:5" x14ac:dyDescent="0.25">
      <c r="B219" s="385"/>
      <c r="E219" s="31"/>
    </row>
    <row r="220" spans="2:5" x14ac:dyDescent="0.25">
      <c r="B220" s="385"/>
      <c r="E220" s="31"/>
    </row>
    <row r="221" spans="2:5" x14ac:dyDescent="0.25">
      <c r="B221" s="385"/>
      <c r="E221" s="31"/>
    </row>
    <row r="222" spans="2:5" x14ac:dyDescent="0.25">
      <c r="B222" s="385"/>
      <c r="E222" s="31"/>
    </row>
    <row r="223" spans="2:5" x14ac:dyDescent="0.25">
      <c r="B223" s="385"/>
      <c r="E223" s="31"/>
    </row>
    <row r="224" spans="2:5" x14ac:dyDescent="0.25">
      <c r="B224" s="385"/>
      <c r="E224" s="31"/>
    </row>
    <row r="225" spans="2:5" x14ac:dyDescent="0.25">
      <c r="B225" s="385"/>
      <c r="E225" s="31"/>
    </row>
    <row r="226" spans="2:5" x14ac:dyDescent="0.25">
      <c r="B226" s="385"/>
      <c r="E226" s="31"/>
    </row>
    <row r="227" spans="2:5" x14ac:dyDescent="0.25">
      <c r="B227" s="385"/>
      <c r="E227" s="31"/>
    </row>
    <row r="228" spans="2:5" x14ac:dyDescent="0.25">
      <c r="B228" s="385"/>
      <c r="E228" s="31"/>
    </row>
    <row r="229" spans="2:5" x14ac:dyDescent="0.25">
      <c r="B229" s="385"/>
      <c r="E229" s="31"/>
    </row>
    <row r="230" spans="2:5" x14ac:dyDescent="0.25">
      <c r="B230" s="385"/>
      <c r="E230" s="31"/>
    </row>
    <row r="231" spans="2:5" x14ac:dyDescent="0.25">
      <c r="B231" s="385"/>
      <c r="E231" s="31"/>
    </row>
    <row r="232" spans="2:5" x14ac:dyDescent="0.25">
      <c r="B232" s="385"/>
      <c r="E232" s="31"/>
    </row>
    <row r="233" spans="2:5" x14ac:dyDescent="0.25">
      <c r="B233" s="385"/>
      <c r="E233" s="31"/>
    </row>
    <row r="234" spans="2:5" x14ac:dyDescent="0.25">
      <c r="B234" s="385"/>
      <c r="E234" s="31"/>
    </row>
    <row r="235" spans="2:5" x14ac:dyDescent="0.25">
      <c r="B235" s="385"/>
      <c r="E235" s="31"/>
    </row>
    <row r="236" spans="2:5" x14ac:dyDescent="0.25">
      <c r="B236" s="385"/>
      <c r="E236" s="31"/>
    </row>
    <row r="237" spans="2:5" x14ac:dyDescent="0.25">
      <c r="B237" s="385"/>
      <c r="E237" s="31"/>
    </row>
    <row r="238" spans="2:5" x14ac:dyDescent="0.25">
      <c r="B238" s="385"/>
      <c r="E238" s="31"/>
    </row>
    <row r="239" spans="2:5" x14ac:dyDescent="0.25">
      <c r="B239" s="385"/>
      <c r="E239" s="31"/>
    </row>
    <row r="240" spans="2:5" x14ac:dyDescent="0.25">
      <c r="B240" s="385"/>
      <c r="E240" s="31"/>
    </row>
    <row r="241" spans="2:5" x14ac:dyDescent="0.25">
      <c r="B241" s="385"/>
      <c r="E241" s="31"/>
    </row>
    <row r="242" spans="2:5" x14ac:dyDescent="0.25">
      <c r="B242" s="385"/>
      <c r="E242" s="31"/>
    </row>
    <row r="243" spans="2:5" x14ac:dyDescent="0.25">
      <c r="B243" s="385"/>
      <c r="E243" s="31"/>
    </row>
    <row r="244" spans="2:5" x14ac:dyDescent="0.25">
      <c r="B244" s="385"/>
      <c r="E244" s="31"/>
    </row>
    <row r="245" spans="2:5" x14ac:dyDescent="0.25">
      <c r="B245" s="385"/>
      <c r="E245" s="31"/>
    </row>
    <row r="246" spans="2:5" x14ac:dyDescent="0.25">
      <c r="B246" s="385"/>
      <c r="E246" s="31"/>
    </row>
    <row r="247" spans="2:5" x14ac:dyDescent="0.25">
      <c r="B247" s="385"/>
      <c r="E247" s="31"/>
    </row>
    <row r="248" spans="2:5" x14ac:dyDescent="0.25">
      <c r="B248" s="385"/>
      <c r="E248" s="31"/>
    </row>
    <row r="249" spans="2:5" x14ac:dyDescent="0.25">
      <c r="B249" s="385"/>
      <c r="E249" s="31"/>
    </row>
    <row r="250" spans="2:5" x14ac:dyDescent="0.25">
      <c r="B250" s="385"/>
      <c r="E250" s="31"/>
    </row>
    <row r="251" spans="2:5" x14ac:dyDescent="0.25">
      <c r="B251" s="385"/>
      <c r="E251" s="31"/>
    </row>
    <row r="252" spans="2:5" x14ac:dyDescent="0.25">
      <c r="B252" s="385"/>
      <c r="E252" s="31"/>
    </row>
    <row r="253" spans="2:5" x14ac:dyDescent="0.25">
      <c r="B253" s="385"/>
      <c r="E253" s="31"/>
    </row>
    <row r="254" spans="2:5" x14ac:dyDescent="0.25">
      <c r="B254" s="385"/>
      <c r="E254" s="31"/>
    </row>
    <row r="255" spans="2:5" x14ac:dyDescent="0.25">
      <c r="B255" s="385"/>
      <c r="E255" s="31"/>
    </row>
    <row r="256" spans="2:5" x14ac:dyDescent="0.25">
      <c r="B256" s="385"/>
      <c r="E256" s="31"/>
    </row>
    <row r="257" spans="2:5" x14ac:dyDescent="0.25">
      <c r="B257" s="385"/>
      <c r="E257" s="31"/>
    </row>
    <row r="258" spans="2:5" x14ac:dyDescent="0.25">
      <c r="B258" s="385"/>
      <c r="E258" s="31"/>
    </row>
    <row r="259" spans="2:5" x14ac:dyDescent="0.25">
      <c r="B259" s="385"/>
      <c r="E259" s="31"/>
    </row>
    <row r="260" spans="2:5" x14ac:dyDescent="0.25">
      <c r="B260" s="385"/>
      <c r="E260" s="31"/>
    </row>
    <row r="261" spans="2:5" x14ac:dyDescent="0.25">
      <c r="B261" s="385"/>
      <c r="E261" s="31"/>
    </row>
    <row r="262" spans="2:5" x14ac:dyDescent="0.25">
      <c r="B262" s="385"/>
      <c r="E262" s="31"/>
    </row>
    <row r="263" spans="2:5" x14ac:dyDescent="0.25">
      <c r="B263" s="385"/>
      <c r="E263" s="31"/>
    </row>
    <row r="264" spans="2:5" x14ac:dyDescent="0.25">
      <c r="B264" s="385"/>
      <c r="E264" s="31"/>
    </row>
    <row r="265" spans="2:5" x14ac:dyDescent="0.25">
      <c r="B265" s="385"/>
      <c r="E265" s="31"/>
    </row>
    <row r="266" spans="2:5" x14ac:dyDescent="0.25">
      <c r="B266" s="385"/>
      <c r="E266" s="31"/>
    </row>
    <row r="267" spans="2:5" x14ac:dyDescent="0.25">
      <c r="B267" s="385"/>
      <c r="E267" s="31"/>
    </row>
    <row r="268" spans="2:5" x14ac:dyDescent="0.25">
      <c r="B268" s="385"/>
      <c r="E268" s="31"/>
    </row>
    <row r="269" spans="2:5" x14ac:dyDescent="0.25">
      <c r="B269" s="385"/>
      <c r="E269" s="31"/>
    </row>
    <row r="270" spans="2:5" x14ac:dyDescent="0.25">
      <c r="B270" s="385"/>
      <c r="E270" s="31"/>
    </row>
    <row r="271" spans="2:5" x14ac:dyDescent="0.25">
      <c r="B271" s="385"/>
      <c r="E271" s="31"/>
    </row>
    <row r="272" spans="2:5" x14ac:dyDescent="0.25">
      <c r="B272" s="385"/>
      <c r="E272" s="31"/>
    </row>
    <row r="273" spans="2:5" x14ac:dyDescent="0.25">
      <c r="B273" s="385"/>
      <c r="E273" s="31"/>
    </row>
    <row r="274" spans="2:5" x14ac:dyDescent="0.25">
      <c r="B274" s="385"/>
      <c r="E274" s="31"/>
    </row>
    <row r="275" spans="2:5" x14ac:dyDescent="0.25">
      <c r="B275" s="385"/>
      <c r="E275" s="31"/>
    </row>
    <row r="276" spans="2:5" x14ac:dyDescent="0.25">
      <c r="B276" s="385"/>
      <c r="E276" s="31"/>
    </row>
    <row r="277" spans="2:5" x14ac:dyDescent="0.25">
      <c r="B277" s="385"/>
      <c r="E277" s="31"/>
    </row>
    <row r="278" spans="2:5" x14ac:dyDescent="0.25">
      <c r="B278" s="385"/>
      <c r="E278" s="31"/>
    </row>
    <row r="279" spans="2:5" x14ac:dyDescent="0.25">
      <c r="B279" s="385"/>
      <c r="E279" s="31"/>
    </row>
    <row r="280" spans="2:5" x14ac:dyDescent="0.25">
      <c r="B280" s="385"/>
      <c r="E280" s="31"/>
    </row>
    <row r="281" spans="2:5" x14ac:dyDescent="0.25">
      <c r="B281" s="385"/>
      <c r="E281" s="31"/>
    </row>
    <row r="282" spans="2:5" x14ac:dyDescent="0.25">
      <c r="B282" s="385"/>
      <c r="E282" s="31"/>
    </row>
    <row r="283" spans="2:5" x14ac:dyDescent="0.25">
      <c r="B283" s="385"/>
      <c r="E283" s="31"/>
    </row>
    <row r="284" spans="2:5" x14ac:dyDescent="0.25">
      <c r="B284" s="385"/>
      <c r="E284" s="31"/>
    </row>
    <row r="285" spans="2:5" x14ac:dyDescent="0.25">
      <c r="B285" s="385"/>
      <c r="E285" s="31"/>
    </row>
    <row r="286" spans="2:5" x14ac:dyDescent="0.25">
      <c r="B286" s="385"/>
      <c r="E286" s="31"/>
    </row>
    <row r="287" spans="2:5" x14ac:dyDescent="0.25">
      <c r="B287" s="385"/>
      <c r="E287" s="31"/>
    </row>
    <row r="288" spans="2:5" x14ac:dyDescent="0.25">
      <c r="B288" s="385"/>
      <c r="E288" s="31"/>
    </row>
    <row r="289" spans="2:5" x14ac:dyDescent="0.25">
      <c r="B289" s="385"/>
      <c r="E289" s="31"/>
    </row>
    <row r="290" spans="2:5" x14ac:dyDescent="0.25">
      <c r="B290" s="385"/>
      <c r="E290" s="31"/>
    </row>
    <row r="291" spans="2:5" x14ac:dyDescent="0.25">
      <c r="B291" s="385"/>
      <c r="E291" s="31"/>
    </row>
    <row r="292" spans="2:5" x14ac:dyDescent="0.25">
      <c r="B292" s="385"/>
      <c r="E292" s="31"/>
    </row>
    <row r="293" spans="2:5" x14ac:dyDescent="0.25">
      <c r="B293" s="385"/>
      <c r="E293" s="31"/>
    </row>
    <row r="294" spans="2:5" x14ac:dyDescent="0.25">
      <c r="B294" s="385"/>
      <c r="E294" s="31"/>
    </row>
    <row r="295" spans="2:5" x14ac:dyDescent="0.25">
      <c r="B295" s="385"/>
      <c r="E295" s="31"/>
    </row>
    <row r="296" spans="2:5" x14ac:dyDescent="0.25">
      <c r="B296" s="385"/>
      <c r="E296" s="31"/>
    </row>
    <row r="297" spans="2:5" x14ac:dyDescent="0.25">
      <c r="B297" s="385"/>
      <c r="E297" s="31"/>
    </row>
    <row r="298" spans="2:5" x14ac:dyDescent="0.25">
      <c r="B298" s="385"/>
      <c r="E298" s="31"/>
    </row>
    <row r="299" spans="2:5" x14ac:dyDescent="0.25">
      <c r="B299" s="385"/>
      <c r="E299" s="31"/>
    </row>
    <row r="300" spans="2:5" x14ac:dyDescent="0.25">
      <c r="B300" s="385"/>
      <c r="E300" s="31"/>
    </row>
    <row r="301" spans="2:5" x14ac:dyDescent="0.25">
      <c r="B301" s="385"/>
      <c r="E301" s="31"/>
    </row>
    <row r="302" spans="2:5" x14ac:dyDescent="0.25">
      <c r="B302" s="385"/>
      <c r="E302" s="31"/>
    </row>
    <row r="303" spans="2:5" x14ac:dyDescent="0.25">
      <c r="B303" s="385"/>
      <c r="E303" s="31"/>
    </row>
    <row r="304" spans="2:5" x14ac:dyDescent="0.25">
      <c r="B304" s="385"/>
      <c r="E304" s="31"/>
    </row>
    <row r="305" spans="2:5" x14ac:dyDescent="0.25">
      <c r="B305" s="385"/>
      <c r="E305" s="31"/>
    </row>
    <row r="306" spans="2:5" x14ac:dyDescent="0.25">
      <c r="B306" s="385"/>
      <c r="E306" s="31"/>
    </row>
    <row r="307" spans="2:5" x14ac:dyDescent="0.25">
      <c r="B307" s="385"/>
      <c r="E307" s="31"/>
    </row>
    <row r="308" spans="2:5" x14ac:dyDescent="0.25">
      <c r="B308" s="385"/>
      <c r="E308" s="31"/>
    </row>
    <row r="309" spans="2:5" x14ac:dyDescent="0.25">
      <c r="B309" s="385"/>
      <c r="E309" s="31"/>
    </row>
    <row r="310" spans="2:5" x14ac:dyDescent="0.25">
      <c r="B310" s="385"/>
      <c r="E310" s="31"/>
    </row>
    <row r="311" spans="2:5" x14ac:dyDescent="0.25">
      <c r="B311" s="385"/>
      <c r="E311" s="31"/>
    </row>
    <row r="312" spans="2:5" x14ac:dyDescent="0.25">
      <c r="B312" s="385"/>
      <c r="E312" s="31"/>
    </row>
    <row r="313" spans="2:5" x14ac:dyDescent="0.25">
      <c r="B313" s="385"/>
      <c r="E313" s="31"/>
    </row>
    <row r="314" spans="2:5" x14ac:dyDescent="0.25">
      <c r="B314" s="385"/>
      <c r="E314" s="31"/>
    </row>
    <row r="315" spans="2:5" x14ac:dyDescent="0.25">
      <c r="B315" s="385"/>
      <c r="E315" s="31"/>
    </row>
    <row r="316" spans="2:5" x14ac:dyDescent="0.25">
      <c r="B316" s="385"/>
      <c r="E316" s="31"/>
    </row>
    <row r="317" spans="2:5" x14ac:dyDescent="0.25">
      <c r="B317" s="385"/>
      <c r="E317" s="31"/>
    </row>
    <row r="318" spans="2:5" x14ac:dyDescent="0.25">
      <c r="B318" s="385"/>
      <c r="E318" s="31"/>
    </row>
    <row r="319" spans="2:5" x14ac:dyDescent="0.25">
      <c r="B319" s="385"/>
      <c r="E319" s="31"/>
    </row>
    <row r="320" spans="2:5" x14ac:dyDescent="0.25">
      <c r="B320" s="385"/>
      <c r="E320" s="31"/>
    </row>
    <row r="321" spans="2:5" x14ac:dyDescent="0.25">
      <c r="B321" s="385"/>
      <c r="E321" s="31"/>
    </row>
    <row r="322" spans="2:5" x14ac:dyDescent="0.25">
      <c r="B322" s="385"/>
      <c r="E322" s="31"/>
    </row>
    <row r="323" spans="2:5" x14ac:dyDescent="0.25">
      <c r="B323" s="385"/>
      <c r="E323" s="31"/>
    </row>
    <row r="324" spans="2:5" x14ac:dyDescent="0.25">
      <c r="B324" s="385"/>
      <c r="E324" s="31"/>
    </row>
    <row r="325" spans="2:5" x14ac:dyDescent="0.25">
      <c r="B325" s="385"/>
      <c r="E325" s="31"/>
    </row>
    <row r="326" spans="2:5" x14ac:dyDescent="0.25">
      <c r="B326" s="385"/>
      <c r="E326" s="31"/>
    </row>
    <row r="327" spans="2:5" x14ac:dyDescent="0.25">
      <c r="B327" s="385"/>
      <c r="E327" s="31"/>
    </row>
    <row r="328" spans="2:5" x14ac:dyDescent="0.25">
      <c r="B328" s="385"/>
      <c r="E328" s="31"/>
    </row>
    <row r="329" spans="2:5" x14ac:dyDescent="0.25">
      <c r="B329" s="385"/>
      <c r="E329" s="31"/>
    </row>
    <row r="330" spans="2:5" x14ac:dyDescent="0.25">
      <c r="B330" s="385"/>
      <c r="E330" s="31"/>
    </row>
    <row r="331" spans="2:5" x14ac:dyDescent="0.25">
      <c r="B331" s="385"/>
      <c r="E331" s="31"/>
    </row>
    <row r="332" spans="2:5" x14ac:dyDescent="0.25">
      <c r="B332" s="385"/>
      <c r="E332" s="31"/>
    </row>
    <row r="333" spans="2:5" x14ac:dyDescent="0.25">
      <c r="B333" s="385"/>
      <c r="E333" s="31"/>
    </row>
    <row r="334" spans="2:5" x14ac:dyDescent="0.25">
      <c r="B334" s="385"/>
      <c r="E334" s="31"/>
    </row>
    <row r="335" spans="2:5" x14ac:dyDescent="0.25">
      <c r="B335" s="385"/>
      <c r="E335" s="31"/>
    </row>
    <row r="336" spans="2:5" x14ac:dyDescent="0.25">
      <c r="B336" s="385"/>
      <c r="E336" s="31"/>
    </row>
    <row r="337" spans="2:5" x14ac:dyDescent="0.25">
      <c r="B337" s="385"/>
      <c r="E337" s="31"/>
    </row>
    <row r="338" spans="2:5" x14ac:dyDescent="0.25">
      <c r="B338" s="385"/>
      <c r="E338" s="31"/>
    </row>
    <row r="339" spans="2:5" x14ac:dyDescent="0.25">
      <c r="B339" s="385"/>
      <c r="E339" s="31"/>
    </row>
    <row r="340" spans="2:5" x14ac:dyDescent="0.25">
      <c r="B340" s="385"/>
      <c r="E340" s="31"/>
    </row>
    <row r="341" spans="2:5" x14ac:dyDescent="0.25">
      <c r="B341" s="385"/>
      <c r="E341" s="31"/>
    </row>
    <row r="342" spans="2:5" x14ac:dyDescent="0.25">
      <c r="B342" s="385"/>
      <c r="E342" s="31"/>
    </row>
    <row r="343" spans="2:5" x14ac:dyDescent="0.25">
      <c r="B343" s="385"/>
      <c r="E343" s="31"/>
    </row>
    <row r="344" spans="2:5" x14ac:dyDescent="0.25">
      <c r="B344" s="385"/>
      <c r="E344" s="31"/>
    </row>
    <row r="345" spans="2:5" x14ac:dyDescent="0.25">
      <c r="B345" s="385"/>
      <c r="E345" s="31"/>
    </row>
    <row r="346" spans="2:5" x14ac:dyDescent="0.25">
      <c r="B346" s="385"/>
      <c r="E346" s="31"/>
    </row>
    <row r="347" spans="2:5" x14ac:dyDescent="0.25">
      <c r="B347" s="385"/>
      <c r="E347" s="31"/>
    </row>
    <row r="348" spans="2:5" x14ac:dyDescent="0.25">
      <c r="B348" s="385"/>
      <c r="E348" s="31"/>
    </row>
    <row r="349" spans="2:5" x14ac:dyDescent="0.25">
      <c r="B349" s="385"/>
      <c r="E349" s="31"/>
    </row>
    <row r="350" spans="2:5" x14ac:dyDescent="0.25">
      <c r="B350" s="385"/>
      <c r="E350" s="31"/>
    </row>
    <row r="351" spans="2:5" x14ac:dyDescent="0.25">
      <c r="B351" s="385"/>
      <c r="E351" s="31"/>
    </row>
    <row r="352" spans="2:5" x14ac:dyDescent="0.25">
      <c r="B352" s="385"/>
      <c r="E352" s="31"/>
    </row>
    <row r="353" spans="2:5" x14ac:dyDescent="0.25">
      <c r="B353" s="385"/>
      <c r="E353" s="31"/>
    </row>
    <row r="354" spans="2:5" x14ac:dyDescent="0.25">
      <c r="B354" s="385"/>
      <c r="E354" s="31"/>
    </row>
    <row r="355" spans="2:5" x14ac:dyDescent="0.25">
      <c r="B355" s="385"/>
      <c r="E355" s="31"/>
    </row>
    <row r="356" spans="2:5" x14ac:dyDescent="0.25">
      <c r="B356" s="385"/>
      <c r="E356" s="31"/>
    </row>
    <row r="357" spans="2:5" x14ac:dyDescent="0.25">
      <c r="B357" s="385"/>
      <c r="E357" s="31"/>
    </row>
    <row r="358" spans="2:5" x14ac:dyDescent="0.25">
      <c r="B358" s="385"/>
      <c r="E358" s="31"/>
    </row>
    <row r="359" spans="2:5" x14ac:dyDescent="0.25">
      <c r="B359" s="385"/>
      <c r="E359" s="31"/>
    </row>
    <row r="360" spans="2:5" x14ac:dyDescent="0.25">
      <c r="B360" s="385"/>
      <c r="E360" s="31"/>
    </row>
    <row r="361" spans="2:5" x14ac:dyDescent="0.25">
      <c r="B361" s="385"/>
      <c r="E361" s="31"/>
    </row>
    <row r="362" spans="2:5" x14ac:dyDescent="0.25">
      <c r="B362" s="385"/>
      <c r="E362" s="31"/>
    </row>
    <row r="363" spans="2:5" x14ac:dyDescent="0.25">
      <c r="B363" s="385"/>
      <c r="E363" s="31"/>
    </row>
    <row r="364" spans="2:5" x14ac:dyDescent="0.25">
      <c r="B364" s="385"/>
      <c r="E364" s="31"/>
    </row>
    <row r="365" spans="2:5" x14ac:dyDescent="0.25">
      <c r="B365" s="385"/>
      <c r="E365" s="31"/>
    </row>
    <row r="366" spans="2:5" x14ac:dyDescent="0.25">
      <c r="B366" s="385"/>
      <c r="E366" s="31"/>
    </row>
    <row r="367" spans="2:5" x14ac:dyDescent="0.25">
      <c r="B367" s="385"/>
      <c r="E367" s="31"/>
    </row>
    <row r="368" spans="2:5" x14ac:dyDescent="0.25">
      <c r="B368" s="385"/>
      <c r="E368" s="31"/>
    </row>
    <row r="369" spans="2:5" x14ac:dyDescent="0.25">
      <c r="B369" s="385"/>
      <c r="E369" s="31"/>
    </row>
    <row r="370" spans="2:5" x14ac:dyDescent="0.25">
      <c r="B370" s="385"/>
      <c r="E370" s="31"/>
    </row>
    <row r="371" spans="2:5" x14ac:dyDescent="0.25">
      <c r="B371" s="385"/>
      <c r="E371" s="31"/>
    </row>
    <row r="372" spans="2:5" x14ac:dyDescent="0.25">
      <c r="B372" s="385"/>
      <c r="E372" s="31"/>
    </row>
    <row r="373" spans="2:5" x14ac:dyDescent="0.25">
      <c r="B373" s="385"/>
      <c r="E373" s="31"/>
    </row>
    <row r="374" spans="2:5" x14ac:dyDescent="0.25">
      <c r="B374" s="385"/>
      <c r="E374" s="31"/>
    </row>
    <row r="375" spans="2:5" x14ac:dyDescent="0.25">
      <c r="B375" s="385"/>
      <c r="E375" s="31"/>
    </row>
    <row r="376" spans="2:5" x14ac:dyDescent="0.25">
      <c r="B376" s="385"/>
      <c r="E376" s="31"/>
    </row>
    <row r="377" spans="2:5" x14ac:dyDescent="0.25">
      <c r="B377" s="385"/>
      <c r="E377" s="31"/>
    </row>
    <row r="378" spans="2:5" x14ac:dyDescent="0.25">
      <c r="B378" s="385"/>
      <c r="E378" s="31"/>
    </row>
    <row r="379" spans="2:5" x14ac:dyDescent="0.25">
      <c r="B379" s="385"/>
      <c r="E379" s="31"/>
    </row>
    <row r="380" spans="2:5" x14ac:dyDescent="0.25">
      <c r="B380" s="385"/>
      <c r="E380" s="31"/>
    </row>
    <row r="381" spans="2:5" x14ac:dyDescent="0.25">
      <c r="B381" s="385"/>
      <c r="E381" s="31"/>
    </row>
    <row r="382" spans="2:5" x14ac:dyDescent="0.25">
      <c r="B382" s="385"/>
      <c r="E382" s="31"/>
    </row>
    <row r="383" spans="2:5" x14ac:dyDescent="0.25">
      <c r="B383" s="385"/>
      <c r="E383" s="31"/>
    </row>
    <row r="384" spans="2:5" x14ac:dyDescent="0.25">
      <c r="B384" s="385"/>
      <c r="E384" s="31"/>
    </row>
    <row r="385" spans="2:5" x14ac:dyDescent="0.25">
      <c r="B385" s="385"/>
      <c r="E385" s="31"/>
    </row>
    <row r="386" spans="2:5" x14ac:dyDescent="0.25">
      <c r="B386" s="385"/>
      <c r="E386" s="31"/>
    </row>
    <row r="387" spans="2:5" x14ac:dyDescent="0.25">
      <c r="B387" s="385"/>
      <c r="E387" s="31"/>
    </row>
    <row r="388" spans="2:5" x14ac:dyDescent="0.25">
      <c r="B388" s="385"/>
      <c r="E388" s="31"/>
    </row>
    <row r="389" spans="2:5" x14ac:dyDescent="0.25">
      <c r="B389" s="385"/>
      <c r="E389" s="31"/>
    </row>
    <row r="390" spans="2:5" x14ac:dyDescent="0.25">
      <c r="B390" s="385"/>
      <c r="E390" s="31"/>
    </row>
    <row r="391" spans="2:5" x14ac:dyDescent="0.25">
      <c r="B391" s="385"/>
      <c r="E391" s="31"/>
    </row>
    <row r="392" spans="2:5" x14ac:dyDescent="0.25">
      <c r="B392" s="385"/>
      <c r="E392" s="31"/>
    </row>
    <row r="393" spans="2:5" x14ac:dyDescent="0.25">
      <c r="B393" s="385"/>
      <c r="E393" s="31"/>
    </row>
    <row r="394" spans="2:5" x14ac:dyDescent="0.25">
      <c r="B394" s="385"/>
      <c r="E394" s="31"/>
    </row>
    <row r="395" spans="2:5" x14ac:dyDescent="0.25">
      <c r="B395" s="385"/>
      <c r="E395" s="31"/>
    </row>
    <row r="396" spans="2:5" x14ac:dyDescent="0.25">
      <c r="B396" s="385"/>
      <c r="E396" s="31"/>
    </row>
    <row r="397" spans="2:5" x14ac:dyDescent="0.25">
      <c r="B397" s="385"/>
      <c r="E397" s="31"/>
    </row>
    <row r="398" spans="2:5" x14ac:dyDescent="0.25">
      <c r="B398" s="385"/>
      <c r="E398" s="31"/>
    </row>
    <row r="399" spans="2:5" x14ac:dyDescent="0.25">
      <c r="B399" s="385"/>
      <c r="E399" s="31"/>
    </row>
    <row r="400" spans="2:5" x14ac:dyDescent="0.25">
      <c r="B400" s="385"/>
      <c r="E400" s="31"/>
    </row>
    <row r="401" spans="2:5" x14ac:dyDescent="0.25">
      <c r="B401" s="385"/>
      <c r="E401" s="31"/>
    </row>
    <row r="402" spans="2:5" x14ac:dyDescent="0.25">
      <c r="B402" s="385"/>
      <c r="E402" s="31"/>
    </row>
    <row r="403" spans="2:5" x14ac:dyDescent="0.25">
      <c r="B403" s="385"/>
      <c r="E403" s="31"/>
    </row>
    <row r="404" spans="2:5" x14ac:dyDescent="0.25">
      <c r="B404" s="385"/>
      <c r="E404" s="31"/>
    </row>
    <row r="405" spans="2:5" x14ac:dyDescent="0.25">
      <c r="B405" s="385"/>
      <c r="E405" s="31"/>
    </row>
    <row r="406" spans="2:5" x14ac:dyDescent="0.25">
      <c r="B406" s="385"/>
      <c r="E406" s="31"/>
    </row>
    <row r="407" spans="2:5" x14ac:dyDescent="0.25">
      <c r="B407" s="385"/>
      <c r="E407" s="31"/>
    </row>
    <row r="408" spans="2:5" x14ac:dyDescent="0.25">
      <c r="B408" s="385"/>
      <c r="E408" s="31"/>
    </row>
    <row r="409" spans="2:5" x14ac:dyDescent="0.25">
      <c r="B409" s="385"/>
      <c r="E409" s="31"/>
    </row>
    <row r="410" spans="2:5" x14ac:dyDescent="0.25">
      <c r="B410" s="385"/>
      <c r="E410" s="31"/>
    </row>
    <row r="411" spans="2:5" x14ac:dyDescent="0.25">
      <c r="B411" s="385"/>
      <c r="E411" s="31"/>
    </row>
    <row r="412" spans="2:5" x14ac:dyDescent="0.25">
      <c r="B412" s="385"/>
      <c r="E412" s="31"/>
    </row>
    <row r="413" spans="2:5" x14ac:dyDescent="0.25">
      <c r="B413" s="385"/>
      <c r="E413" s="31"/>
    </row>
    <row r="414" spans="2:5" x14ac:dyDescent="0.25">
      <c r="B414" s="385"/>
      <c r="E414" s="31"/>
    </row>
    <row r="415" spans="2:5" x14ac:dyDescent="0.25">
      <c r="B415" s="385"/>
      <c r="E415" s="31"/>
    </row>
    <row r="416" spans="2:5" x14ac:dyDescent="0.25">
      <c r="B416" s="385"/>
      <c r="E416" s="31"/>
    </row>
    <row r="417" spans="2:5" x14ac:dyDescent="0.25">
      <c r="B417" s="385"/>
      <c r="E417" s="31"/>
    </row>
    <row r="418" spans="2:5" x14ac:dyDescent="0.25">
      <c r="B418" s="385"/>
      <c r="E418" s="31"/>
    </row>
    <row r="419" spans="2:5" x14ac:dyDescent="0.25">
      <c r="B419" s="385"/>
      <c r="E419" s="31"/>
    </row>
    <row r="420" spans="2:5" x14ac:dyDescent="0.25">
      <c r="B420" s="385"/>
      <c r="E420" s="31"/>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4"/>
  <sheetViews>
    <sheetView topLeftCell="A15" zoomScaleNormal="100" workbookViewId="0">
      <selection activeCell="C48" sqref="C48"/>
    </sheetView>
  </sheetViews>
  <sheetFormatPr defaultColWidth="9.140625" defaultRowHeight="15.75" x14ac:dyDescent="0.25"/>
  <cols>
    <col min="1" max="1" width="5.140625" style="107" customWidth="1"/>
    <col min="2" max="2" width="8.5703125" style="106" customWidth="1"/>
    <col min="3" max="3" width="69.140625" style="106" customWidth="1"/>
    <col min="4" max="6" width="16.85546875" style="106" customWidth="1"/>
    <col min="7" max="7" width="34.5703125" style="106" customWidth="1"/>
    <col min="8" max="8" width="5.140625" style="107" customWidth="1"/>
    <col min="9" max="9" width="4" style="106" customWidth="1"/>
    <col min="10" max="10" width="13.140625" style="106" bestFit="1" customWidth="1"/>
    <col min="11" max="11" width="9.140625" style="106"/>
    <col min="12" max="12" width="9.85546875" style="106" customWidth="1"/>
    <col min="13" max="13" width="10" style="106" customWidth="1"/>
    <col min="14" max="16384" width="9.140625" style="106"/>
  </cols>
  <sheetData>
    <row r="2" spans="1:13" x14ac:dyDescent="0.25">
      <c r="B2" s="1309" t="s">
        <v>0</v>
      </c>
      <c r="C2" s="1309"/>
      <c r="D2" s="1309"/>
      <c r="E2" s="1309"/>
      <c r="F2" s="1309"/>
      <c r="G2" s="1309"/>
      <c r="H2" s="386"/>
      <c r="J2"/>
      <c r="K2"/>
      <c r="L2"/>
    </row>
    <row r="3" spans="1:13" x14ac:dyDescent="0.25">
      <c r="B3" s="1309" t="s">
        <v>567</v>
      </c>
      <c r="C3" s="1309"/>
      <c r="D3" s="1309"/>
      <c r="E3" s="1309"/>
      <c r="F3" s="1309"/>
      <c r="G3" s="1309"/>
      <c r="H3" s="386"/>
      <c r="J3"/>
      <c r="K3"/>
      <c r="L3"/>
    </row>
    <row r="4" spans="1:13" x14ac:dyDescent="0.25">
      <c r="B4" s="1309" t="s">
        <v>1551</v>
      </c>
      <c r="C4" s="1309"/>
      <c r="D4" s="1309"/>
      <c r="E4" s="1309"/>
      <c r="F4" s="1309"/>
      <c r="G4" s="1309"/>
      <c r="H4" s="386"/>
    </row>
    <row r="5" spans="1:13" x14ac:dyDescent="0.25">
      <c r="B5" s="1310" t="s">
        <v>4</v>
      </c>
      <c r="C5" s="1310"/>
      <c r="D5" s="1310"/>
      <c r="E5" s="1310"/>
      <c r="F5" s="1310"/>
      <c r="G5" s="1310"/>
      <c r="H5" s="386"/>
    </row>
    <row r="6" spans="1:13" ht="16.5" thickBot="1" x14ac:dyDescent="0.3">
      <c r="D6" s="878"/>
      <c r="E6" s="878"/>
      <c r="F6" s="878"/>
      <c r="G6" s="878"/>
      <c r="J6" s="31"/>
    </row>
    <row r="7" spans="1:13" x14ac:dyDescent="0.25">
      <c r="A7" s="386"/>
      <c r="B7" s="387"/>
      <c r="C7" s="388"/>
      <c r="D7" s="389" t="s">
        <v>184</v>
      </c>
      <c r="E7" s="390" t="s">
        <v>185</v>
      </c>
      <c r="F7" s="389" t="s">
        <v>493</v>
      </c>
      <c r="G7" s="391"/>
      <c r="H7" s="386"/>
    </row>
    <row r="8" spans="1:13" x14ac:dyDescent="0.25">
      <c r="A8" s="107" t="s">
        <v>5</v>
      </c>
      <c r="B8" s="392" t="s">
        <v>449</v>
      </c>
      <c r="C8" s="280"/>
      <c r="D8" s="668" t="s">
        <v>177</v>
      </c>
      <c r="E8" s="386" t="s">
        <v>494</v>
      </c>
      <c r="F8" s="668" t="s">
        <v>177</v>
      </c>
      <c r="G8" s="393"/>
      <c r="H8" s="107" t="s">
        <v>5</v>
      </c>
    </row>
    <row r="9" spans="1:13" ht="16.5" thickBot="1" x14ac:dyDescent="0.3">
      <c r="A9" s="107" t="s">
        <v>6</v>
      </c>
      <c r="B9" s="394" t="s">
        <v>495</v>
      </c>
      <c r="C9" s="876" t="s">
        <v>306</v>
      </c>
      <c r="D9" s="395" t="s">
        <v>496</v>
      </c>
      <c r="E9" s="876" t="s">
        <v>497</v>
      </c>
      <c r="F9" s="395" t="s">
        <v>498</v>
      </c>
      <c r="G9" s="669" t="s">
        <v>8</v>
      </c>
      <c r="H9" s="107" t="s">
        <v>6</v>
      </c>
      <c r="I9" s="107"/>
    </row>
    <row r="10" spans="1:13" x14ac:dyDescent="0.25">
      <c r="B10" s="396"/>
      <c r="C10" s="397" t="s">
        <v>568</v>
      </c>
      <c r="D10" s="670"/>
      <c r="E10" s="670"/>
      <c r="F10" s="671"/>
      <c r="G10" s="402"/>
    </row>
    <row r="11" spans="1:13" x14ac:dyDescent="0.25">
      <c r="A11" s="107">
        <v>1</v>
      </c>
      <c r="B11" s="396">
        <v>920</v>
      </c>
      <c r="C11" s="398" t="s">
        <v>569</v>
      </c>
      <c r="D11" s="232">
        <v>43017.856290000003</v>
      </c>
      <c r="E11" s="232"/>
      <c r="F11" s="232">
        <f>D11-E11</f>
        <v>43017.856290000003</v>
      </c>
      <c r="G11" s="369" t="s">
        <v>570</v>
      </c>
      <c r="H11" s="107">
        <f>A11</f>
        <v>1</v>
      </c>
      <c r="I11" s="106" t="s">
        <v>1</v>
      </c>
      <c r="J11" s="2"/>
    </row>
    <row r="12" spans="1:13" x14ac:dyDescent="0.25">
      <c r="A12" s="107">
        <f t="shared" ref="A12:A26" si="0">A11+1</f>
        <v>2</v>
      </c>
      <c r="B12" s="396">
        <v>921</v>
      </c>
      <c r="C12" s="398" t="s">
        <v>571</v>
      </c>
      <c r="D12" s="233">
        <v>32003.332709999995</v>
      </c>
      <c r="E12" s="6">
        <f>E30</f>
        <v>4.7840642999999998</v>
      </c>
      <c r="F12" s="233">
        <f>D12-E12</f>
        <v>31998.548645699993</v>
      </c>
      <c r="G12" s="369" t="s">
        <v>572</v>
      </c>
      <c r="H12" s="107">
        <f t="shared" ref="H12:H26" si="1">H11+1</f>
        <v>2</v>
      </c>
      <c r="J12" s="2"/>
      <c r="K12" s="399"/>
    </row>
    <row r="13" spans="1:13" x14ac:dyDescent="0.25">
      <c r="A13" s="107">
        <f t="shared" si="0"/>
        <v>3</v>
      </c>
      <c r="B13" s="396">
        <v>922</v>
      </c>
      <c r="C13" s="398" t="s">
        <v>573</v>
      </c>
      <c r="D13" s="233">
        <v>-13763.914919999999</v>
      </c>
      <c r="E13" s="6"/>
      <c r="F13" s="233">
        <f>D13-E13</f>
        <v>-13763.914919999999</v>
      </c>
      <c r="G13" s="369" t="s">
        <v>574</v>
      </c>
      <c r="H13" s="107">
        <f t="shared" si="1"/>
        <v>3</v>
      </c>
      <c r="J13" s="2"/>
    </row>
    <row r="14" spans="1:13" x14ac:dyDescent="0.25">
      <c r="A14" s="107">
        <f t="shared" si="0"/>
        <v>4</v>
      </c>
      <c r="B14" s="396">
        <v>923</v>
      </c>
      <c r="C14" s="398" t="s">
        <v>575</v>
      </c>
      <c r="D14" s="233">
        <v>106989.533</v>
      </c>
      <c r="E14" s="6">
        <f t="shared" ref="E14" si="2">E31</f>
        <v>-1166.77575</v>
      </c>
      <c r="F14" s="233">
        <f>D14-E14</f>
        <v>108156.30875</v>
      </c>
      <c r="G14" s="369" t="s">
        <v>576</v>
      </c>
      <c r="H14" s="107">
        <f t="shared" si="1"/>
        <v>4</v>
      </c>
      <c r="J14"/>
      <c r="K14"/>
      <c r="L14"/>
      <c r="M14"/>
    </row>
    <row r="15" spans="1:13" x14ac:dyDescent="0.25">
      <c r="A15" s="107">
        <f t="shared" si="0"/>
        <v>5</v>
      </c>
      <c r="B15" s="396">
        <v>924</v>
      </c>
      <c r="C15" s="398" t="s">
        <v>577</v>
      </c>
      <c r="D15" s="233">
        <v>10584.239569999998</v>
      </c>
      <c r="E15" s="6"/>
      <c r="F15" s="233">
        <f t="shared" ref="F15:F16" si="3">D15-E15</f>
        <v>10584.239569999998</v>
      </c>
      <c r="G15" s="369" t="s">
        <v>578</v>
      </c>
      <c r="H15" s="107">
        <f t="shared" si="1"/>
        <v>5</v>
      </c>
      <c r="J15"/>
      <c r="K15"/>
      <c r="L15"/>
      <c r="M15"/>
    </row>
    <row r="16" spans="1:13" x14ac:dyDescent="0.25">
      <c r="A16" s="107">
        <f t="shared" si="0"/>
        <v>6</v>
      </c>
      <c r="B16" s="396">
        <v>925</v>
      </c>
      <c r="C16" s="398" t="s">
        <v>579</v>
      </c>
      <c r="D16" s="233">
        <v>213057.13392000002</v>
      </c>
      <c r="E16" s="6">
        <f>E33</f>
        <v>382.02937231999999</v>
      </c>
      <c r="F16" s="233">
        <f t="shared" si="3"/>
        <v>212675.10454768004</v>
      </c>
      <c r="G16" s="369" t="s">
        <v>580</v>
      </c>
      <c r="H16" s="107">
        <f t="shared" si="1"/>
        <v>6</v>
      </c>
      <c r="J16" s="2"/>
    </row>
    <row r="17" spans="1:13" ht="18.75" x14ac:dyDescent="0.25">
      <c r="A17" s="107">
        <f>A16+1</f>
        <v>7</v>
      </c>
      <c r="B17" s="396">
        <v>926</v>
      </c>
      <c r="C17" s="398" t="s">
        <v>581</v>
      </c>
      <c r="D17" s="233">
        <v>63809.404609999998</v>
      </c>
      <c r="E17" s="6">
        <f>E34</f>
        <v>446.01363487000009</v>
      </c>
      <c r="F17" s="233">
        <f>D17-E17</f>
        <v>63363.390975129994</v>
      </c>
      <c r="G17" s="369" t="s">
        <v>582</v>
      </c>
      <c r="H17" s="107">
        <f>A16+1</f>
        <v>7</v>
      </c>
      <c r="J17" s="2"/>
    </row>
    <row r="18" spans="1:13" x14ac:dyDescent="0.25">
      <c r="A18" s="107">
        <f>A17+1</f>
        <v>8</v>
      </c>
      <c r="B18" s="396">
        <v>927</v>
      </c>
      <c r="C18" s="398" t="s">
        <v>583</v>
      </c>
      <c r="D18" s="903">
        <v>112751.95299999999</v>
      </c>
      <c r="E18" s="233">
        <f>E35</f>
        <v>112751.95299999999</v>
      </c>
      <c r="F18" s="233">
        <f t="shared" ref="F18:F20" si="4">D18-E18</f>
        <v>0</v>
      </c>
      <c r="G18" s="369" t="s">
        <v>584</v>
      </c>
      <c r="H18" s="107">
        <f>A17+1</f>
        <v>8</v>
      </c>
      <c r="J18" s="2"/>
    </row>
    <row r="19" spans="1:13" ht="18.75" x14ac:dyDescent="0.25">
      <c r="A19" s="107">
        <f t="shared" si="0"/>
        <v>9</v>
      </c>
      <c r="B19" s="396">
        <v>928</v>
      </c>
      <c r="C19" s="398" t="s">
        <v>585</v>
      </c>
      <c r="D19" s="233">
        <v>36424.177230000001</v>
      </c>
      <c r="E19" s="6">
        <f>E41</f>
        <v>24922.609759999996</v>
      </c>
      <c r="F19" s="233">
        <f t="shared" si="4"/>
        <v>11501.567470000005</v>
      </c>
      <c r="G19" s="369" t="s">
        <v>586</v>
      </c>
      <c r="H19" s="107">
        <f t="shared" si="1"/>
        <v>9</v>
      </c>
      <c r="J19" s="2"/>
    </row>
    <row r="20" spans="1:13" x14ac:dyDescent="0.25">
      <c r="A20" s="107">
        <f t="shared" si="0"/>
        <v>10</v>
      </c>
      <c r="B20" s="396">
        <v>929</v>
      </c>
      <c r="C20" s="398" t="s">
        <v>587</v>
      </c>
      <c r="D20" s="233">
        <v>-17216.712979999997</v>
      </c>
      <c r="E20" s="6">
        <f>E42</f>
        <v>-3937.7277100000001</v>
      </c>
      <c r="F20" s="233">
        <f t="shared" si="4"/>
        <v>-13278.985269999997</v>
      </c>
      <c r="G20" s="369" t="s">
        <v>588</v>
      </c>
      <c r="H20" s="107">
        <f t="shared" si="1"/>
        <v>10</v>
      </c>
      <c r="J20" s="2"/>
    </row>
    <row r="21" spans="1:13" x14ac:dyDescent="0.25">
      <c r="A21" s="107">
        <f>A20+1</f>
        <v>11</v>
      </c>
      <c r="B21" s="400">
        <v>930.1</v>
      </c>
      <c r="C21" s="398" t="s">
        <v>589</v>
      </c>
      <c r="D21" s="233">
        <v>55.474339999999998</v>
      </c>
      <c r="E21" s="6">
        <f>E43</f>
        <v>55.474339999999998</v>
      </c>
      <c r="F21" s="233">
        <f>D21-E21</f>
        <v>0</v>
      </c>
      <c r="G21" s="369" t="s">
        <v>590</v>
      </c>
      <c r="H21" s="107">
        <f>H20+1</f>
        <v>11</v>
      </c>
      <c r="J21" s="2"/>
    </row>
    <row r="22" spans="1:13" x14ac:dyDescent="0.25">
      <c r="A22" s="107">
        <f>A21+1</f>
        <v>12</v>
      </c>
      <c r="B22" s="400">
        <v>930.2</v>
      </c>
      <c r="C22" s="398" t="s">
        <v>591</v>
      </c>
      <c r="D22" s="233">
        <v>2770.7686400000007</v>
      </c>
      <c r="E22" s="6">
        <f>E45</f>
        <v>1045.6107878</v>
      </c>
      <c r="F22" s="233">
        <f t="shared" ref="F22" si="5">D22-E22</f>
        <v>1725.1578522000007</v>
      </c>
      <c r="G22" s="369" t="s">
        <v>592</v>
      </c>
      <c r="H22" s="107">
        <f>H21+1</f>
        <v>12</v>
      </c>
      <c r="J22" s="2"/>
    </row>
    <row r="23" spans="1:13" x14ac:dyDescent="0.25">
      <c r="A23" s="107">
        <f t="shared" si="0"/>
        <v>13</v>
      </c>
      <c r="B23" s="396">
        <v>931</v>
      </c>
      <c r="C23" s="398" t="s">
        <v>528</v>
      </c>
      <c r="D23" s="233">
        <v>13677.63228</v>
      </c>
      <c r="E23" s="6"/>
      <c r="F23" s="233">
        <f>D23-E23</f>
        <v>13677.63228</v>
      </c>
      <c r="G23" s="369" t="s">
        <v>593</v>
      </c>
      <c r="H23" s="107">
        <f t="shared" si="1"/>
        <v>13</v>
      </c>
      <c r="J23" s="2"/>
    </row>
    <row r="24" spans="1:13" x14ac:dyDescent="0.25">
      <c r="A24" s="107">
        <f t="shared" si="0"/>
        <v>14</v>
      </c>
      <c r="B24" s="396">
        <v>935</v>
      </c>
      <c r="C24" s="398" t="s">
        <v>594</v>
      </c>
      <c r="D24" s="94">
        <v>22833.292279999998</v>
      </c>
      <c r="E24" s="877">
        <f>E47</f>
        <v>32.775579999999998</v>
      </c>
      <c r="F24" s="94">
        <f>D24-E24</f>
        <v>22800.516699999996</v>
      </c>
      <c r="G24" s="571" t="s">
        <v>595</v>
      </c>
      <c r="H24" s="107">
        <f t="shared" si="1"/>
        <v>14</v>
      </c>
      <c r="I24" s="106" t="s">
        <v>1</v>
      </c>
      <c r="J24" s="2"/>
    </row>
    <row r="25" spans="1:13" x14ac:dyDescent="0.25">
      <c r="A25" s="107">
        <f>A24+1</f>
        <v>15</v>
      </c>
      <c r="B25" s="396"/>
      <c r="D25" s="672"/>
      <c r="F25" s="672"/>
      <c r="G25" s="401"/>
      <c r="H25" s="107">
        <f>H24+1</f>
        <v>15</v>
      </c>
    </row>
    <row r="26" spans="1:13" ht="16.5" thickBot="1" x14ac:dyDescent="0.3">
      <c r="A26" s="107">
        <f t="shared" si="0"/>
        <v>16</v>
      </c>
      <c r="B26" s="396"/>
      <c r="C26" s="280" t="s">
        <v>596</v>
      </c>
      <c r="D26" s="99">
        <f>SUM(D11:D24)</f>
        <v>626994.16997000016</v>
      </c>
      <c r="E26" s="103">
        <f>SUM(E11:E24)</f>
        <v>134536.74707928995</v>
      </c>
      <c r="F26" s="99">
        <f>SUM(F11:F24)</f>
        <v>492457.42289071006</v>
      </c>
      <c r="G26" s="402" t="str">
        <f>"Sum Lines "&amp;A11&amp;" thru "&amp;A24</f>
        <v>Sum Lines 1 thru 14</v>
      </c>
      <c r="H26" s="107">
        <f t="shared" si="1"/>
        <v>16</v>
      </c>
    </row>
    <row r="27" spans="1:13" ht="17.25" thickTop="1" thickBot="1" x14ac:dyDescent="0.3">
      <c r="A27" s="107">
        <f>A26+1</f>
        <v>17</v>
      </c>
      <c r="B27" s="403"/>
      <c r="C27" s="878"/>
      <c r="D27" s="104"/>
      <c r="E27" s="105"/>
      <c r="F27" s="105"/>
      <c r="G27" s="634"/>
      <c r="H27" s="107">
        <f>H26+1</f>
        <v>17</v>
      </c>
    </row>
    <row r="28" spans="1:13" x14ac:dyDescent="0.25">
      <c r="A28" s="107">
        <f>A27+1</f>
        <v>18</v>
      </c>
      <c r="B28" s="404"/>
      <c r="G28" s="401"/>
      <c r="H28" s="107">
        <f>H27+1</f>
        <v>18</v>
      </c>
    </row>
    <row r="29" spans="1:13" x14ac:dyDescent="0.25">
      <c r="A29" s="107">
        <f t="shared" ref="A29:A55" si="6">A28+1</f>
        <v>19</v>
      </c>
      <c r="B29" s="405" t="s">
        <v>597</v>
      </c>
      <c r="C29" s="107"/>
      <c r="D29" s="107"/>
      <c r="E29" s="107"/>
      <c r="F29" s="107"/>
      <c r="G29" s="401"/>
      <c r="H29" s="107">
        <f>H28+1</f>
        <v>19</v>
      </c>
    </row>
    <row r="30" spans="1:13" x14ac:dyDescent="0.25">
      <c r="A30" s="107">
        <f t="shared" si="6"/>
        <v>20</v>
      </c>
      <c r="B30" s="633">
        <v>921</v>
      </c>
      <c r="C30" s="398" t="s">
        <v>1820</v>
      </c>
      <c r="D30" s="1163"/>
      <c r="E30" s="867">
        <v>4.7840642999999998</v>
      </c>
      <c r="F30" s="107"/>
      <c r="G30" s="401"/>
      <c r="H30" s="107">
        <f t="shared" ref="H30:H55" si="7">H29+1</f>
        <v>20</v>
      </c>
    </row>
    <row r="31" spans="1:13" ht="18.75" x14ac:dyDescent="0.25">
      <c r="A31" s="107">
        <f t="shared" si="6"/>
        <v>21</v>
      </c>
      <c r="B31" s="633">
        <v>923</v>
      </c>
      <c r="C31" s="398" t="s">
        <v>1821</v>
      </c>
      <c r="D31" s="1163"/>
      <c r="E31" s="1201">
        <v>-1166.77575</v>
      </c>
      <c r="F31" s="107"/>
      <c r="G31" s="401"/>
      <c r="H31" s="107">
        <f t="shared" si="7"/>
        <v>21</v>
      </c>
    </row>
    <row r="32" spans="1:13" x14ac:dyDescent="0.25">
      <c r="A32" s="107">
        <f t="shared" si="6"/>
        <v>22</v>
      </c>
      <c r="B32" s="633">
        <v>925</v>
      </c>
      <c r="C32" s="398" t="s">
        <v>598</v>
      </c>
      <c r="D32" s="1163">
        <v>271.77697832000001</v>
      </c>
      <c r="E32" s="107"/>
      <c r="F32" s="107"/>
      <c r="G32" s="401"/>
      <c r="H32" s="107">
        <f t="shared" si="7"/>
        <v>22</v>
      </c>
      <c r="J32"/>
      <c r="K32"/>
      <c r="L32"/>
      <c r="M32"/>
    </row>
    <row r="33" spans="1:21" x14ac:dyDescent="0.25">
      <c r="A33" s="107">
        <f t="shared" si="6"/>
        <v>23</v>
      </c>
      <c r="B33" s="633"/>
      <c r="C33" s="398" t="s">
        <v>1820</v>
      </c>
      <c r="D33" s="1096">
        <v>110.252394</v>
      </c>
      <c r="E33" s="1163">
        <f>SUM(D32:D33)</f>
        <v>382.02937231999999</v>
      </c>
      <c r="F33" s="107"/>
      <c r="G33" s="401"/>
      <c r="H33" s="107">
        <f t="shared" si="7"/>
        <v>23</v>
      </c>
      <c r="J33"/>
      <c r="K33"/>
      <c r="L33"/>
      <c r="M33"/>
    </row>
    <row r="34" spans="1:21" x14ac:dyDescent="0.25">
      <c r="A34" s="107">
        <f t="shared" si="6"/>
        <v>24</v>
      </c>
      <c r="B34" s="633">
        <v>926</v>
      </c>
      <c r="C34" s="1165" t="s">
        <v>598</v>
      </c>
      <c r="D34"/>
      <c r="E34" s="905">
        <v>446.01363487000009</v>
      </c>
      <c r="F34" s="107"/>
      <c r="G34" s="401"/>
      <c r="H34" s="107">
        <f t="shared" si="7"/>
        <v>24</v>
      </c>
      <c r="J34"/>
      <c r="K34"/>
      <c r="L34"/>
      <c r="M34"/>
    </row>
    <row r="35" spans="1:21" x14ac:dyDescent="0.25">
      <c r="A35" s="107">
        <f t="shared" si="6"/>
        <v>25</v>
      </c>
      <c r="B35" s="631">
        <v>927</v>
      </c>
      <c r="C35" s="1165" t="s">
        <v>583</v>
      </c>
      <c r="D35" s="1163"/>
      <c r="E35" s="905">
        <v>112751.95299999999</v>
      </c>
      <c r="F35" s="107"/>
      <c r="G35" s="401"/>
      <c r="H35" s="107">
        <f t="shared" si="7"/>
        <v>25</v>
      </c>
    </row>
    <row r="36" spans="1:21" x14ac:dyDescent="0.25">
      <c r="A36" s="107">
        <f t="shared" si="6"/>
        <v>26</v>
      </c>
      <c r="B36" s="633">
        <v>928</v>
      </c>
      <c r="C36" s="398" t="s">
        <v>599</v>
      </c>
      <c r="D36" s="1163">
        <v>22096.966619999999</v>
      </c>
      <c r="E36" s="107"/>
      <c r="F36" s="107"/>
      <c r="G36" s="401"/>
      <c r="H36" s="107">
        <f t="shared" si="7"/>
        <v>26</v>
      </c>
      <c r="J36" s="904"/>
    </row>
    <row r="37" spans="1:21" x14ac:dyDescent="0.25">
      <c r="A37" s="107">
        <f t="shared" si="6"/>
        <v>27</v>
      </c>
      <c r="B37" s="633"/>
      <c r="C37" s="398" t="s">
        <v>600</v>
      </c>
      <c r="D37" s="1163">
        <v>0.77205999999999997</v>
      </c>
      <c r="E37" s="107"/>
      <c r="F37" s="107"/>
      <c r="G37" s="401"/>
      <c r="H37" s="107">
        <f t="shared" si="7"/>
        <v>27</v>
      </c>
      <c r="J37" s="904"/>
    </row>
    <row r="38" spans="1:21" x14ac:dyDescent="0.25">
      <c r="A38" s="107">
        <f t="shared" si="6"/>
        <v>28</v>
      </c>
      <c r="B38" s="633"/>
      <c r="C38" s="398" t="s">
        <v>598</v>
      </c>
      <c r="D38" s="1163">
        <v>666.62089999999989</v>
      </c>
      <c r="E38" s="107"/>
      <c r="F38" s="107"/>
      <c r="G38" s="401"/>
      <c r="H38" s="107">
        <f t="shared" si="7"/>
        <v>28</v>
      </c>
    </row>
    <row r="39" spans="1:21" x14ac:dyDescent="0.25">
      <c r="A39" s="107">
        <f t="shared" si="6"/>
        <v>29</v>
      </c>
      <c r="B39" s="633"/>
      <c r="C39" s="398" t="s">
        <v>1928</v>
      </c>
      <c r="D39" s="1163">
        <f>236.25819+654.39567</f>
        <v>890.65386000000001</v>
      </c>
      <c r="E39" s="107"/>
      <c r="F39" s="107"/>
      <c r="G39" s="401"/>
      <c r="H39" s="107">
        <f t="shared" si="7"/>
        <v>29</v>
      </c>
    </row>
    <row r="40" spans="1:21" x14ac:dyDescent="0.25">
      <c r="A40" s="107">
        <f t="shared" si="6"/>
        <v>30</v>
      </c>
      <c r="B40" s="633"/>
      <c r="C40" s="1166" t="s">
        <v>12</v>
      </c>
      <c r="D40" s="909">
        <v>0</v>
      </c>
      <c r="E40" s="107"/>
      <c r="F40" s="107"/>
      <c r="G40" s="401"/>
      <c r="H40" s="107">
        <f t="shared" si="7"/>
        <v>30</v>
      </c>
      <c r="J40"/>
      <c r="K40"/>
      <c r="L40"/>
      <c r="M40"/>
      <c r="N40"/>
      <c r="O40"/>
      <c r="P40"/>
      <c r="Q40"/>
      <c r="R40"/>
      <c r="S40"/>
      <c r="T40"/>
      <c r="U40"/>
    </row>
    <row r="41" spans="1:21" x14ac:dyDescent="0.25">
      <c r="A41" s="107">
        <f t="shared" si="6"/>
        <v>31</v>
      </c>
      <c r="B41" s="633"/>
      <c r="C41" s="1166" t="s">
        <v>601</v>
      </c>
      <c r="D41" s="1096">
        <v>1267.5963200000001</v>
      </c>
      <c r="E41" s="1163">
        <f>SUM(D36:D41)</f>
        <v>24922.609759999996</v>
      </c>
      <c r="F41" s="107"/>
      <c r="G41" s="401"/>
      <c r="H41" s="107">
        <f t="shared" si="7"/>
        <v>31</v>
      </c>
      <c r="J41"/>
      <c r="K41"/>
      <c r="L41"/>
      <c r="M41"/>
      <c r="N41"/>
      <c r="O41"/>
      <c r="P41"/>
      <c r="Q41"/>
      <c r="R41"/>
      <c r="S41"/>
      <c r="T41"/>
      <c r="U41"/>
    </row>
    <row r="42" spans="1:21" x14ac:dyDescent="0.25">
      <c r="A42" s="107">
        <f t="shared" si="6"/>
        <v>32</v>
      </c>
      <c r="B42" s="633">
        <v>929</v>
      </c>
      <c r="C42" s="1166" t="s">
        <v>1505</v>
      </c>
      <c r="D42" s="1163"/>
      <c r="E42" s="1163">
        <v>-3937.7277100000001</v>
      </c>
      <c r="F42" s="107"/>
      <c r="G42" s="401"/>
      <c r="H42" s="107">
        <f t="shared" si="7"/>
        <v>32</v>
      </c>
      <c r="J42"/>
      <c r="K42"/>
      <c r="L42"/>
      <c r="M42"/>
      <c r="N42"/>
      <c r="O42"/>
      <c r="P42"/>
      <c r="Q42"/>
      <c r="R42"/>
      <c r="S42"/>
      <c r="T42"/>
      <c r="U42"/>
    </row>
    <row r="43" spans="1:21" x14ac:dyDescent="0.25">
      <c r="A43" s="107">
        <f t="shared" si="6"/>
        <v>33</v>
      </c>
      <c r="B43" s="632">
        <v>930.1</v>
      </c>
      <c r="C43" s="1166" t="s">
        <v>589</v>
      </c>
      <c r="D43" s="1163"/>
      <c r="E43" s="905">
        <v>55.474339999999998</v>
      </c>
      <c r="F43" s="107"/>
      <c r="G43" s="401"/>
      <c r="H43" s="107">
        <f t="shared" si="7"/>
        <v>33</v>
      </c>
      <c r="J43"/>
      <c r="K43"/>
    </row>
    <row r="44" spans="1:21" x14ac:dyDescent="0.25">
      <c r="A44" s="107">
        <f t="shared" si="6"/>
        <v>34</v>
      </c>
      <c r="B44" s="879">
        <v>930.2</v>
      </c>
      <c r="C44" s="1165" t="s">
        <v>602</v>
      </c>
      <c r="D44" s="905">
        <v>908.44687999999996</v>
      </c>
      <c r="F44" s="107"/>
      <c r="G44" s="401"/>
      <c r="H44" s="107">
        <f t="shared" si="7"/>
        <v>34</v>
      </c>
      <c r="J44"/>
      <c r="K44"/>
    </row>
    <row r="45" spans="1:21" x14ac:dyDescent="0.25">
      <c r="A45" s="107">
        <f t="shared" si="6"/>
        <v>35</v>
      </c>
      <c r="B45" s="879"/>
      <c r="C45" s="398" t="s">
        <v>1820</v>
      </c>
      <c r="D45" s="906">
        <v>137.16390779999998</v>
      </c>
      <c r="E45" s="905">
        <f>SUM(D44:D45)</f>
        <v>1045.6107878</v>
      </c>
      <c r="F45" s="107"/>
      <c r="G45" s="401"/>
      <c r="H45" s="107">
        <f t="shared" si="7"/>
        <v>35</v>
      </c>
      <c r="J45"/>
      <c r="K45"/>
    </row>
    <row r="46" spans="1:21" x14ac:dyDescent="0.25">
      <c r="A46" s="107">
        <f t="shared" si="6"/>
        <v>36</v>
      </c>
      <c r="B46" s="633">
        <v>935</v>
      </c>
      <c r="C46" s="398" t="s">
        <v>603</v>
      </c>
      <c r="D46" s="1163">
        <v>0</v>
      </c>
      <c r="F46" s="107"/>
      <c r="G46" s="401"/>
      <c r="H46" s="107">
        <f t="shared" si="7"/>
        <v>36</v>
      </c>
    </row>
    <row r="47" spans="1:21" x14ac:dyDescent="0.25">
      <c r="A47" s="107">
        <f t="shared" si="6"/>
        <v>37</v>
      </c>
      <c r="B47" s="633"/>
      <c r="C47" s="398" t="s">
        <v>1928</v>
      </c>
      <c r="D47" s="1096">
        <v>32.775579999999998</v>
      </c>
      <c r="E47" s="906">
        <f>+D46+D47</f>
        <v>32.775579999999998</v>
      </c>
      <c r="F47" s="107"/>
      <c r="G47" s="401"/>
      <c r="H47" s="107">
        <f t="shared" si="7"/>
        <v>37</v>
      </c>
    </row>
    <row r="48" spans="1:21" x14ac:dyDescent="0.25">
      <c r="A48" s="107">
        <f t="shared" si="6"/>
        <v>38</v>
      </c>
      <c r="B48" s="633"/>
      <c r="C48" s="1167"/>
      <c r="D48" s="1168"/>
      <c r="E48" s="6"/>
      <c r="G48" s="401"/>
      <c r="H48" s="107">
        <f t="shared" si="7"/>
        <v>38</v>
      </c>
    </row>
    <row r="49" spans="1:16" ht="16.5" thickBot="1" x14ac:dyDescent="0.3">
      <c r="A49" s="107">
        <f t="shared" si="6"/>
        <v>39</v>
      </c>
      <c r="B49" s="404"/>
      <c r="C49" s="1169" t="s">
        <v>566</v>
      </c>
      <c r="D49" s="1170"/>
      <c r="E49" s="102">
        <f>SUM(E30:E47)</f>
        <v>134536.74707928995</v>
      </c>
      <c r="F49" s="108"/>
      <c r="G49" s="401"/>
      <c r="H49" s="107">
        <f t="shared" si="7"/>
        <v>39</v>
      </c>
    </row>
    <row r="50" spans="1:16" ht="16.5" thickTop="1" x14ac:dyDescent="0.25">
      <c r="A50" s="107">
        <f t="shared" si="6"/>
        <v>40</v>
      </c>
      <c r="B50" s="404"/>
      <c r="C50" s="1169"/>
      <c r="E50" s="43"/>
      <c r="F50" s="1"/>
      <c r="G50" s="401"/>
      <c r="H50" s="107">
        <f t="shared" si="7"/>
        <v>40</v>
      </c>
    </row>
    <row r="51" spans="1:16" x14ac:dyDescent="0.25">
      <c r="A51" s="107">
        <f t="shared" si="6"/>
        <v>41</v>
      </c>
      <c r="B51" s="404"/>
      <c r="C51" s="1169"/>
      <c r="E51" s="43"/>
      <c r="F51" s="1"/>
      <c r="G51" s="401"/>
      <c r="H51" s="107">
        <f t="shared" si="7"/>
        <v>41</v>
      </c>
    </row>
    <row r="52" spans="1:16" ht="18.75" x14ac:dyDescent="0.25">
      <c r="A52" s="107">
        <f t="shared" si="6"/>
        <v>42</v>
      </c>
      <c r="B52" s="406">
        <v>1</v>
      </c>
      <c r="C52" s="31" t="s">
        <v>1516</v>
      </c>
      <c r="E52" s="255"/>
      <c r="F52" s="1"/>
      <c r="G52" s="401"/>
      <c r="H52" s="107">
        <f t="shared" si="7"/>
        <v>42</v>
      </c>
      <c r="J52"/>
      <c r="K52"/>
      <c r="L52"/>
      <c r="M52"/>
      <c r="N52"/>
      <c r="O52"/>
      <c r="P52"/>
    </row>
    <row r="53" spans="1:16" ht="18.75" x14ac:dyDescent="0.25">
      <c r="A53" s="107">
        <f t="shared" si="6"/>
        <v>43</v>
      </c>
      <c r="B53" s="406">
        <v>2</v>
      </c>
      <c r="C53" s="1100" t="s">
        <v>1515</v>
      </c>
      <c r="E53" s="255"/>
      <c r="F53" s="1"/>
      <c r="G53" s="401"/>
      <c r="H53" s="107">
        <f t="shared" si="7"/>
        <v>43</v>
      </c>
      <c r="J53" s="1099"/>
      <c r="K53" s="1099"/>
      <c r="L53" s="1099"/>
      <c r="M53" s="1099"/>
      <c r="N53" s="1099"/>
      <c r="O53" s="1099"/>
    </row>
    <row r="54" spans="1:16" ht="18.75" x14ac:dyDescent="0.25">
      <c r="A54" s="107">
        <f t="shared" si="6"/>
        <v>44</v>
      </c>
      <c r="B54" s="406"/>
      <c r="C54" s="1100" t="s">
        <v>1514</v>
      </c>
      <c r="E54" s="255"/>
      <c r="F54" s="1"/>
      <c r="G54" s="401"/>
      <c r="H54" s="107">
        <f t="shared" si="7"/>
        <v>44</v>
      </c>
      <c r="J54" s="1099"/>
      <c r="K54" s="1099"/>
      <c r="L54" s="1099"/>
      <c r="M54" s="1099"/>
      <c r="N54" s="1099"/>
      <c r="O54" s="1099"/>
    </row>
    <row r="55" spans="1:16" ht="16.5" thickBot="1" x14ac:dyDescent="0.3">
      <c r="A55" s="107">
        <f t="shared" si="6"/>
        <v>45</v>
      </c>
      <c r="B55" s="407"/>
      <c r="C55" s="880"/>
      <c r="D55" s="878"/>
      <c r="E55" s="878"/>
      <c r="F55" s="878"/>
      <c r="G55" s="634"/>
      <c r="H55" s="107">
        <f t="shared" si="7"/>
        <v>45</v>
      </c>
    </row>
    <row r="56" spans="1:16" x14ac:dyDescent="0.25">
      <c r="A56" s="386"/>
      <c r="C56" s="398"/>
      <c r="D56" s="408"/>
      <c r="E56" s="408"/>
    </row>
    <row r="57" spans="1:16" ht="18.75" x14ac:dyDescent="0.25">
      <c r="A57" s="409"/>
      <c r="C57" s="398"/>
    </row>
    <row r="58" spans="1:16" ht="18.75" x14ac:dyDescent="0.25">
      <c r="A58" s="409"/>
      <c r="C58" s="398"/>
    </row>
    <row r="59" spans="1:16" ht="18.75" x14ac:dyDescent="0.25">
      <c r="A59" s="409"/>
      <c r="C59" s="398"/>
    </row>
    <row r="60" spans="1:16" ht="18.75" x14ac:dyDescent="0.25">
      <c r="A60" s="409"/>
      <c r="C60" s="398"/>
    </row>
    <row r="61" spans="1:16" ht="18.75" x14ac:dyDescent="0.25">
      <c r="A61" s="409"/>
      <c r="C61" s="398"/>
    </row>
    <row r="62" spans="1:16" ht="18.75" x14ac:dyDescent="0.25">
      <c r="A62" s="409"/>
      <c r="C62" s="398"/>
    </row>
    <row r="63" spans="1:16" x14ac:dyDescent="0.25">
      <c r="A63" s="386"/>
      <c r="C63" s="398"/>
    </row>
    <row r="64" spans="1:16" ht="18.75" x14ac:dyDescent="0.25">
      <c r="A64" s="409"/>
      <c r="C64" s="398"/>
    </row>
    <row r="65" spans="1:3" x14ac:dyDescent="0.25">
      <c r="A65" s="386"/>
      <c r="C65" s="398"/>
    </row>
    <row r="66" spans="1:3" ht="18.75" x14ac:dyDescent="0.25">
      <c r="A66" s="409"/>
      <c r="C66" s="398"/>
    </row>
    <row r="67" spans="1:3" x14ac:dyDescent="0.25">
      <c r="A67" s="386"/>
      <c r="C67" s="398"/>
    </row>
    <row r="68" spans="1:3" ht="18.75" x14ac:dyDescent="0.25">
      <c r="A68" s="409"/>
      <c r="C68" s="398"/>
    </row>
    <row r="69" spans="1:3" ht="18.75" x14ac:dyDescent="0.25">
      <c r="A69" s="409"/>
      <c r="B69" s="398"/>
    </row>
    <row r="70" spans="1:3" ht="18.75" x14ac:dyDescent="0.25">
      <c r="A70" s="409"/>
      <c r="B70" s="398"/>
    </row>
    <row r="71" spans="1:3" x14ac:dyDescent="0.25">
      <c r="B71" s="398"/>
    </row>
    <row r="72" spans="1:3" ht="18.75" x14ac:dyDescent="0.25">
      <c r="A72" s="409"/>
      <c r="B72" s="398"/>
    </row>
    <row r="73" spans="1:3" x14ac:dyDescent="0.25">
      <c r="A73" s="410"/>
      <c r="B73" s="280"/>
    </row>
    <row r="74" spans="1:3" x14ac:dyDescent="0.25">
      <c r="B74" s="398"/>
    </row>
  </sheetData>
  <mergeCells count="4">
    <mergeCell ref="B2:G2"/>
    <mergeCell ref="B3:G3"/>
    <mergeCell ref="B4:G4"/>
    <mergeCell ref="B5:G5"/>
  </mergeCells>
  <printOptions horizontalCentered="1"/>
  <pageMargins left="0.25" right="0.25" top="0.5" bottom="0.5" header="0.25" footer="0.25"/>
  <pageSetup scale="59"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9D97-323B-4E31-9909-23608930E43E}">
  <dimension ref="A1:L29"/>
  <sheetViews>
    <sheetView topLeftCell="A7" zoomScaleNormal="100" workbookViewId="0">
      <selection activeCell="K41" sqref="K41"/>
    </sheetView>
  </sheetViews>
  <sheetFormatPr defaultColWidth="8.7109375" defaultRowHeight="15.75" x14ac:dyDescent="0.25"/>
  <cols>
    <col min="1" max="1" width="5.28515625" style="4" customWidth="1"/>
    <col min="2" max="2" width="64.7109375" style="5" customWidth="1"/>
    <col min="3" max="3" width="21.28515625" style="31" customWidth="1"/>
    <col min="4" max="4" width="1.5703125" style="5" customWidth="1"/>
    <col min="5" max="5" width="16.7109375" style="5" customWidth="1"/>
    <col min="6" max="6" width="1.5703125" style="5" customWidth="1"/>
    <col min="7" max="7" width="34.5703125" style="5" customWidth="1"/>
    <col min="8" max="8" width="5.28515625" style="5" customWidth="1"/>
    <col min="9" max="9" width="8.7109375" style="5"/>
    <col min="10" max="10" width="20.42578125" style="883" bestFit="1" customWidth="1"/>
    <col min="11" max="16384" width="8.7109375" style="5"/>
  </cols>
  <sheetData>
    <row r="1" spans="1:12" x14ac:dyDescent="0.25">
      <c r="A1" s="415"/>
      <c r="B1" s="31"/>
      <c r="D1" s="31"/>
      <c r="E1" s="411"/>
      <c r="F1" s="412"/>
      <c r="G1" s="4"/>
      <c r="H1" s="4"/>
    </row>
    <row r="2" spans="1:12" x14ac:dyDescent="0.25">
      <c r="B2" s="1294" t="s">
        <v>0</v>
      </c>
      <c r="C2" s="1294"/>
      <c r="D2" s="1294"/>
      <c r="E2" s="1294"/>
      <c r="F2" s="1294"/>
      <c r="G2" s="1294"/>
      <c r="H2" s="4"/>
      <c r="J2"/>
      <c r="K2"/>
      <c r="L2"/>
    </row>
    <row r="3" spans="1:12" x14ac:dyDescent="0.25">
      <c r="B3" s="1294" t="s">
        <v>604</v>
      </c>
      <c r="C3" s="1294"/>
      <c r="D3" s="1294"/>
      <c r="E3" s="1294"/>
      <c r="F3" s="1294"/>
      <c r="G3" s="1294"/>
      <c r="H3" s="4"/>
      <c r="J3" s="902"/>
    </row>
    <row r="4" spans="1:12" x14ac:dyDescent="0.25">
      <c r="B4" s="1294" t="s">
        <v>605</v>
      </c>
      <c r="C4" s="1294"/>
      <c r="D4" s="1294"/>
      <c r="E4" s="1294"/>
      <c r="F4" s="1294"/>
      <c r="G4" s="1294"/>
      <c r="H4" s="4"/>
    </row>
    <row r="5" spans="1:12" x14ac:dyDescent="0.25">
      <c r="B5" s="1300" t="str">
        <f>'Stmt AD'!B5</f>
        <v>Base Period &amp; True-Up Period 12 - Months Ending December 31, 2023</v>
      </c>
      <c r="C5" s="1300"/>
      <c r="D5" s="1300"/>
      <c r="E5" s="1300"/>
      <c r="F5" s="1300"/>
      <c r="G5" s="1300"/>
      <c r="H5" s="4"/>
    </row>
    <row r="6" spans="1:12" x14ac:dyDescent="0.25">
      <c r="B6" s="1299" t="s">
        <v>4</v>
      </c>
      <c r="C6" s="1295"/>
      <c r="D6" s="1295"/>
      <c r="E6" s="1295"/>
      <c r="F6" s="1295"/>
      <c r="G6" s="1295"/>
      <c r="H6" s="4"/>
      <c r="J6"/>
      <c r="K6"/>
      <c r="L6"/>
    </row>
    <row r="7" spans="1:12" x14ac:dyDescent="0.25">
      <c r="B7" s="4"/>
      <c r="C7" s="4"/>
      <c r="D7" s="4"/>
      <c r="E7" s="4"/>
      <c r="F7" s="218"/>
      <c r="G7" s="4"/>
      <c r="H7" s="4"/>
    </row>
    <row r="8" spans="1:12" x14ac:dyDescent="0.25">
      <c r="A8" s="4" t="s">
        <v>5</v>
      </c>
      <c r="B8" s="218"/>
      <c r="C8" s="4" t="s">
        <v>205</v>
      </c>
      <c r="D8" s="218"/>
      <c r="E8" s="218"/>
      <c r="F8" s="218"/>
      <c r="G8" s="4"/>
      <c r="H8" s="4" t="s">
        <v>5</v>
      </c>
    </row>
    <row r="9" spans="1:12" x14ac:dyDescent="0.25">
      <c r="A9" s="4" t="s">
        <v>6</v>
      </c>
      <c r="B9" s="31"/>
      <c r="C9" s="849" t="s">
        <v>207</v>
      </c>
      <c r="D9" s="31"/>
      <c r="E9" s="850" t="s">
        <v>7</v>
      </c>
      <c r="F9" s="4"/>
      <c r="G9" s="849" t="s">
        <v>8</v>
      </c>
      <c r="H9" s="4" t="s">
        <v>6</v>
      </c>
    </row>
    <row r="10" spans="1:12" x14ac:dyDescent="0.25">
      <c r="B10" s="31"/>
      <c r="D10" s="31"/>
      <c r="E10" s="31"/>
      <c r="F10" s="4"/>
      <c r="G10" s="991"/>
      <c r="H10" s="4"/>
    </row>
    <row r="11" spans="1:12" x14ac:dyDescent="0.25">
      <c r="A11" s="4">
        <v>1</v>
      </c>
      <c r="B11" s="31" t="s">
        <v>606</v>
      </c>
      <c r="C11" s="46" t="s">
        <v>607</v>
      </c>
      <c r="D11" s="31"/>
      <c r="E11" s="40">
        <v>14293.665000000001</v>
      </c>
      <c r="F11" s="41"/>
      <c r="G11" s="413"/>
      <c r="H11" s="4">
        <f>A11</f>
        <v>1</v>
      </c>
      <c r="K11" s="46"/>
    </row>
    <row r="12" spans="1:12" x14ac:dyDescent="0.25">
      <c r="A12" s="4">
        <f>+A11+1</f>
        <v>2</v>
      </c>
      <c r="B12" s="31"/>
      <c r="C12" s="46"/>
      <c r="D12" s="31"/>
      <c r="E12" s="70"/>
      <c r="F12" s="41"/>
      <c r="G12" s="414"/>
      <c r="H12" s="4">
        <f>+H11+1</f>
        <v>2</v>
      </c>
      <c r="K12" s="46"/>
    </row>
    <row r="13" spans="1:12" x14ac:dyDescent="0.25">
      <c r="A13" s="4">
        <f t="shared" ref="A13:A25" si="0">+A12+1</f>
        <v>3</v>
      </c>
      <c r="B13" s="31" t="s">
        <v>608</v>
      </c>
      <c r="C13" s="46" t="s">
        <v>609</v>
      </c>
      <c r="D13" s="31"/>
      <c r="E13" s="42">
        <v>32531.388999999999</v>
      </c>
      <c r="F13" s="41"/>
      <c r="G13" s="413"/>
      <c r="H13" s="4">
        <f t="shared" ref="H13:H25" si="1">+H12+1</f>
        <v>3</v>
      </c>
      <c r="K13" s="46"/>
    </row>
    <row r="14" spans="1:12" x14ac:dyDescent="0.25">
      <c r="A14" s="4">
        <f t="shared" si="0"/>
        <v>4</v>
      </c>
      <c r="B14" s="31"/>
      <c r="C14" s="46"/>
      <c r="D14" s="31"/>
      <c r="E14" s="38"/>
      <c r="F14" s="41"/>
      <c r="G14" s="413"/>
      <c r="H14" s="4">
        <f t="shared" si="1"/>
        <v>4</v>
      </c>
      <c r="K14" s="46"/>
    </row>
    <row r="15" spans="1:12" x14ac:dyDescent="0.25">
      <c r="A15" s="4">
        <f t="shared" si="0"/>
        <v>5</v>
      </c>
      <c r="B15" s="31" t="s">
        <v>610</v>
      </c>
      <c r="C15" s="46" t="s">
        <v>611</v>
      </c>
      <c r="D15" s="31"/>
      <c r="E15" s="42">
        <v>77850.195999999996</v>
      </c>
      <c r="F15" s="41"/>
      <c r="G15" s="413"/>
      <c r="H15" s="4">
        <f t="shared" si="1"/>
        <v>5</v>
      </c>
      <c r="K15" s="46"/>
    </row>
    <row r="16" spans="1:12" x14ac:dyDescent="0.25">
      <c r="A16" s="4">
        <f t="shared" si="0"/>
        <v>6</v>
      </c>
      <c r="B16" s="31"/>
      <c r="C16" s="46"/>
      <c r="D16" s="31"/>
      <c r="E16" s="38"/>
      <c r="F16" s="41"/>
      <c r="G16" s="413"/>
      <c r="H16" s="4">
        <f t="shared" si="1"/>
        <v>6</v>
      </c>
      <c r="K16" s="46"/>
    </row>
    <row r="17" spans="1:11" x14ac:dyDescent="0.25">
      <c r="A17" s="4">
        <f t="shared" si="0"/>
        <v>7</v>
      </c>
      <c r="B17" s="31" t="s">
        <v>612</v>
      </c>
      <c r="C17" s="46" t="s">
        <v>613</v>
      </c>
      <c r="D17" s="31"/>
      <c r="E17" s="42">
        <v>19469.243999999999</v>
      </c>
      <c r="F17" s="41"/>
      <c r="G17" s="413"/>
      <c r="H17" s="4">
        <f t="shared" si="1"/>
        <v>7</v>
      </c>
      <c r="K17" s="46"/>
    </row>
    <row r="18" spans="1:11" x14ac:dyDescent="0.25">
      <c r="A18" s="4">
        <f t="shared" si="0"/>
        <v>8</v>
      </c>
      <c r="B18" s="31"/>
      <c r="C18" s="46"/>
      <c r="D18" s="31"/>
      <c r="E18" s="38"/>
      <c r="F18" s="41"/>
      <c r="G18" s="413"/>
      <c r="H18" s="4">
        <f t="shared" si="1"/>
        <v>8</v>
      </c>
      <c r="K18" s="46"/>
    </row>
    <row r="19" spans="1:11" x14ac:dyDescent="0.25">
      <c r="A19" s="4">
        <f t="shared" si="0"/>
        <v>9</v>
      </c>
      <c r="B19" s="31" t="s">
        <v>614</v>
      </c>
      <c r="C19" s="46" t="s">
        <v>615</v>
      </c>
      <c r="D19" s="31"/>
      <c r="E19" s="42">
        <v>18488.069</v>
      </c>
      <c r="F19" s="41"/>
      <c r="G19" s="413"/>
      <c r="H19" s="4">
        <f t="shared" si="1"/>
        <v>9</v>
      </c>
      <c r="K19" s="46"/>
    </row>
    <row r="20" spans="1:11" x14ac:dyDescent="0.25">
      <c r="A20" s="4">
        <f t="shared" si="0"/>
        <v>10</v>
      </c>
      <c r="B20" s="31"/>
      <c r="C20" s="46"/>
      <c r="D20" s="31"/>
      <c r="E20" s="38"/>
      <c r="F20" s="41"/>
      <c r="G20" s="413"/>
      <c r="H20" s="4">
        <f t="shared" si="1"/>
        <v>10</v>
      </c>
      <c r="K20" s="46"/>
    </row>
    <row r="21" spans="1:11" x14ac:dyDescent="0.25">
      <c r="A21" s="4">
        <f t="shared" si="0"/>
        <v>11</v>
      </c>
      <c r="B21" s="31" t="s">
        <v>616</v>
      </c>
      <c r="C21" s="46" t="s">
        <v>617</v>
      </c>
      <c r="D21" s="31"/>
      <c r="E21" s="908">
        <v>0</v>
      </c>
      <c r="F21" s="41"/>
      <c r="G21" s="413"/>
      <c r="H21" s="4">
        <f t="shared" si="1"/>
        <v>11</v>
      </c>
      <c r="K21" s="46"/>
    </row>
    <row r="22" spans="1:11" x14ac:dyDescent="0.25">
      <c r="A22" s="4">
        <f t="shared" si="0"/>
        <v>12</v>
      </c>
      <c r="B22" s="31"/>
      <c r="D22" s="31"/>
      <c r="E22" s="70"/>
      <c r="F22" s="41"/>
      <c r="G22" s="46"/>
      <c r="H22" s="4">
        <f t="shared" si="1"/>
        <v>12</v>
      </c>
    </row>
    <row r="23" spans="1:11" ht="16.5" thickBot="1" x14ac:dyDescent="0.3">
      <c r="A23" s="4">
        <f t="shared" si="0"/>
        <v>13</v>
      </c>
      <c r="B23" s="31" t="s">
        <v>618</v>
      </c>
      <c r="D23" s="31"/>
      <c r="E23" s="119">
        <f>SUM(E11:E21)</f>
        <v>162632.56299999999</v>
      </c>
      <c r="F23" s="41"/>
      <c r="G23" s="44" t="s">
        <v>619</v>
      </c>
      <c r="H23" s="4">
        <f t="shared" si="1"/>
        <v>13</v>
      </c>
    </row>
    <row r="24" spans="1:11" ht="16.5" thickTop="1" x14ac:dyDescent="0.25">
      <c r="A24" s="4">
        <f t="shared" si="0"/>
        <v>14</v>
      </c>
      <c r="B24" s="31"/>
      <c r="D24" s="31"/>
      <c r="E24" s="48"/>
      <c r="F24" s="41"/>
      <c r="G24" s="44"/>
      <c r="H24" s="4">
        <f t="shared" si="1"/>
        <v>14</v>
      </c>
    </row>
    <row r="25" spans="1:11" ht="16.5" thickBot="1" x14ac:dyDescent="0.3">
      <c r="A25" s="4">
        <f t="shared" si="0"/>
        <v>15</v>
      </c>
      <c r="B25" s="31" t="s">
        <v>233</v>
      </c>
      <c r="D25" s="31"/>
      <c r="E25" s="109">
        <f>IFERROR(E13/E23,0)</f>
        <v>0.20002998415514117</v>
      </c>
      <c r="F25" s="73"/>
      <c r="G25" s="4" t="s">
        <v>620</v>
      </c>
      <c r="H25" s="4">
        <f t="shared" si="1"/>
        <v>15</v>
      </c>
    </row>
    <row r="26" spans="1:11" ht="16.5" thickTop="1" x14ac:dyDescent="0.25">
      <c r="B26" s="31"/>
      <c r="D26" s="31"/>
      <c r="E26" s="72"/>
      <c r="F26" s="73"/>
      <c r="G26" s="4"/>
      <c r="H26" s="4"/>
    </row>
    <row r="27" spans="1:11" x14ac:dyDescent="0.25">
      <c r="B27" s="31"/>
      <c r="D27" s="31"/>
      <c r="E27" s="72"/>
      <c r="F27" s="73"/>
      <c r="G27" s="44"/>
      <c r="H27" s="4"/>
    </row>
    <row r="28" spans="1:11" x14ac:dyDescent="0.25">
      <c r="B28" s="31"/>
      <c r="D28" s="31"/>
      <c r="E28" s="154"/>
      <c r="F28" s="73"/>
      <c r="G28" s="4"/>
      <c r="H28" s="4"/>
    </row>
    <row r="29" spans="1:11" x14ac:dyDescent="0.25">
      <c r="E29" s="680"/>
    </row>
  </sheetData>
  <mergeCells count="5">
    <mergeCell ref="B2:G2"/>
    <mergeCell ref="B3:G3"/>
    <mergeCell ref="B4:G4"/>
    <mergeCell ref="B5:G5"/>
    <mergeCell ref="B6:G6"/>
  </mergeCells>
  <pageMargins left="0.7" right="0.7" top="0.75" bottom="0.75" header="0.3" footer="0.3"/>
  <pageSetup scale="60" orientation="portrait" horizontalDpi="1200" verticalDpi="1200" r:id="rId1"/>
  <headerFooter scaleWithDoc="0">
    <oddFooter>&amp;C&amp;A</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12F7-9F88-4635-8E59-C08313D9831F}">
  <dimension ref="A1:L41"/>
  <sheetViews>
    <sheetView zoomScaleNormal="100" workbookViewId="0">
      <selection activeCell="E33" sqref="E33"/>
    </sheetView>
  </sheetViews>
  <sheetFormatPr defaultColWidth="8.7109375" defaultRowHeight="15.75" x14ac:dyDescent="0.25"/>
  <cols>
    <col min="1" max="1" width="5.28515625" style="4" customWidth="1"/>
    <col min="2" max="2" width="71.5703125" style="31" customWidth="1"/>
    <col min="3" max="3" width="21.28515625" style="358" customWidth="1"/>
    <col min="4" max="4" width="1.5703125" style="31" customWidth="1"/>
    <col min="5" max="5" width="16.7109375" style="31" customWidth="1"/>
    <col min="6" max="6" width="1.5703125" style="31" customWidth="1"/>
    <col min="7" max="7" width="34.5703125" style="31" customWidth="1"/>
    <col min="8" max="8" width="5.28515625" style="4" customWidth="1"/>
    <col min="9" max="9" width="20.42578125" style="31" bestFit="1" customWidth="1"/>
    <col min="10" max="16384" width="8.7109375" style="31"/>
  </cols>
  <sheetData>
    <row r="1" spans="1:8" x14ac:dyDescent="0.25">
      <c r="B1" s="32"/>
      <c r="E1" s="70"/>
      <c r="F1" s="41"/>
      <c r="G1" s="4"/>
    </row>
    <row r="2" spans="1:8" x14ac:dyDescent="0.25">
      <c r="B2" s="1294" t="s">
        <v>0</v>
      </c>
      <c r="C2" s="1294"/>
      <c r="D2" s="1294"/>
      <c r="E2" s="1294"/>
      <c r="F2" s="1294"/>
      <c r="G2" s="1294"/>
    </row>
    <row r="3" spans="1:8" x14ac:dyDescent="0.25">
      <c r="B3" s="1294" t="s">
        <v>621</v>
      </c>
      <c r="C3" s="1294"/>
      <c r="D3" s="1294"/>
      <c r="E3" s="1294"/>
      <c r="F3" s="1294"/>
      <c r="G3" s="1294"/>
    </row>
    <row r="4" spans="1:8" x14ac:dyDescent="0.25">
      <c r="B4" s="1294" t="s">
        <v>622</v>
      </c>
      <c r="C4" s="1294"/>
      <c r="D4" s="1294"/>
      <c r="E4" s="1294"/>
      <c r="F4" s="1294"/>
      <c r="G4" s="1294"/>
    </row>
    <row r="5" spans="1:8" x14ac:dyDescent="0.25">
      <c r="B5" s="1300" t="str">
        <f>'Stmt AD'!B5</f>
        <v>Base Period &amp; True-Up Period 12 - Months Ending December 31, 2023</v>
      </c>
      <c r="C5" s="1300"/>
      <c r="D5" s="1300"/>
      <c r="E5" s="1300"/>
      <c r="F5" s="1300"/>
      <c r="G5" s="1300"/>
    </row>
    <row r="6" spans="1:8" ht="15.75" customHeight="1" x14ac:dyDescent="0.25">
      <c r="B6" s="1311">
        <v>-1000</v>
      </c>
      <c r="C6" s="1311"/>
      <c r="D6" s="1311"/>
      <c r="E6" s="1311"/>
      <c r="F6" s="1311"/>
      <c r="G6" s="1311"/>
    </row>
    <row r="7" spans="1:8" x14ac:dyDescent="0.25">
      <c r="B7" s="4"/>
      <c r="D7" s="4"/>
      <c r="E7" s="4"/>
      <c r="F7" s="218"/>
      <c r="G7" s="4"/>
    </row>
    <row r="8" spans="1:8" x14ac:dyDescent="0.25">
      <c r="A8" s="4" t="s">
        <v>5</v>
      </c>
      <c r="B8" s="218"/>
      <c r="C8" s="4" t="s">
        <v>205</v>
      </c>
      <c r="D8" s="218"/>
      <c r="E8" s="34"/>
      <c r="F8" s="218"/>
      <c r="G8" s="4"/>
      <c r="H8" s="4" t="s">
        <v>5</v>
      </c>
    </row>
    <row r="9" spans="1:8" x14ac:dyDescent="0.25">
      <c r="A9" s="4" t="s">
        <v>6</v>
      </c>
      <c r="B9" s="218"/>
      <c r="C9" s="849" t="s">
        <v>207</v>
      </c>
      <c r="D9" s="218"/>
      <c r="E9" s="850" t="s">
        <v>7</v>
      </c>
      <c r="F9" s="218"/>
      <c r="G9" s="849" t="s">
        <v>8</v>
      </c>
      <c r="H9" s="4" t="s">
        <v>6</v>
      </c>
    </row>
    <row r="10" spans="1:8" x14ac:dyDescent="0.25">
      <c r="B10" s="218"/>
      <c r="C10" s="415"/>
      <c r="D10" s="218"/>
      <c r="E10" s="4"/>
      <c r="F10" s="218"/>
      <c r="G10" s="4"/>
    </row>
    <row r="11" spans="1:8" x14ac:dyDescent="0.25">
      <c r="A11" s="4">
        <v>1</v>
      </c>
      <c r="B11" s="32" t="s">
        <v>623</v>
      </c>
      <c r="D11" s="4"/>
      <c r="E11" s="110">
        <f>'AJ-1'!F26</f>
        <v>238385.1245212658</v>
      </c>
      <c r="F11" s="4"/>
      <c r="G11" s="46" t="s">
        <v>1679</v>
      </c>
      <c r="H11" s="4">
        <f>A11</f>
        <v>1</v>
      </c>
    </row>
    <row r="12" spans="1:8" x14ac:dyDescent="0.25">
      <c r="A12" s="4">
        <f>A11+1</f>
        <v>2</v>
      </c>
      <c r="E12" s="111"/>
      <c r="F12" s="71"/>
      <c r="G12" s="46"/>
      <c r="H12" s="4">
        <f>H11+1</f>
        <v>2</v>
      </c>
    </row>
    <row r="13" spans="1:8" x14ac:dyDescent="0.25">
      <c r="A13" s="4">
        <f t="shared" ref="A13:A33" si="0">A12+1</f>
        <v>3</v>
      </c>
      <c r="B13" s="31" t="s">
        <v>624</v>
      </c>
      <c r="C13" s="4" t="s">
        <v>625</v>
      </c>
      <c r="E13" s="42">
        <f>'AJ-2'!C15</f>
        <v>13510.349459999998</v>
      </c>
      <c r="F13" s="71"/>
      <c r="G13" s="46" t="s">
        <v>626</v>
      </c>
      <c r="H13" s="4">
        <f t="shared" ref="H13:H28" si="1">H12+1</f>
        <v>3</v>
      </c>
    </row>
    <row r="14" spans="1:8" x14ac:dyDescent="0.25">
      <c r="A14" s="4">
        <f t="shared" si="0"/>
        <v>4</v>
      </c>
      <c r="C14" s="4"/>
      <c r="E14" s="111"/>
      <c r="F14" s="71"/>
      <c r="G14" s="46"/>
      <c r="H14" s="4">
        <f t="shared" si="1"/>
        <v>4</v>
      </c>
    </row>
    <row r="15" spans="1:8" x14ac:dyDescent="0.25">
      <c r="A15" s="4">
        <f t="shared" si="0"/>
        <v>5</v>
      </c>
      <c r="B15" s="31" t="s">
        <v>627</v>
      </c>
      <c r="C15" s="4" t="s">
        <v>628</v>
      </c>
      <c r="E15" s="112">
        <f>'AJ-3'!C15</f>
        <v>26427.473339999971</v>
      </c>
      <c r="F15" s="44"/>
      <c r="G15" s="46" t="s">
        <v>629</v>
      </c>
      <c r="H15" s="4">
        <f t="shared" si="1"/>
        <v>5</v>
      </c>
    </row>
    <row r="16" spans="1:8" x14ac:dyDescent="0.25">
      <c r="A16" s="4">
        <f t="shared" si="0"/>
        <v>6</v>
      </c>
      <c r="C16" s="4"/>
      <c r="E16" s="38"/>
      <c r="F16" s="73"/>
      <c r="G16" s="46"/>
      <c r="H16" s="4">
        <f t="shared" si="1"/>
        <v>6</v>
      </c>
    </row>
    <row r="17" spans="1:12" x14ac:dyDescent="0.25">
      <c r="A17" s="4">
        <f t="shared" si="0"/>
        <v>7</v>
      </c>
      <c r="B17" s="31" t="s">
        <v>630</v>
      </c>
      <c r="C17" s="4" t="s">
        <v>631</v>
      </c>
      <c r="E17" s="42">
        <f>'AJ-4'!D15</f>
        <v>164469.95111599998</v>
      </c>
      <c r="F17" s="41"/>
      <c r="G17" s="46" t="s">
        <v>632</v>
      </c>
      <c r="H17" s="4">
        <f t="shared" si="1"/>
        <v>7</v>
      </c>
    </row>
    <row r="18" spans="1:12" x14ac:dyDescent="0.25">
      <c r="A18" s="4">
        <f t="shared" si="0"/>
        <v>8</v>
      </c>
      <c r="E18" s="72"/>
      <c r="F18" s="73"/>
      <c r="G18" s="46"/>
      <c r="H18" s="4">
        <f t="shared" si="1"/>
        <v>8</v>
      </c>
    </row>
    <row r="19" spans="1:12" x14ac:dyDescent="0.25">
      <c r="A19" s="4">
        <f t="shared" si="0"/>
        <v>9</v>
      </c>
      <c r="B19" s="31" t="s">
        <v>233</v>
      </c>
      <c r="E19" s="971">
        <f>'True-Up Stmt AI'!E25</f>
        <v>0.20002998415514117</v>
      </c>
      <c r="F19" s="73"/>
      <c r="G19" s="46" t="s">
        <v>234</v>
      </c>
      <c r="H19" s="4">
        <f t="shared" si="1"/>
        <v>9</v>
      </c>
      <c r="J19" s="277"/>
      <c r="K19" s="277"/>
      <c r="L19" s="277"/>
    </row>
    <row r="20" spans="1:12" x14ac:dyDescent="0.25">
      <c r="A20" s="4">
        <f t="shared" si="0"/>
        <v>10</v>
      </c>
      <c r="E20" s="113"/>
      <c r="F20" s="73"/>
      <c r="G20" s="46"/>
      <c r="H20" s="4">
        <f t="shared" si="1"/>
        <v>10</v>
      </c>
    </row>
    <row r="21" spans="1:12" x14ac:dyDescent="0.25">
      <c r="A21" s="4">
        <f t="shared" si="0"/>
        <v>11</v>
      </c>
      <c r="B21" s="31" t="s">
        <v>633</v>
      </c>
      <c r="E21" s="75">
        <f>E13*$E$19</f>
        <v>2702.4749884142198</v>
      </c>
      <c r="F21" s="71"/>
      <c r="G21" s="46" t="s">
        <v>360</v>
      </c>
      <c r="H21" s="4">
        <f t="shared" si="1"/>
        <v>11</v>
      </c>
    </row>
    <row r="22" spans="1:12" x14ac:dyDescent="0.25">
      <c r="A22" s="4">
        <f t="shared" si="0"/>
        <v>12</v>
      </c>
      <c r="E22" s="113"/>
      <c r="F22" s="73"/>
      <c r="G22" s="46"/>
      <c r="H22" s="4">
        <f t="shared" si="1"/>
        <v>12</v>
      </c>
    </row>
    <row r="23" spans="1:12" x14ac:dyDescent="0.25">
      <c r="A23" s="4">
        <f t="shared" si="0"/>
        <v>13</v>
      </c>
      <c r="B23" s="31" t="s">
        <v>634</v>
      </c>
      <c r="E23" s="38">
        <f>E15*$E$19</f>
        <v>5286.2870734606104</v>
      </c>
      <c r="F23" s="41"/>
      <c r="G23" s="46" t="s">
        <v>362</v>
      </c>
      <c r="H23" s="4">
        <f t="shared" si="1"/>
        <v>13</v>
      </c>
    </row>
    <row r="24" spans="1:12" x14ac:dyDescent="0.25">
      <c r="A24" s="4">
        <f t="shared" si="0"/>
        <v>14</v>
      </c>
      <c r="B24" s="31" t="s">
        <v>1</v>
      </c>
      <c r="E24" s="76"/>
      <c r="F24" s="41"/>
      <c r="G24" s="46"/>
      <c r="H24" s="4">
        <f t="shared" si="1"/>
        <v>14</v>
      </c>
    </row>
    <row r="25" spans="1:12" x14ac:dyDescent="0.25">
      <c r="A25" s="4">
        <f t="shared" si="0"/>
        <v>15</v>
      </c>
      <c r="B25" s="31" t="s">
        <v>635</v>
      </c>
      <c r="E25" s="925">
        <f>E17*$E$19</f>
        <v>32898.921715730321</v>
      </c>
      <c r="F25" s="41"/>
      <c r="G25" s="46" t="s">
        <v>364</v>
      </c>
      <c r="H25" s="4">
        <f t="shared" si="1"/>
        <v>15</v>
      </c>
    </row>
    <row r="26" spans="1:12" x14ac:dyDescent="0.25">
      <c r="A26" s="4">
        <f t="shared" si="0"/>
        <v>16</v>
      </c>
      <c r="E26" s="76"/>
      <c r="F26" s="41"/>
      <c r="G26" s="46"/>
      <c r="H26" s="4">
        <f t="shared" si="1"/>
        <v>16</v>
      </c>
    </row>
    <row r="27" spans="1:12" ht="16.5" thickBot="1" x14ac:dyDescent="0.3">
      <c r="A27" s="4">
        <f t="shared" si="0"/>
        <v>17</v>
      </c>
      <c r="B27" s="31" t="s">
        <v>636</v>
      </c>
      <c r="D27" s="48"/>
      <c r="E27" s="77">
        <f>E11+E21+E23+E25</f>
        <v>279272.80829887092</v>
      </c>
      <c r="F27" s="71"/>
      <c r="G27" s="46" t="s">
        <v>365</v>
      </c>
      <c r="H27" s="4">
        <f t="shared" si="1"/>
        <v>17</v>
      </c>
    </row>
    <row r="28" spans="1:12" ht="16.5" thickTop="1" x14ac:dyDescent="0.25">
      <c r="A28" s="4">
        <f t="shared" si="0"/>
        <v>18</v>
      </c>
      <c r="D28" s="48"/>
      <c r="E28" s="48"/>
      <c r="F28" s="41"/>
      <c r="G28" s="46"/>
      <c r="H28" s="4">
        <f t="shared" si="1"/>
        <v>18</v>
      </c>
    </row>
    <row r="29" spans="1:12" ht="16.5" thickBot="1" x14ac:dyDescent="0.3">
      <c r="A29" s="4">
        <f>A28+1</f>
        <v>19</v>
      </c>
      <c r="B29" s="31" t="s">
        <v>35</v>
      </c>
      <c r="D29" s="48"/>
      <c r="E29" s="78">
        <f>'AJ-5'!F28</f>
        <v>0</v>
      </c>
      <c r="F29" s="41"/>
      <c r="G29" s="46" t="s">
        <v>1680</v>
      </c>
      <c r="H29" s="4">
        <f>H28+1</f>
        <v>19</v>
      </c>
    </row>
    <row r="30" spans="1:12" ht="16.5" thickTop="1" x14ac:dyDescent="0.25">
      <c r="A30" s="4">
        <f t="shared" si="0"/>
        <v>20</v>
      </c>
      <c r="D30" s="48"/>
      <c r="F30" s="41"/>
      <c r="G30" s="46"/>
      <c r="H30" s="4">
        <f t="shared" ref="H30:H33" si="2">H29+1</f>
        <v>20</v>
      </c>
    </row>
    <row r="31" spans="1:12" ht="19.5" thickBot="1" x14ac:dyDescent="0.3">
      <c r="A31" s="4">
        <f>A30+1</f>
        <v>21</v>
      </c>
      <c r="B31" s="31" t="s">
        <v>637</v>
      </c>
      <c r="D31" s="416"/>
      <c r="E31" s="78">
        <f>'AJ-6'!C17</f>
        <v>0</v>
      </c>
      <c r="F31" s="264"/>
      <c r="G31" s="46" t="s">
        <v>638</v>
      </c>
      <c r="H31" s="4">
        <f>H30+1</f>
        <v>21</v>
      </c>
    </row>
    <row r="32" spans="1:12" ht="16.5" thickTop="1" x14ac:dyDescent="0.25">
      <c r="A32" s="4">
        <f t="shared" si="0"/>
        <v>22</v>
      </c>
      <c r="D32" s="38"/>
      <c r="E32" s="38"/>
      <c r="F32" s="41"/>
      <c r="G32" s="46"/>
      <c r="H32" s="4">
        <f t="shared" si="2"/>
        <v>22</v>
      </c>
    </row>
    <row r="33" spans="1:8" ht="16.5" thickBot="1" x14ac:dyDescent="0.3">
      <c r="A33" s="4">
        <f t="shared" si="0"/>
        <v>23</v>
      </c>
      <c r="B33" s="31" t="s">
        <v>639</v>
      </c>
      <c r="C33" s="415"/>
      <c r="D33" s="111"/>
      <c r="E33" s="78">
        <f>'AJ-7'!C17</f>
        <v>0</v>
      </c>
      <c r="F33" s="41"/>
      <c r="G33" s="46" t="s">
        <v>640</v>
      </c>
      <c r="H33" s="4">
        <f t="shared" si="2"/>
        <v>23</v>
      </c>
    </row>
    <row r="34" spans="1:8" ht="16.5" thickTop="1" x14ac:dyDescent="0.25">
      <c r="B34" s="32"/>
      <c r="E34" s="111"/>
      <c r="F34" s="41"/>
      <c r="G34" s="49"/>
    </row>
    <row r="35" spans="1:8" x14ac:dyDescent="0.25">
      <c r="B35" s="32"/>
      <c r="E35" s="111"/>
      <c r="F35" s="41"/>
      <c r="G35" s="49"/>
    </row>
    <row r="36" spans="1:8" ht="18.75" x14ac:dyDescent="0.25">
      <c r="A36" s="266">
        <v>1</v>
      </c>
      <c r="B36" s="31" t="s">
        <v>641</v>
      </c>
      <c r="E36" s="48"/>
      <c r="F36" s="41"/>
      <c r="G36" s="46"/>
    </row>
    <row r="37" spans="1:8" x14ac:dyDescent="0.25">
      <c r="E37" s="48"/>
      <c r="F37" s="41"/>
      <c r="G37" s="46"/>
    </row>
    <row r="38" spans="1:8" x14ac:dyDescent="0.25">
      <c r="B38" s="251"/>
      <c r="E38" s="38"/>
      <c r="F38" s="41"/>
      <c r="G38" s="46"/>
    </row>
    <row r="39" spans="1:8" x14ac:dyDescent="0.25">
      <c r="B39" s="1"/>
      <c r="C39" s="415"/>
      <c r="E39" s="114"/>
      <c r="F39" s="41"/>
      <c r="G39" s="417"/>
    </row>
    <row r="40" spans="1:8" x14ac:dyDescent="0.25">
      <c r="B40" s="251"/>
      <c r="E40" s="70"/>
      <c r="F40" s="41"/>
      <c r="G40" s="417"/>
    </row>
    <row r="41" spans="1:8" x14ac:dyDescent="0.25">
      <c r="F41" s="4"/>
      <c r="G41" s="46"/>
    </row>
  </sheetData>
  <mergeCells count="5">
    <mergeCell ref="B2:G2"/>
    <mergeCell ref="B3:G3"/>
    <mergeCell ref="B4:G4"/>
    <mergeCell ref="B5:G5"/>
    <mergeCell ref="B6:G6"/>
  </mergeCells>
  <pageMargins left="0.7" right="0.7" top="0.75" bottom="0.75" header="0.3" footer="0.3"/>
  <pageSetup scale="57" orientation="portrait" horizontalDpi="1200" verticalDpi="1200" r:id="rId1"/>
  <headerFooter scaleWithDoc="0">
    <oddFooter>&amp;C&amp;A</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BA86-15A9-4269-9C29-EB5670889247}">
  <dimension ref="A1:M28"/>
  <sheetViews>
    <sheetView zoomScaleNormal="100" workbookViewId="0"/>
  </sheetViews>
  <sheetFormatPr defaultColWidth="8.7109375" defaultRowHeight="15.75" x14ac:dyDescent="0.25"/>
  <cols>
    <col min="1" max="1" width="5.28515625" style="4" bestFit="1" customWidth="1"/>
    <col min="2" max="2" width="55.28515625" style="31" customWidth="1"/>
    <col min="3" max="3" width="24" style="31" customWidth="1"/>
    <col min="4" max="4" width="1.5703125" style="31" customWidth="1"/>
    <col min="5" max="5" width="16.7109375" style="31" customWidth="1"/>
    <col min="6" max="6" width="1.5703125" style="31" customWidth="1"/>
    <col min="7" max="7" width="34.5703125" style="31" customWidth="1"/>
    <col min="8" max="8" width="5.28515625" style="31" bestFit="1" customWidth="1"/>
    <col min="9" max="9" width="8.7109375" style="31"/>
    <col min="10" max="10" width="19.28515625" style="31" customWidth="1"/>
    <col min="11" max="11" width="17.7109375" style="31" customWidth="1"/>
    <col min="12" max="12" width="17.5703125" style="31" customWidth="1"/>
    <col min="13" max="16384" width="8.7109375" style="31"/>
  </cols>
  <sheetData>
    <row r="1" spans="1:11" x14ac:dyDescent="0.25">
      <c r="A1" s="4" t="s">
        <v>1</v>
      </c>
      <c r="G1" s="4"/>
      <c r="H1" s="4"/>
    </row>
    <row r="2" spans="1:11" x14ac:dyDescent="0.25">
      <c r="B2" s="1294" t="s">
        <v>0</v>
      </c>
      <c r="C2" s="1294"/>
      <c r="D2" s="1294"/>
      <c r="E2" s="1294"/>
      <c r="F2" s="1294"/>
      <c r="G2" s="1294"/>
      <c r="H2" s="4"/>
    </row>
    <row r="3" spans="1:11" x14ac:dyDescent="0.25">
      <c r="B3" s="1294" t="s">
        <v>815</v>
      </c>
      <c r="C3" s="1294"/>
      <c r="D3" s="1294"/>
      <c r="E3" s="1294"/>
      <c r="F3" s="1294"/>
      <c r="G3" s="1294"/>
      <c r="H3" s="4"/>
    </row>
    <row r="4" spans="1:11" x14ac:dyDescent="0.25">
      <c r="B4" s="1294" t="s">
        <v>816</v>
      </c>
      <c r="C4" s="1294"/>
      <c r="D4" s="1294"/>
      <c r="E4" s="1294"/>
      <c r="F4" s="1294"/>
      <c r="G4" s="1294"/>
      <c r="H4" s="4"/>
    </row>
    <row r="5" spans="1:11" x14ac:dyDescent="0.25">
      <c r="B5" s="1300" t="str">
        <f>'Stmt AD'!B5</f>
        <v>Base Period &amp; True-Up Period 12 - Months Ending December 31, 2023</v>
      </c>
      <c r="C5" s="1300"/>
      <c r="D5" s="1300"/>
      <c r="E5" s="1300"/>
      <c r="F5" s="1300"/>
      <c r="G5" s="1300"/>
      <c r="H5" s="4"/>
    </row>
    <row r="6" spans="1:11" x14ac:dyDescent="0.25">
      <c r="B6" s="1299" t="s">
        <v>4</v>
      </c>
      <c r="C6" s="1295"/>
      <c r="D6" s="1295"/>
      <c r="E6" s="1295"/>
      <c r="F6" s="1295"/>
      <c r="G6" s="1295"/>
      <c r="H6" s="4"/>
    </row>
    <row r="7" spans="1:11" x14ac:dyDescent="0.25">
      <c r="B7" s="4"/>
      <c r="C7" s="4"/>
      <c r="D7" s="4"/>
      <c r="E7" s="4"/>
      <c r="F7" s="4"/>
      <c r="G7" s="4"/>
      <c r="H7" s="4"/>
    </row>
    <row r="8" spans="1:11" x14ac:dyDescent="0.25">
      <c r="A8" s="4" t="s">
        <v>5</v>
      </c>
      <c r="B8" s="218"/>
      <c r="C8" s="4" t="s">
        <v>205</v>
      </c>
      <c r="D8" s="218"/>
      <c r="E8" s="218"/>
      <c r="F8" s="218"/>
      <c r="G8" s="4"/>
      <c r="H8" s="4" t="s">
        <v>5</v>
      </c>
    </row>
    <row r="9" spans="1:11" x14ac:dyDescent="0.25">
      <c r="A9" s="4" t="s">
        <v>6</v>
      </c>
      <c r="B9" s="218"/>
      <c r="C9" s="849" t="s">
        <v>207</v>
      </c>
      <c r="D9" s="218"/>
      <c r="E9" s="850" t="s">
        <v>7</v>
      </c>
      <c r="F9" s="218"/>
      <c r="G9" s="849" t="s">
        <v>8</v>
      </c>
      <c r="H9" s="4" t="s">
        <v>6</v>
      </c>
    </row>
    <row r="10" spans="1:11" x14ac:dyDescent="0.25">
      <c r="B10" s="4"/>
      <c r="C10" s="4"/>
      <c r="D10" s="4"/>
      <c r="E10" s="4"/>
      <c r="F10" s="218"/>
      <c r="G10" s="4"/>
      <c r="H10" s="4"/>
    </row>
    <row r="11" spans="1:11" ht="18.75" x14ac:dyDescent="0.25">
      <c r="A11" s="4">
        <v>1</v>
      </c>
      <c r="B11" s="31" t="s">
        <v>1686</v>
      </c>
      <c r="C11" s="4" t="s">
        <v>817</v>
      </c>
      <c r="E11" s="40">
        <v>184142.45431999999</v>
      </c>
      <c r="F11" s="218"/>
      <c r="G11" s="46"/>
      <c r="H11" s="4">
        <f>A11</f>
        <v>1</v>
      </c>
      <c r="K11" s="35"/>
    </row>
    <row r="12" spans="1:11" ht="16.149999999999999" customHeight="1" x14ac:dyDescent="0.25">
      <c r="A12" s="4">
        <f>+A11+1</f>
        <v>2</v>
      </c>
      <c r="E12" s="48"/>
      <c r="F12" s="218"/>
      <c r="G12" s="444"/>
      <c r="H12" s="4">
        <f>+H11+1</f>
        <v>2</v>
      </c>
    </row>
    <row r="13" spans="1:11" x14ac:dyDescent="0.25">
      <c r="A13" s="4">
        <f>+A12+1</f>
        <v>3</v>
      </c>
      <c r="B13" s="31" t="s">
        <v>489</v>
      </c>
      <c r="C13" s="29"/>
      <c r="D13" s="29"/>
      <c r="E13" s="926">
        <f>+'True-Up Stmt AH'!E60</f>
        <v>0.38746286505185107</v>
      </c>
      <c r="F13" s="415"/>
      <c r="G13" s="4" t="s">
        <v>1777</v>
      </c>
      <c r="H13" s="4">
        <f>+H12+1</f>
        <v>3</v>
      </c>
      <c r="I13" s="359"/>
    </row>
    <row r="14" spans="1:11" x14ac:dyDescent="0.25">
      <c r="A14" s="4">
        <f t="shared" ref="A14:A22" si="0">+A13+1</f>
        <v>4</v>
      </c>
      <c r="C14" s="29"/>
      <c r="D14" s="29"/>
      <c r="F14" s="218"/>
      <c r="G14" s="4"/>
      <c r="H14" s="4">
        <f t="shared" ref="H14:H22" si="1">+H13+1</f>
        <v>4</v>
      </c>
      <c r="I14" s="255"/>
    </row>
    <row r="15" spans="1:11" ht="16.5" thickBot="1" x14ac:dyDescent="0.3">
      <c r="A15" s="4">
        <f t="shared" si="0"/>
        <v>5</v>
      </c>
      <c r="B15" s="31" t="s">
        <v>819</v>
      </c>
      <c r="C15" s="29"/>
      <c r="D15" s="29"/>
      <c r="E15" s="24">
        <f>E11*E13</f>
        <v>71348.362928506802</v>
      </c>
      <c r="F15" s="218"/>
      <c r="G15" s="4" t="s">
        <v>833</v>
      </c>
      <c r="H15" s="4">
        <f t="shared" si="1"/>
        <v>5</v>
      </c>
    </row>
    <row r="16" spans="1:11" ht="17.25" thickTop="1" thickBot="1" x14ac:dyDescent="0.3">
      <c r="A16" s="4">
        <f t="shared" si="0"/>
        <v>6</v>
      </c>
      <c r="B16" s="863"/>
      <c r="C16" s="1040"/>
      <c r="D16" s="1040"/>
      <c r="E16" s="863"/>
      <c r="F16" s="863"/>
      <c r="G16" s="863"/>
      <c r="H16" s="4">
        <f t="shared" si="1"/>
        <v>6</v>
      </c>
    </row>
    <row r="17" spans="1:13" x14ac:dyDescent="0.25">
      <c r="A17" s="4">
        <f>+A16+1</f>
        <v>7</v>
      </c>
      <c r="C17" s="29"/>
      <c r="D17" s="29"/>
      <c r="H17" s="4">
        <f>+H16+1</f>
        <v>7</v>
      </c>
    </row>
    <row r="18" spans="1:13" ht="18.75" x14ac:dyDescent="0.25">
      <c r="A18" s="4">
        <f t="shared" ref="A18:A21" si="2">+A17+1</f>
        <v>8</v>
      </c>
      <c r="B18" s="31" t="s">
        <v>1688</v>
      </c>
      <c r="C18" s="4" t="s">
        <v>820</v>
      </c>
      <c r="E18" s="40">
        <v>19228.440409999999</v>
      </c>
      <c r="F18" s="218"/>
      <c r="G18" s="91"/>
      <c r="H18" s="4">
        <f t="shared" si="1"/>
        <v>8</v>
      </c>
      <c r="J18"/>
      <c r="K18"/>
      <c r="L18"/>
      <c r="M18"/>
    </row>
    <row r="19" spans="1:13" x14ac:dyDescent="0.25">
      <c r="A19" s="4">
        <f t="shared" si="2"/>
        <v>9</v>
      </c>
      <c r="E19" s="70"/>
      <c r="F19" s="218"/>
      <c r="G19" s="46"/>
      <c r="H19" s="4">
        <f t="shared" si="1"/>
        <v>9</v>
      </c>
    </row>
    <row r="20" spans="1:13" x14ac:dyDescent="0.2">
      <c r="A20" s="4">
        <f t="shared" si="2"/>
        <v>10</v>
      </c>
      <c r="B20" s="31" t="s">
        <v>233</v>
      </c>
      <c r="E20" s="926">
        <f>'True-Up Stmt AI'!E25</f>
        <v>0.20002998415514117</v>
      </c>
      <c r="F20" s="218"/>
      <c r="G20" s="4" t="s">
        <v>234</v>
      </c>
      <c r="H20" s="4">
        <f t="shared" si="1"/>
        <v>10</v>
      </c>
      <c r="J20" s="1218"/>
      <c r="K20" s="1218"/>
      <c r="L20" s="277"/>
    </row>
    <row r="21" spans="1:13" x14ac:dyDescent="0.25">
      <c r="A21" s="4">
        <f t="shared" si="2"/>
        <v>11</v>
      </c>
      <c r="E21" s="74"/>
      <c r="F21" s="218"/>
      <c r="G21" s="4"/>
      <c r="H21" s="4">
        <f t="shared" si="1"/>
        <v>11</v>
      </c>
    </row>
    <row r="22" spans="1:13" ht="16.5" thickBot="1" x14ac:dyDescent="0.3">
      <c r="A22" s="4">
        <f t="shared" si="0"/>
        <v>12</v>
      </c>
      <c r="B22" s="31" t="s">
        <v>821</v>
      </c>
      <c r="E22" s="24">
        <f>E18*E20</f>
        <v>3846.2646305403759</v>
      </c>
      <c r="F22" s="218"/>
      <c r="G22" s="91" t="s">
        <v>1687</v>
      </c>
      <c r="H22" s="4">
        <f t="shared" si="1"/>
        <v>12</v>
      </c>
    </row>
    <row r="23" spans="1:13" ht="16.5" thickTop="1" x14ac:dyDescent="0.25">
      <c r="E23" s="10"/>
      <c r="F23" s="218"/>
      <c r="G23" s="445"/>
      <c r="H23" s="4"/>
      <c r="J23" s="358"/>
    </row>
    <row r="24" spans="1:13" x14ac:dyDescent="0.25">
      <c r="B24" s="31" t="s">
        <v>1</v>
      </c>
      <c r="E24" s="70"/>
      <c r="F24" s="70"/>
      <c r="J24" s="446"/>
    </row>
    <row r="25" spans="1:13" ht="18.75" x14ac:dyDescent="0.25">
      <c r="A25" s="253">
        <v>1</v>
      </c>
      <c r="B25" s="31" t="s">
        <v>1512</v>
      </c>
      <c r="J25" s="358"/>
    </row>
    <row r="26" spans="1:13" ht="18.75" x14ac:dyDescent="0.25">
      <c r="A26" s="824">
        <v>2</v>
      </c>
      <c r="B26" s="31" t="s">
        <v>1513</v>
      </c>
    </row>
    <row r="27" spans="1:13" x14ac:dyDescent="0.25">
      <c r="J27" s="447"/>
    </row>
    <row r="28" spans="1:13" x14ac:dyDescent="0.25">
      <c r="J28" s="447"/>
    </row>
  </sheetData>
  <mergeCells count="5">
    <mergeCell ref="B2:G2"/>
    <mergeCell ref="B3:G3"/>
    <mergeCell ref="B4:G4"/>
    <mergeCell ref="B5:G5"/>
    <mergeCell ref="B6:G6"/>
  </mergeCells>
  <pageMargins left="0.7" right="0.7" top="0.75" bottom="0.75" header="0.3" footer="0.3"/>
  <pageSetup scale="62" orientation="portrait" horizontalDpi="1200" verticalDpi="1200" r:id="rId1"/>
  <headerFooter scaleWithDoc="0">
    <oddFooter>&amp;C&amp;A</oddFooter>
  </headerFooter>
  <customProperties>
    <customPr name="_pios_id" r:id="rId2"/>
  </customProperties>
  <drawing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N49"/>
  <sheetViews>
    <sheetView zoomScaleNormal="100" workbookViewId="0"/>
  </sheetViews>
  <sheetFormatPr defaultColWidth="8.85546875" defaultRowHeight="15.75" x14ac:dyDescent="0.25"/>
  <cols>
    <col min="1" max="1" width="5.140625" style="4" bestFit="1" customWidth="1"/>
    <col min="2" max="2" width="79.42578125" style="31" customWidth="1"/>
    <col min="3" max="3" width="25.5703125" style="358" bestFit="1" customWidth="1"/>
    <col min="4" max="4" width="1.5703125" style="31" customWidth="1"/>
    <col min="5" max="5" width="16.85546875" style="31" customWidth="1"/>
    <col min="6" max="6" width="1.5703125" style="31" customWidth="1"/>
    <col min="7" max="7" width="16.85546875" style="31" customWidth="1"/>
    <col min="8" max="8" width="1.5703125" style="31" customWidth="1"/>
    <col min="9" max="9" width="39.42578125" style="31" bestFit="1" customWidth="1"/>
    <col min="10" max="10" width="5.140625" style="31" customWidth="1"/>
    <col min="11" max="16384" width="8.85546875" style="31"/>
  </cols>
  <sheetData>
    <row r="1" spans="1:10" x14ac:dyDescent="0.25">
      <c r="H1" s="4"/>
      <c r="I1" s="4"/>
      <c r="J1" s="4"/>
    </row>
    <row r="2" spans="1:10" x14ac:dyDescent="0.25">
      <c r="B2" s="1294" t="s">
        <v>0</v>
      </c>
      <c r="C2" s="1308"/>
      <c r="D2" s="1308"/>
      <c r="E2" s="1308"/>
      <c r="F2" s="1308"/>
      <c r="G2" s="1308"/>
      <c r="H2" s="1308"/>
      <c r="I2" s="1308"/>
      <c r="J2" s="218"/>
    </row>
    <row r="3" spans="1:10" x14ac:dyDescent="0.25">
      <c r="B3" s="1294" t="s">
        <v>822</v>
      </c>
      <c r="C3" s="1308"/>
      <c r="D3" s="1308"/>
      <c r="E3" s="1308"/>
      <c r="F3" s="1308"/>
      <c r="G3" s="1308"/>
      <c r="H3" s="1308"/>
      <c r="I3" s="1308"/>
      <c r="J3" s="218"/>
    </row>
    <row r="4" spans="1:10" x14ac:dyDescent="0.25">
      <c r="B4" s="1294" t="s">
        <v>823</v>
      </c>
      <c r="C4" s="1308"/>
      <c r="D4" s="1308"/>
      <c r="E4" s="1308"/>
      <c r="F4" s="1308"/>
      <c r="G4" s="1308"/>
      <c r="H4" s="1308"/>
      <c r="I4" s="1308"/>
      <c r="J4" s="218"/>
    </row>
    <row r="5" spans="1:10" x14ac:dyDescent="0.25">
      <c r="B5" s="1300" t="s">
        <v>1549</v>
      </c>
      <c r="C5" s="1300"/>
      <c r="D5" s="1300"/>
      <c r="E5" s="1300"/>
      <c r="F5" s="1300"/>
      <c r="G5" s="1300"/>
      <c r="H5" s="1300"/>
      <c r="I5" s="1300"/>
      <c r="J5" s="218"/>
    </row>
    <row r="6" spans="1:10" x14ac:dyDescent="0.25">
      <c r="B6" s="1299" t="s">
        <v>4</v>
      </c>
      <c r="C6" s="1299"/>
      <c r="D6" s="1299"/>
      <c r="E6" s="1299"/>
      <c r="F6" s="1299"/>
      <c r="G6" s="1299"/>
      <c r="H6" s="1299"/>
      <c r="I6" s="1299"/>
      <c r="J6" s="1"/>
    </row>
    <row r="7" spans="1:10" x14ac:dyDescent="0.25">
      <c r="B7" s="4"/>
      <c r="D7" s="4"/>
      <c r="E7" s="4"/>
      <c r="F7" s="4"/>
      <c r="G7" s="4"/>
      <c r="H7" s="218"/>
      <c r="I7" s="218"/>
      <c r="J7" s="218"/>
    </row>
    <row r="8" spans="1:10" x14ac:dyDescent="0.25">
      <c r="A8" s="4" t="s">
        <v>5</v>
      </c>
      <c r="B8" s="218"/>
      <c r="C8" s="4" t="s">
        <v>205</v>
      </c>
      <c r="D8" s="4"/>
      <c r="E8" s="4" t="s">
        <v>824</v>
      </c>
      <c r="F8" s="4"/>
      <c r="G8" s="4" t="s">
        <v>825</v>
      </c>
      <c r="H8" s="218"/>
      <c r="I8" s="218"/>
      <c r="J8" s="4" t="s">
        <v>5</v>
      </c>
    </row>
    <row r="9" spans="1:10" x14ac:dyDescent="0.25">
      <c r="A9" s="4" t="s">
        <v>6</v>
      </c>
      <c r="B9" s="218"/>
      <c r="C9" s="849" t="s">
        <v>207</v>
      </c>
      <c r="D9" s="218"/>
      <c r="E9" s="850" t="s">
        <v>826</v>
      </c>
      <c r="F9" s="218"/>
      <c r="G9" s="850" t="s">
        <v>208</v>
      </c>
      <c r="H9" s="218"/>
      <c r="I9" s="849" t="s">
        <v>8</v>
      </c>
      <c r="J9" s="4" t="s">
        <v>6</v>
      </c>
    </row>
    <row r="10" spans="1:10" x14ac:dyDescent="0.25">
      <c r="B10" s="4"/>
      <c r="D10" s="4"/>
      <c r="E10" s="4"/>
      <c r="F10" s="4"/>
      <c r="G10" s="4"/>
      <c r="H10" s="4"/>
      <c r="I10" s="4"/>
      <c r="J10" s="4"/>
    </row>
    <row r="11" spans="1:10" ht="18.75" x14ac:dyDescent="0.25">
      <c r="A11" s="4">
        <v>1</v>
      </c>
      <c r="B11" s="31" t="s">
        <v>827</v>
      </c>
      <c r="C11" s="4" t="s">
        <v>828</v>
      </c>
      <c r="E11" s="48"/>
      <c r="F11" s="71"/>
      <c r="G11" s="40">
        <f>'AL-1'!C32</f>
        <v>134439.87015384616</v>
      </c>
      <c r="H11" s="71"/>
      <c r="I11" s="46" t="s">
        <v>829</v>
      </c>
      <c r="J11" s="4">
        <f>A11</f>
        <v>1</v>
      </c>
    </row>
    <row r="12" spans="1:10" x14ac:dyDescent="0.25">
      <c r="A12" s="4">
        <f>+A11+1</f>
        <v>2</v>
      </c>
      <c r="C12" s="4"/>
      <c r="E12" s="70"/>
      <c r="F12" s="41"/>
      <c r="G12" s="41"/>
      <c r="H12" s="41"/>
      <c r="I12" s="46"/>
      <c r="J12" s="4">
        <f>+J11+1</f>
        <v>2</v>
      </c>
    </row>
    <row r="13" spans="1:10" x14ac:dyDescent="0.25">
      <c r="A13" s="4">
        <f t="shared" ref="A13:A44" si="0">+A12+1</f>
        <v>3</v>
      </c>
      <c r="B13" s="31" t="s">
        <v>830</v>
      </c>
      <c r="C13" s="4"/>
      <c r="E13" s="72"/>
      <c r="F13" s="73"/>
      <c r="G13" s="971">
        <f>'True Up Stmt AD'!I45</f>
        <v>0.38644486377474485</v>
      </c>
      <c r="H13" s="71"/>
      <c r="I13" s="46" t="s">
        <v>831</v>
      </c>
      <c r="J13" s="4">
        <f t="shared" ref="J13:J44" si="1">+J12+1</f>
        <v>3</v>
      </c>
    </row>
    <row r="14" spans="1:10" x14ac:dyDescent="0.25">
      <c r="A14" s="4">
        <f t="shared" si="0"/>
        <v>4</v>
      </c>
      <c r="C14" s="4"/>
      <c r="E14" s="70"/>
      <c r="F14" s="41"/>
      <c r="G14" s="70"/>
      <c r="H14" s="41"/>
      <c r="I14" s="46"/>
      <c r="J14" s="4">
        <f t="shared" si="1"/>
        <v>4</v>
      </c>
    </row>
    <row r="15" spans="1:10" ht="16.5" thickBot="1" x14ac:dyDescent="0.3">
      <c r="A15" s="4">
        <f t="shared" si="0"/>
        <v>5</v>
      </c>
      <c r="B15" s="31" t="s">
        <v>832</v>
      </c>
      <c r="C15" s="4"/>
      <c r="E15" s="75"/>
      <c r="F15" s="41"/>
      <c r="G15" s="77">
        <f>G11*G13</f>
        <v>51953.597307497468</v>
      </c>
      <c r="H15" s="71"/>
      <c r="I15" s="46" t="s">
        <v>833</v>
      </c>
      <c r="J15" s="4">
        <f t="shared" si="1"/>
        <v>5</v>
      </c>
    </row>
    <row r="16" spans="1:10" ht="16.5" thickTop="1" x14ac:dyDescent="0.25">
      <c r="A16" s="4">
        <f t="shared" si="0"/>
        <v>6</v>
      </c>
      <c r="C16" s="4"/>
      <c r="E16" s="6"/>
      <c r="F16" s="4"/>
      <c r="G16" s="4"/>
      <c r="H16" s="4"/>
      <c r="I16" s="46"/>
      <c r="J16" s="4">
        <f t="shared" si="1"/>
        <v>6</v>
      </c>
    </row>
    <row r="17" spans="1:14" ht="18.75" x14ac:dyDescent="0.25">
      <c r="A17" s="4">
        <f t="shared" si="0"/>
        <v>7</v>
      </c>
      <c r="B17" s="31" t="s">
        <v>834</v>
      </c>
      <c r="C17" s="4" t="s">
        <v>835</v>
      </c>
      <c r="D17" s="35"/>
      <c r="E17" s="48"/>
      <c r="F17" s="41"/>
      <c r="G17" s="1275">
        <f>'AL-2'!C30</f>
        <v>116570.56882116306</v>
      </c>
      <c r="H17" s="71"/>
      <c r="I17" s="46" t="s">
        <v>836</v>
      </c>
      <c r="J17" s="4">
        <f t="shared" si="1"/>
        <v>7</v>
      </c>
      <c r="L17" s="415"/>
      <c r="M17" s="277"/>
    </row>
    <row r="18" spans="1:14" x14ac:dyDescent="0.25">
      <c r="A18" s="4">
        <f t="shared" si="0"/>
        <v>8</v>
      </c>
      <c r="C18" s="4"/>
      <c r="E18" s="38"/>
      <c r="F18" s="41"/>
      <c r="G18" s="41"/>
      <c r="H18" s="41"/>
      <c r="I18" s="46"/>
      <c r="J18" s="4">
        <f t="shared" si="1"/>
        <v>8</v>
      </c>
    </row>
    <row r="19" spans="1:14" ht="16.5" thickBot="1" x14ac:dyDescent="0.3">
      <c r="A19" s="4">
        <f t="shared" si="0"/>
        <v>9</v>
      </c>
      <c r="B19" s="31" t="s">
        <v>837</v>
      </c>
      <c r="E19" s="48"/>
      <c r="F19" s="41"/>
      <c r="G19" s="77">
        <f>G13*G17</f>
        <v>45048.097588238881</v>
      </c>
      <c r="H19" s="71"/>
      <c r="I19" s="46" t="s">
        <v>838</v>
      </c>
      <c r="J19" s="4">
        <f t="shared" si="1"/>
        <v>9</v>
      </c>
    </row>
    <row r="20" spans="1:14" ht="16.5" thickTop="1" x14ac:dyDescent="0.25">
      <c r="A20" s="4">
        <f t="shared" si="0"/>
        <v>10</v>
      </c>
      <c r="E20" s="38"/>
      <c r="F20" s="41"/>
      <c r="G20" s="41"/>
      <c r="H20" s="41"/>
      <c r="I20" s="46"/>
      <c r="J20" s="4">
        <f t="shared" si="1"/>
        <v>10</v>
      </c>
    </row>
    <row r="21" spans="1:14" x14ac:dyDescent="0.25">
      <c r="A21" s="4">
        <f t="shared" si="0"/>
        <v>11</v>
      </c>
      <c r="B21" s="251" t="s">
        <v>839</v>
      </c>
      <c r="E21" s="38"/>
      <c r="F21" s="41"/>
      <c r="G21" s="41"/>
      <c r="H21" s="41"/>
      <c r="I21" s="46"/>
      <c r="J21" s="4">
        <f t="shared" si="1"/>
        <v>11</v>
      </c>
    </row>
    <row r="22" spans="1:14" x14ac:dyDescent="0.25">
      <c r="A22" s="4">
        <f t="shared" si="0"/>
        <v>12</v>
      </c>
      <c r="B22" s="31" t="s">
        <v>840</v>
      </c>
      <c r="E22" s="118">
        <f>'True-Up Stmt AH'!E19</f>
        <v>115639.12125000001</v>
      </c>
      <c r="F22" s="41"/>
      <c r="G22" s="48"/>
      <c r="H22" s="41"/>
      <c r="I22" s="46" t="s">
        <v>1838</v>
      </c>
      <c r="J22" s="4">
        <f t="shared" si="1"/>
        <v>12</v>
      </c>
    </row>
    <row r="23" spans="1:14" x14ac:dyDescent="0.25">
      <c r="A23" s="4">
        <f t="shared" si="0"/>
        <v>13</v>
      </c>
      <c r="B23" s="31" t="s">
        <v>841</v>
      </c>
      <c r="E23" s="21">
        <f>'True-Up Stmt AH'!E41</f>
        <v>100490.08501261649</v>
      </c>
      <c r="F23" s="1"/>
      <c r="G23" s="38"/>
      <c r="H23" s="41"/>
      <c r="I23" s="46" t="s">
        <v>1839</v>
      </c>
      <c r="J23" s="4">
        <f t="shared" si="1"/>
        <v>13</v>
      </c>
    </row>
    <row r="24" spans="1:14" x14ac:dyDescent="0.25">
      <c r="A24" s="4">
        <f t="shared" si="0"/>
        <v>14</v>
      </c>
      <c r="B24" s="31" t="s">
        <v>842</v>
      </c>
      <c r="E24" s="1207">
        <f>-'True-Up Stmt AH'!E26</f>
        <v>0</v>
      </c>
      <c r="F24" s="41"/>
      <c r="G24" s="38"/>
      <c r="H24" s="41"/>
      <c r="I24" s="46" t="s">
        <v>1840</v>
      </c>
      <c r="J24" s="4">
        <f t="shared" si="1"/>
        <v>14</v>
      </c>
      <c r="L24" s="415"/>
      <c r="M24" s="277"/>
      <c r="N24" s="277"/>
    </row>
    <row r="25" spans="1:14" x14ac:dyDescent="0.25">
      <c r="A25" s="4">
        <f t="shared" si="0"/>
        <v>15</v>
      </c>
      <c r="B25" s="31" t="s">
        <v>843</v>
      </c>
      <c r="E25" s="10">
        <f>SUM(E22:E24)</f>
        <v>216129.2062626165</v>
      </c>
      <c r="F25" s="1"/>
      <c r="G25" s="35"/>
      <c r="H25" s="46"/>
      <c r="I25" s="46" t="s">
        <v>844</v>
      </c>
      <c r="J25" s="4">
        <f t="shared" si="1"/>
        <v>15</v>
      </c>
    </row>
    <row r="26" spans="1:14" x14ac:dyDescent="0.25">
      <c r="A26" s="4">
        <f t="shared" si="0"/>
        <v>16</v>
      </c>
      <c r="F26" s="4"/>
      <c r="H26" s="4"/>
      <c r="I26" s="46"/>
      <c r="J26" s="4">
        <f t="shared" si="1"/>
        <v>16</v>
      </c>
    </row>
    <row r="27" spans="1:14" x14ac:dyDescent="0.25">
      <c r="A27" s="4">
        <f t="shared" si="0"/>
        <v>17</v>
      </c>
      <c r="B27" s="31" t="s">
        <v>845</v>
      </c>
      <c r="E27" s="916">
        <f>1/8</f>
        <v>0.125</v>
      </c>
      <c r="F27" s="4"/>
      <c r="G27" s="47"/>
      <c r="H27" s="4"/>
      <c r="I27" s="46" t="s">
        <v>846</v>
      </c>
      <c r="J27" s="4">
        <f t="shared" si="1"/>
        <v>17</v>
      </c>
    </row>
    <row r="28" spans="1:14" x14ac:dyDescent="0.25">
      <c r="A28" s="4">
        <f t="shared" si="0"/>
        <v>18</v>
      </c>
      <c r="E28" s="70" t="s">
        <v>1</v>
      </c>
      <c r="F28" s="41"/>
      <c r="G28" s="70"/>
      <c r="H28" s="41"/>
      <c r="I28" s="46"/>
      <c r="J28" s="4">
        <f t="shared" si="1"/>
        <v>18</v>
      </c>
    </row>
    <row r="29" spans="1:14" ht="16.5" thickBot="1" x14ac:dyDescent="0.3">
      <c r="A29" s="4">
        <f t="shared" si="0"/>
        <v>19</v>
      </c>
      <c r="B29" s="31" t="s">
        <v>847</v>
      </c>
      <c r="E29" s="77">
        <f>E25*E27</f>
        <v>27016.150782827062</v>
      </c>
      <c r="F29" s="1"/>
      <c r="G29" s="75"/>
      <c r="H29" s="41"/>
      <c r="I29" s="4" t="s">
        <v>848</v>
      </c>
      <c r="J29" s="4">
        <f t="shared" si="1"/>
        <v>19</v>
      </c>
    </row>
    <row r="30" spans="1:14" ht="16.5" thickTop="1" x14ac:dyDescent="0.25">
      <c r="A30" s="4">
        <f t="shared" si="0"/>
        <v>20</v>
      </c>
      <c r="E30" s="75"/>
      <c r="F30" s="71"/>
      <c r="G30" s="75"/>
      <c r="H30" s="41"/>
      <c r="I30" s="4"/>
      <c r="J30" s="4">
        <f t="shared" si="1"/>
        <v>20</v>
      </c>
    </row>
    <row r="31" spans="1:14" x14ac:dyDescent="0.25">
      <c r="A31" s="4">
        <f t="shared" si="0"/>
        <v>21</v>
      </c>
      <c r="B31" s="251" t="s">
        <v>849</v>
      </c>
      <c r="E31" s="38"/>
      <c r="F31" s="41"/>
      <c r="G31" s="41"/>
      <c r="H31" s="41"/>
      <c r="I31" s="46"/>
      <c r="J31" s="4">
        <f t="shared" si="1"/>
        <v>21</v>
      </c>
    </row>
    <row r="32" spans="1:14" x14ac:dyDescent="0.25">
      <c r="A32" s="4">
        <f t="shared" si="0"/>
        <v>22</v>
      </c>
      <c r="B32" s="31" t="s">
        <v>842</v>
      </c>
      <c r="E32" s="48">
        <f>E24</f>
        <v>0</v>
      </c>
      <c r="F32" s="41"/>
      <c r="G32" s="48"/>
      <c r="H32" s="41"/>
      <c r="I32" s="46" t="s">
        <v>850</v>
      </c>
      <c r="J32" s="4">
        <f t="shared" si="1"/>
        <v>22</v>
      </c>
    </row>
    <row r="33" spans="1:10" x14ac:dyDescent="0.25">
      <c r="A33" s="4">
        <f t="shared" si="0"/>
        <v>23</v>
      </c>
      <c r="E33" s="114"/>
      <c r="F33" s="41"/>
      <c r="G33" s="48"/>
      <c r="H33" s="41"/>
      <c r="I33" s="46"/>
      <c r="J33" s="4">
        <f t="shared" si="1"/>
        <v>23</v>
      </c>
    </row>
    <row r="34" spans="1:10" x14ac:dyDescent="0.25">
      <c r="A34" s="4">
        <f t="shared" si="0"/>
        <v>24</v>
      </c>
      <c r="B34" s="31" t="s">
        <v>845</v>
      </c>
      <c r="E34" s="1041">
        <f>E27</f>
        <v>0.125</v>
      </c>
      <c r="F34" s="4"/>
      <c r="G34" s="47"/>
      <c r="H34" s="4"/>
      <c r="I34" s="46" t="s">
        <v>851</v>
      </c>
      <c r="J34" s="4">
        <f t="shared" si="1"/>
        <v>24</v>
      </c>
    </row>
    <row r="35" spans="1:10" x14ac:dyDescent="0.25">
      <c r="A35" s="4">
        <f t="shared" si="0"/>
        <v>25</v>
      </c>
      <c r="E35" s="47"/>
      <c r="F35" s="4"/>
      <c r="G35" s="47"/>
      <c r="H35" s="4"/>
      <c r="I35" s="46"/>
      <c r="J35" s="4">
        <f t="shared" si="1"/>
        <v>25</v>
      </c>
    </row>
    <row r="36" spans="1:10" x14ac:dyDescent="0.25">
      <c r="A36" s="4">
        <f t="shared" si="0"/>
        <v>26</v>
      </c>
      <c r="B36" s="31" t="s">
        <v>852</v>
      </c>
      <c r="E36" s="35">
        <f>E32*E34</f>
        <v>0</v>
      </c>
      <c r="F36" s="4"/>
      <c r="G36" s="47"/>
      <c r="H36" s="4"/>
      <c r="I36" s="4" t="s">
        <v>853</v>
      </c>
      <c r="J36" s="4">
        <f t="shared" si="1"/>
        <v>26</v>
      </c>
    </row>
    <row r="37" spans="1:10" x14ac:dyDescent="0.25">
      <c r="A37" s="4">
        <f t="shared" si="0"/>
        <v>27</v>
      </c>
      <c r="J37" s="4">
        <f t="shared" si="1"/>
        <v>27</v>
      </c>
    </row>
    <row r="38" spans="1:10" ht="18.75" x14ac:dyDescent="0.25">
      <c r="A38" s="4">
        <f t="shared" si="0"/>
        <v>28</v>
      </c>
      <c r="B38" s="32" t="s">
        <v>1834</v>
      </c>
      <c r="C38" s="4"/>
      <c r="E38" s="868">
        <f>'True-Up Stmt AV'!G148</f>
        <v>9.3026611542306001E-2</v>
      </c>
      <c r="F38" s="1"/>
      <c r="I38" s="4" t="s">
        <v>1592</v>
      </c>
      <c r="J38" s="4">
        <f t="shared" si="1"/>
        <v>28</v>
      </c>
    </row>
    <row r="39" spans="1:10" x14ac:dyDescent="0.25">
      <c r="A39" s="4">
        <f t="shared" si="0"/>
        <v>29</v>
      </c>
      <c r="C39" s="4"/>
      <c r="J39" s="4">
        <f t="shared" si="1"/>
        <v>29</v>
      </c>
    </row>
    <row r="40" spans="1:10" ht="19.5" thickBot="1" x14ac:dyDescent="0.3">
      <c r="A40" s="4">
        <f t="shared" si="0"/>
        <v>30</v>
      </c>
      <c r="B40" s="31" t="s">
        <v>1835</v>
      </c>
      <c r="C40" s="4"/>
      <c r="E40" s="77">
        <f>E36*E38</f>
        <v>0</v>
      </c>
      <c r="I40" s="4" t="s">
        <v>1690</v>
      </c>
      <c r="J40" s="4">
        <f t="shared" si="1"/>
        <v>30</v>
      </c>
    </row>
    <row r="41" spans="1:10" ht="16.5" thickTop="1" x14ac:dyDescent="0.25">
      <c r="A41" s="4">
        <f t="shared" si="0"/>
        <v>31</v>
      </c>
      <c r="C41" s="4"/>
      <c r="E41" s="75"/>
      <c r="I41" s="4"/>
      <c r="J41" s="4">
        <f t="shared" si="1"/>
        <v>31</v>
      </c>
    </row>
    <row r="42" spans="1:10" ht="18.75" x14ac:dyDescent="0.25">
      <c r="A42" s="4">
        <f t="shared" si="0"/>
        <v>32</v>
      </c>
      <c r="B42" s="32" t="s">
        <v>1836</v>
      </c>
      <c r="C42" s="4"/>
      <c r="E42" s="868">
        <f>'True-Up Stmt AV'!G182</f>
        <v>3.692937016901445E-3</v>
      </c>
      <c r="I42" s="4" t="s">
        <v>1649</v>
      </c>
      <c r="J42" s="4">
        <f t="shared" si="1"/>
        <v>32</v>
      </c>
    </row>
    <row r="43" spans="1:10" x14ac:dyDescent="0.25">
      <c r="A43" s="4">
        <f t="shared" si="0"/>
        <v>33</v>
      </c>
      <c r="C43" s="4"/>
      <c r="E43" s="75"/>
      <c r="I43" s="4"/>
      <c r="J43" s="4">
        <f t="shared" si="1"/>
        <v>33</v>
      </c>
    </row>
    <row r="44" spans="1:10" ht="19.5" thickBot="1" x14ac:dyDescent="0.3">
      <c r="A44" s="4">
        <f t="shared" si="0"/>
        <v>34</v>
      </c>
      <c r="B44" s="31" t="s">
        <v>1837</v>
      </c>
      <c r="C44" s="4"/>
      <c r="E44" s="77">
        <f>E36*E42</f>
        <v>0</v>
      </c>
      <c r="I44" s="4" t="s">
        <v>1755</v>
      </c>
      <c r="J44" s="4">
        <f t="shared" si="1"/>
        <v>34</v>
      </c>
    </row>
    <row r="45" spans="1:10" ht="16.5" thickTop="1" x14ac:dyDescent="0.25">
      <c r="C45" s="4"/>
      <c r="E45" s="75"/>
      <c r="I45" s="4"/>
      <c r="J45" s="4"/>
    </row>
    <row r="46" spans="1:10" x14ac:dyDescent="0.25">
      <c r="C46" s="4"/>
    </row>
    <row r="47" spans="1:10" ht="18.75" x14ac:dyDescent="0.25">
      <c r="A47" s="253">
        <v>1</v>
      </c>
      <c r="B47" s="31" t="s">
        <v>854</v>
      </c>
      <c r="C47" s="4"/>
    </row>
    <row r="48" spans="1:10" ht="18.75" x14ac:dyDescent="0.25">
      <c r="A48" s="253">
        <v>2</v>
      </c>
      <c r="B48" s="31" t="s">
        <v>855</v>
      </c>
      <c r="C48" s="4"/>
    </row>
    <row r="49" spans="1:2" x14ac:dyDescent="0.25">
      <c r="A49" s="218"/>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zoomScaleNormal="100" workbookViewId="0"/>
  </sheetViews>
  <sheetFormatPr defaultColWidth="8.7109375" defaultRowHeight="15.75" x14ac:dyDescent="0.25"/>
  <cols>
    <col min="1" max="1" width="5.28515625" style="4" customWidth="1"/>
    <col min="2" max="2" width="55.42578125" style="31" customWidth="1"/>
    <col min="3" max="5" width="15.5703125" style="31" customWidth="1"/>
    <col min="6" max="6" width="1.5703125" style="31" customWidth="1"/>
    <col min="7" max="7" width="16.7109375" style="31" customWidth="1"/>
    <col min="8" max="8" width="1.5703125" style="31" customWidth="1"/>
    <col min="9" max="9" width="41.28515625" style="256" customWidth="1"/>
    <col min="10" max="10" width="5.28515625" style="31" customWidth="1"/>
    <col min="11" max="11" width="10.28515625" style="31" customWidth="1"/>
    <col min="12" max="12" width="15" style="31" customWidth="1"/>
    <col min="13" max="13" width="10.42578125" style="31" customWidth="1"/>
    <col min="14" max="16384" width="8.7109375" style="31"/>
  </cols>
  <sheetData>
    <row r="1" spans="1:12" x14ac:dyDescent="0.25">
      <c r="A1" s="218"/>
      <c r="G1" s="70"/>
      <c r="H1" s="70"/>
      <c r="I1" s="421"/>
      <c r="J1" s="4"/>
      <c r="L1" s="277"/>
    </row>
    <row r="2" spans="1:12" x14ac:dyDescent="0.25">
      <c r="B2" s="1294" t="s">
        <v>0</v>
      </c>
      <c r="C2" s="1294"/>
      <c r="D2" s="1294"/>
      <c r="E2" s="1294"/>
      <c r="F2" s="1294"/>
      <c r="G2" s="1294"/>
      <c r="H2" s="1294"/>
      <c r="I2" s="1294"/>
      <c r="J2" s="4"/>
    </row>
    <row r="3" spans="1:12" x14ac:dyDescent="0.25">
      <c r="B3" s="1294" t="s">
        <v>1341</v>
      </c>
      <c r="C3" s="1294"/>
      <c r="D3" s="1294"/>
      <c r="E3" s="1294"/>
      <c r="F3" s="1294"/>
      <c r="G3" s="1294"/>
      <c r="H3" s="1294"/>
      <c r="I3" s="1294"/>
      <c r="J3" s="4"/>
    </row>
    <row r="4" spans="1:12" x14ac:dyDescent="0.25">
      <c r="B4" s="1294" t="s">
        <v>987</v>
      </c>
      <c r="C4" s="1294"/>
      <c r="D4" s="1294"/>
      <c r="E4" s="1294"/>
      <c r="F4" s="1294"/>
      <c r="G4" s="1294"/>
      <c r="H4" s="1294"/>
      <c r="I4" s="1294"/>
      <c r="J4" s="4"/>
    </row>
    <row r="5" spans="1:12" x14ac:dyDescent="0.25">
      <c r="B5" s="1300" t="str">
        <f>'Stmt AD'!B5</f>
        <v>Base Period &amp; True-Up Period 12 - Months Ending December 31, 2023</v>
      </c>
      <c r="C5" s="1300"/>
      <c r="D5" s="1300"/>
      <c r="E5" s="1300"/>
      <c r="F5" s="1300"/>
      <c r="G5" s="1300"/>
      <c r="H5" s="1300"/>
      <c r="I5" s="1300"/>
      <c r="J5" s="4"/>
    </row>
    <row r="6" spans="1:12" x14ac:dyDescent="0.25">
      <c r="B6" s="1299" t="s">
        <v>4</v>
      </c>
      <c r="C6" s="1295"/>
      <c r="D6" s="1295"/>
      <c r="E6" s="1295"/>
      <c r="F6" s="1295"/>
      <c r="G6" s="1295"/>
      <c r="H6" s="1295"/>
      <c r="I6" s="1295"/>
      <c r="J6" s="4"/>
    </row>
    <row r="7" spans="1:12" x14ac:dyDescent="0.25">
      <c r="B7" s="4"/>
      <c r="C7" s="4"/>
      <c r="D7" s="4"/>
      <c r="E7" s="4"/>
      <c r="F7" s="4"/>
      <c r="G7" s="4"/>
      <c r="H7" s="4"/>
      <c r="I7" s="91"/>
      <c r="J7" s="4"/>
    </row>
    <row r="8" spans="1:12" x14ac:dyDescent="0.25">
      <c r="A8" s="4" t="s">
        <v>5</v>
      </c>
      <c r="B8" s="218"/>
      <c r="C8" s="218"/>
      <c r="D8" s="218"/>
      <c r="E8" s="4" t="s">
        <v>205</v>
      </c>
      <c r="F8" s="218"/>
      <c r="G8" s="218"/>
      <c r="H8" s="218"/>
      <c r="I8" s="91"/>
      <c r="J8" s="4" t="s">
        <v>5</v>
      </c>
    </row>
    <row r="9" spans="1:12" x14ac:dyDescent="0.25">
      <c r="A9" s="4" t="s">
        <v>6</v>
      </c>
      <c r="B9" s="4"/>
      <c r="C9" s="4"/>
      <c r="D9" s="4"/>
      <c r="E9" s="849" t="s">
        <v>207</v>
      </c>
      <c r="F9" s="4"/>
      <c r="G9" s="850" t="s">
        <v>7</v>
      </c>
      <c r="H9" s="218"/>
      <c r="I9" s="851" t="s">
        <v>8</v>
      </c>
      <c r="J9" s="4" t="s">
        <v>6</v>
      </c>
    </row>
    <row r="10" spans="1:12" x14ac:dyDescent="0.25">
      <c r="B10" s="4"/>
      <c r="C10" s="4"/>
      <c r="D10" s="4"/>
      <c r="E10" s="4"/>
      <c r="F10" s="4"/>
      <c r="G10" s="4"/>
      <c r="H10" s="4"/>
      <c r="I10" s="91"/>
      <c r="J10" s="4"/>
      <c r="L10" s="277"/>
    </row>
    <row r="11" spans="1:12" x14ac:dyDescent="0.25">
      <c r="A11" s="4">
        <v>1</v>
      </c>
      <c r="B11" s="251" t="s">
        <v>988</v>
      </c>
      <c r="H11" s="218"/>
      <c r="I11" s="91"/>
      <c r="J11" s="4">
        <f>A11</f>
        <v>1</v>
      </c>
      <c r="L11" s="277"/>
    </row>
    <row r="12" spans="1:12" x14ac:dyDescent="0.25">
      <c r="A12" s="4">
        <f>A11+1</f>
        <v>2</v>
      </c>
      <c r="B12" s="31" t="s">
        <v>989</v>
      </c>
      <c r="E12" s="4" t="s">
        <v>990</v>
      </c>
      <c r="F12" s="5"/>
      <c r="G12" s="40">
        <v>8350000</v>
      </c>
      <c r="H12" s="218"/>
      <c r="I12" s="445"/>
      <c r="J12" s="4">
        <f>J11+1</f>
        <v>2</v>
      </c>
    </row>
    <row r="13" spans="1:12" x14ac:dyDescent="0.25">
      <c r="A13" s="4">
        <f t="shared" ref="A13:A52" si="0">A12+1</f>
        <v>3</v>
      </c>
      <c r="B13" s="31" t="s">
        <v>991</v>
      </c>
      <c r="E13" s="4" t="s">
        <v>992</v>
      </c>
      <c r="F13" s="5"/>
      <c r="G13" s="42">
        <v>0</v>
      </c>
      <c r="H13" s="218"/>
      <c r="I13" s="445"/>
      <c r="J13" s="4">
        <f t="shared" ref="J13:J52" si="1">J12+1</f>
        <v>3</v>
      </c>
    </row>
    <row r="14" spans="1:12" x14ac:dyDescent="0.25">
      <c r="A14" s="4">
        <f t="shared" si="0"/>
        <v>4</v>
      </c>
      <c r="B14" s="31" t="s">
        <v>993</v>
      </c>
      <c r="E14" s="4" t="s">
        <v>994</v>
      </c>
      <c r="F14" s="5"/>
      <c r="G14" s="42">
        <v>400000</v>
      </c>
      <c r="H14" s="218"/>
      <c r="I14" s="445"/>
      <c r="J14" s="4">
        <f t="shared" si="1"/>
        <v>4</v>
      </c>
    </row>
    <row r="15" spans="1:12" x14ac:dyDescent="0.25">
      <c r="A15" s="4">
        <f t="shared" si="0"/>
        <v>5</v>
      </c>
      <c r="B15" s="31" t="s">
        <v>995</v>
      </c>
      <c r="E15" s="4" t="s">
        <v>996</v>
      </c>
      <c r="F15" s="5"/>
      <c r="G15" s="42">
        <v>0</v>
      </c>
      <c r="H15" s="218"/>
      <c r="I15" s="445"/>
      <c r="J15" s="4">
        <f t="shared" si="1"/>
        <v>5</v>
      </c>
    </row>
    <row r="16" spans="1:12" x14ac:dyDescent="0.25">
      <c r="A16" s="4">
        <f t="shared" si="0"/>
        <v>6</v>
      </c>
      <c r="B16" s="31" t="s">
        <v>997</v>
      </c>
      <c r="E16" s="4" t="s">
        <v>998</v>
      </c>
      <c r="F16" s="5"/>
      <c r="G16" s="908">
        <v>-29212.842000000001</v>
      </c>
      <c r="H16" s="218"/>
      <c r="I16" s="445"/>
      <c r="J16" s="4">
        <f t="shared" si="1"/>
        <v>6</v>
      </c>
    </row>
    <row r="17" spans="1:10" x14ac:dyDescent="0.25">
      <c r="A17" s="4">
        <f t="shared" si="0"/>
        <v>7</v>
      </c>
      <c r="B17" s="31" t="s">
        <v>1342</v>
      </c>
      <c r="G17" s="1118">
        <f>SUM(G12:G16)</f>
        <v>8720787.1579999998</v>
      </c>
      <c r="H17" s="35"/>
      <c r="I17" s="91" t="s">
        <v>421</v>
      </c>
      <c r="J17" s="4">
        <f t="shared" si="1"/>
        <v>7</v>
      </c>
    </row>
    <row r="18" spans="1:10" x14ac:dyDescent="0.25">
      <c r="A18" s="4">
        <f t="shared" si="0"/>
        <v>8</v>
      </c>
      <c r="I18" s="91"/>
      <c r="J18" s="4">
        <f t="shared" si="1"/>
        <v>8</v>
      </c>
    </row>
    <row r="19" spans="1:10" x14ac:dyDescent="0.25">
      <c r="A19" s="4">
        <f t="shared" si="0"/>
        <v>9</v>
      </c>
      <c r="B19" s="251" t="s">
        <v>999</v>
      </c>
      <c r="G19" s="6"/>
      <c r="H19" s="218"/>
      <c r="I19" s="91"/>
      <c r="J19" s="4">
        <f t="shared" si="1"/>
        <v>9</v>
      </c>
    </row>
    <row r="20" spans="1:10" x14ac:dyDescent="0.25">
      <c r="A20" s="4">
        <f t="shared" si="0"/>
        <v>10</v>
      </c>
      <c r="B20" s="31" t="s">
        <v>1000</v>
      </c>
      <c r="E20" s="4" t="s">
        <v>1001</v>
      </c>
      <c r="F20" s="5"/>
      <c r="G20" s="40">
        <v>340601.527</v>
      </c>
      <c r="H20" s="218"/>
      <c r="I20" s="463"/>
      <c r="J20" s="4">
        <f t="shared" si="1"/>
        <v>10</v>
      </c>
    </row>
    <row r="21" spans="1:10" x14ac:dyDescent="0.25">
      <c r="A21" s="4">
        <f t="shared" si="0"/>
        <v>11</v>
      </c>
      <c r="B21" s="31" t="s">
        <v>1002</v>
      </c>
      <c r="E21" s="4" t="s">
        <v>1003</v>
      </c>
      <c r="F21" s="5"/>
      <c r="G21" s="42">
        <v>6103.5349999999999</v>
      </c>
      <c r="H21" s="218"/>
      <c r="I21" s="463"/>
      <c r="J21" s="4">
        <f t="shared" si="1"/>
        <v>11</v>
      </c>
    </row>
    <row r="22" spans="1:10" x14ac:dyDescent="0.25">
      <c r="A22" s="4">
        <f t="shared" si="0"/>
        <v>12</v>
      </c>
      <c r="B22" s="31" t="s">
        <v>1004</v>
      </c>
      <c r="E22" s="4" t="s">
        <v>1005</v>
      </c>
      <c r="F22" s="5"/>
      <c r="G22" s="42">
        <v>689.16499999999996</v>
      </c>
      <c r="H22" s="218"/>
      <c r="I22" s="463"/>
      <c r="J22" s="4">
        <f t="shared" si="1"/>
        <v>12</v>
      </c>
    </row>
    <row r="23" spans="1:10" x14ac:dyDescent="0.25">
      <c r="A23" s="4">
        <f t="shared" si="0"/>
        <v>13</v>
      </c>
      <c r="B23" s="31" t="s">
        <v>1006</v>
      </c>
      <c r="E23" s="4" t="s">
        <v>1007</v>
      </c>
      <c r="F23" s="5"/>
      <c r="G23" s="42">
        <v>0</v>
      </c>
      <c r="H23" s="218"/>
      <c r="I23" s="463"/>
      <c r="J23" s="4">
        <f t="shared" si="1"/>
        <v>13</v>
      </c>
    </row>
    <row r="24" spans="1:10" x14ac:dyDescent="0.25">
      <c r="A24" s="4">
        <f t="shared" si="0"/>
        <v>14</v>
      </c>
      <c r="B24" s="31" t="s">
        <v>1008</v>
      </c>
      <c r="E24" s="4" t="s">
        <v>1009</v>
      </c>
      <c r="F24" s="5"/>
      <c r="G24" s="908">
        <v>0</v>
      </c>
      <c r="H24" s="218"/>
      <c r="I24" s="463"/>
      <c r="J24" s="4">
        <f t="shared" si="1"/>
        <v>14</v>
      </c>
    </row>
    <row r="25" spans="1:10" x14ac:dyDescent="0.25">
      <c r="A25" s="4">
        <f t="shared" si="0"/>
        <v>15</v>
      </c>
      <c r="B25" s="31" t="s">
        <v>1343</v>
      </c>
      <c r="G25" s="1054">
        <f>SUM(G20:G24)</f>
        <v>347394.22699999996</v>
      </c>
      <c r="H25" s="48"/>
      <c r="I25" s="91" t="s">
        <v>1011</v>
      </c>
      <c r="J25" s="4">
        <f t="shared" si="1"/>
        <v>15</v>
      </c>
    </row>
    <row r="26" spans="1:10" x14ac:dyDescent="0.25">
      <c r="A26" s="4">
        <f t="shared" si="0"/>
        <v>16</v>
      </c>
      <c r="I26" s="91"/>
      <c r="J26" s="4">
        <f t="shared" si="1"/>
        <v>16</v>
      </c>
    </row>
    <row r="27" spans="1:10" ht="16.5" thickBot="1" x14ac:dyDescent="0.3">
      <c r="A27" s="4">
        <f t="shared" si="0"/>
        <v>17</v>
      </c>
      <c r="B27" s="251" t="s">
        <v>1012</v>
      </c>
      <c r="G27" s="51">
        <f>IFERROR(G25/G17,0)</f>
        <v>3.9835191560812083E-2</v>
      </c>
      <c r="H27" s="27"/>
      <c r="I27" s="91" t="s">
        <v>1013</v>
      </c>
      <c r="J27" s="4">
        <f t="shared" si="1"/>
        <v>17</v>
      </c>
    </row>
    <row r="28" spans="1:10" ht="16.5" thickTop="1" x14ac:dyDescent="0.25">
      <c r="A28" s="4">
        <f t="shared" si="0"/>
        <v>18</v>
      </c>
      <c r="I28" s="91"/>
      <c r="J28" s="4">
        <f t="shared" si="1"/>
        <v>18</v>
      </c>
    </row>
    <row r="29" spans="1:10" x14ac:dyDescent="0.25">
      <c r="A29" s="4">
        <f t="shared" si="0"/>
        <v>19</v>
      </c>
      <c r="B29" s="251" t="s">
        <v>1014</v>
      </c>
      <c r="I29" s="91"/>
      <c r="J29" s="4">
        <f t="shared" si="1"/>
        <v>19</v>
      </c>
    </row>
    <row r="30" spans="1:10" x14ac:dyDescent="0.25">
      <c r="A30" s="4">
        <f t="shared" si="0"/>
        <v>20</v>
      </c>
      <c r="B30" s="31" t="s">
        <v>1015</v>
      </c>
      <c r="E30" s="4" t="s">
        <v>1016</v>
      </c>
      <c r="F30" s="5"/>
      <c r="G30" s="40">
        <v>0</v>
      </c>
      <c r="H30" s="218"/>
      <c r="I30" s="463"/>
      <c r="J30" s="4">
        <f t="shared" si="1"/>
        <v>20</v>
      </c>
    </row>
    <row r="31" spans="1:10" x14ac:dyDescent="0.25">
      <c r="A31" s="4">
        <f t="shared" si="0"/>
        <v>21</v>
      </c>
      <c r="B31" s="31" t="s">
        <v>1017</v>
      </c>
      <c r="E31" s="4" t="s">
        <v>1018</v>
      </c>
      <c r="F31" s="5"/>
      <c r="G31" s="40">
        <v>0</v>
      </c>
      <c r="H31" s="218"/>
      <c r="I31" s="463"/>
      <c r="J31" s="4">
        <f t="shared" si="1"/>
        <v>21</v>
      </c>
    </row>
    <row r="32" spans="1:10" ht="16.5" thickBot="1" x14ac:dyDescent="0.3">
      <c r="A32" s="4">
        <f t="shared" si="0"/>
        <v>22</v>
      </c>
      <c r="B32" s="31" t="s">
        <v>1344</v>
      </c>
      <c r="G32" s="51">
        <f>IFERROR((G31/G30),0)</f>
        <v>0</v>
      </c>
      <c r="H32" s="27"/>
      <c r="I32" s="91" t="s">
        <v>1019</v>
      </c>
      <c r="J32" s="4">
        <f t="shared" si="1"/>
        <v>22</v>
      </c>
    </row>
    <row r="33" spans="1:16" ht="16.5" thickTop="1" x14ac:dyDescent="0.25">
      <c r="A33" s="4">
        <f t="shared" si="0"/>
        <v>23</v>
      </c>
      <c r="I33" s="91"/>
      <c r="J33" s="4">
        <f t="shared" si="1"/>
        <v>23</v>
      </c>
    </row>
    <row r="34" spans="1:16" x14ac:dyDescent="0.25">
      <c r="A34" s="4">
        <f t="shared" si="0"/>
        <v>24</v>
      </c>
      <c r="B34" s="251" t="s">
        <v>1020</v>
      </c>
      <c r="I34" s="91"/>
      <c r="J34" s="4">
        <f t="shared" si="1"/>
        <v>24</v>
      </c>
    </row>
    <row r="35" spans="1:16" x14ac:dyDescent="0.25">
      <c r="A35" s="4">
        <f t="shared" si="0"/>
        <v>25</v>
      </c>
      <c r="B35" s="31" t="s">
        <v>1021</v>
      </c>
      <c r="E35" s="4" t="s">
        <v>1022</v>
      </c>
      <c r="F35" s="5"/>
      <c r="G35" s="40">
        <v>9901206.2530000005</v>
      </c>
      <c r="H35" s="218"/>
      <c r="I35" s="463"/>
      <c r="J35" s="4">
        <f t="shared" si="1"/>
        <v>25</v>
      </c>
    </row>
    <row r="36" spans="1:16" x14ac:dyDescent="0.25">
      <c r="A36" s="4">
        <f t="shared" si="0"/>
        <v>26</v>
      </c>
      <c r="B36" s="31" t="s">
        <v>1023</v>
      </c>
      <c r="E36" s="4" t="s">
        <v>1016</v>
      </c>
      <c r="G36" s="38">
        <f>G30</f>
        <v>0</v>
      </c>
      <c r="H36" s="38"/>
      <c r="I36" s="91" t="s">
        <v>1024</v>
      </c>
      <c r="J36" s="4">
        <f t="shared" si="1"/>
        <v>26</v>
      </c>
    </row>
    <row r="37" spans="1:16" x14ac:dyDescent="0.25">
      <c r="A37" s="4">
        <f t="shared" si="0"/>
        <v>27</v>
      </c>
      <c r="B37" s="31" t="s">
        <v>1025</v>
      </c>
      <c r="E37" s="4" t="s">
        <v>1026</v>
      </c>
      <c r="G37" s="42">
        <v>0</v>
      </c>
      <c r="H37" s="218"/>
      <c r="I37" s="463"/>
      <c r="J37" s="4">
        <f t="shared" si="1"/>
        <v>27</v>
      </c>
    </row>
    <row r="38" spans="1:16" x14ac:dyDescent="0.25">
      <c r="A38" s="4">
        <f t="shared" si="0"/>
        <v>28</v>
      </c>
      <c r="B38" s="31" t="s">
        <v>1027</v>
      </c>
      <c r="E38" s="4" t="s">
        <v>1028</v>
      </c>
      <c r="G38" s="42">
        <v>8347.9140000000007</v>
      </c>
      <c r="H38" s="218"/>
      <c r="I38" s="463"/>
      <c r="J38" s="4">
        <f t="shared" si="1"/>
        <v>28</v>
      </c>
    </row>
    <row r="39" spans="1:16" ht="16.5" thickBot="1" x14ac:dyDescent="0.3">
      <c r="A39" s="4">
        <f t="shared" si="0"/>
        <v>29</v>
      </c>
      <c r="B39" s="31" t="s">
        <v>1345</v>
      </c>
      <c r="G39" s="96">
        <f>SUM(G35:G38)</f>
        <v>9909554.1670000013</v>
      </c>
      <c r="H39" s="35"/>
      <c r="I39" s="91" t="s">
        <v>1770</v>
      </c>
      <c r="J39" s="4">
        <f t="shared" si="1"/>
        <v>29</v>
      </c>
    </row>
    <row r="40" spans="1:16" ht="17.25" thickTop="1" thickBot="1" x14ac:dyDescent="0.3">
      <c r="A40" s="862">
        <f t="shared" si="0"/>
        <v>30</v>
      </c>
      <c r="B40" s="863"/>
      <c r="C40" s="863"/>
      <c r="D40" s="863"/>
      <c r="E40" s="863"/>
      <c r="F40" s="863"/>
      <c r="G40" s="863"/>
      <c r="H40" s="863"/>
      <c r="I40" s="864"/>
      <c r="J40" s="862">
        <f t="shared" si="1"/>
        <v>30</v>
      </c>
    </row>
    <row r="41" spans="1:16" x14ac:dyDescent="0.25">
      <c r="A41" s="4">
        <f>A40+1</f>
        <v>31</v>
      </c>
      <c r="I41" s="91"/>
      <c r="J41" s="4">
        <f>J40+1</f>
        <v>31</v>
      </c>
    </row>
    <row r="42" spans="1:16" ht="16.5" thickBot="1" x14ac:dyDescent="0.3">
      <c r="A42" s="4">
        <f>A41+1</f>
        <v>32</v>
      </c>
      <c r="B42" s="251" t="s">
        <v>1346</v>
      </c>
      <c r="G42" s="132">
        <v>0.10100000000000001</v>
      </c>
      <c r="H42" s="218"/>
      <c r="I42" s="91" t="s">
        <v>1595</v>
      </c>
      <c r="J42" s="4">
        <f>J41+1</f>
        <v>32</v>
      </c>
      <c r="P42" s="277"/>
    </row>
    <row r="43" spans="1:16" ht="16.5" thickTop="1" x14ac:dyDescent="0.25">
      <c r="A43" s="4">
        <f t="shared" si="0"/>
        <v>33</v>
      </c>
      <c r="C43" s="34" t="s">
        <v>184</v>
      </c>
      <c r="D43" s="34" t="s">
        <v>185</v>
      </c>
      <c r="E43" s="34" t="s">
        <v>186</v>
      </c>
      <c r="F43" s="34"/>
      <c r="G43" s="34" t="s">
        <v>1029</v>
      </c>
      <c r="H43" s="34"/>
      <c r="I43" s="91"/>
      <c r="J43" s="4">
        <f t="shared" si="1"/>
        <v>33</v>
      </c>
    </row>
    <row r="44" spans="1:16" x14ac:dyDescent="0.25">
      <c r="A44" s="4">
        <f t="shared" si="0"/>
        <v>34</v>
      </c>
      <c r="D44" s="4" t="s">
        <v>1030</v>
      </c>
      <c r="E44" s="4" t="s">
        <v>1031</v>
      </c>
      <c r="F44" s="4"/>
      <c r="G44" s="4" t="s">
        <v>1032</v>
      </c>
      <c r="H44" s="4"/>
      <c r="I44" s="91"/>
      <c r="J44" s="4">
        <f t="shared" si="1"/>
        <v>34</v>
      </c>
    </row>
    <row r="45" spans="1:16" ht="18.75" x14ac:dyDescent="0.25">
      <c r="A45" s="4">
        <f t="shared" si="0"/>
        <v>35</v>
      </c>
      <c r="B45" s="251" t="s">
        <v>1033</v>
      </c>
      <c r="C45" s="849" t="s">
        <v>1034</v>
      </c>
      <c r="D45" s="849" t="s">
        <v>1035</v>
      </c>
      <c r="E45" s="849" t="s">
        <v>1036</v>
      </c>
      <c r="F45" s="849"/>
      <c r="G45" s="849" t="s">
        <v>1037</v>
      </c>
      <c r="H45" s="4"/>
      <c r="I45" s="91"/>
      <c r="J45" s="4">
        <f t="shared" si="1"/>
        <v>35</v>
      </c>
    </row>
    <row r="46" spans="1:16" x14ac:dyDescent="0.25">
      <c r="A46" s="4">
        <f t="shared" si="0"/>
        <v>36</v>
      </c>
      <c r="I46" s="91"/>
      <c r="J46" s="4">
        <f t="shared" si="1"/>
        <v>36</v>
      </c>
    </row>
    <row r="47" spans="1:16" x14ac:dyDescent="0.25">
      <c r="A47" s="4">
        <f t="shared" si="0"/>
        <v>37</v>
      </c>
      <c r="B47" s="31" t="s">
        <v>1038</v>
      </c>
      <c r="C47" s="35">
        <f>G17</f>
        <v>8720787.1579999998</v>
      </c>
      <c r="D47" s="27">
        <f>IFERROR(C47/C$50,0)</f>
        <v>0.46809594123203746</v>
      </c>
      <c r="E47" s="133">
        <f>G27</f>
        <v>3.9835191560812083E-2</v>
      </c>
      <c r="G47" s="27">
        <f>D47*E47</f>
        <v>1.8646691487816846E-2</v>
      </c>
      <c r="H47" s="27"/>
      <c r="I47" s="91" t="s">
        <v>1039</v>
      </c>
      <c r="J47" s="4">
        <f t="shared" si="1"/>
        <v>37</v>
      </c>
    </row>
    <row r="48" spans="1:16" x14ac:dyDescent="0.25">
      <c r="A48" s="4">
        <f t="shared" si="0"/>
        <v>38</v>
      </c>
      <c r="B48" s="31" t="s">
        <v>1040</v>
      </c>
      <c r="C48" s="6">
        <f>G30</f>
        <v>0</v>
      </c>
      <c r="D48" s="27">
        <f>IFERROR(C48/C$50,0)</f>
        <v>0</v>
      </c>
      <c r="E48" s="133">
        <f>G32</f>
        <v>0</v>
      </c>
      <c r="G48" s="27">
        <f>D48*E48</f>
        <v>0</v>
      </c>
      <c r="H48" s="27"/>
      <c r="I48" s="91" t="s">
        <v>1041</v>
      </c>
      <c r="J48" s="4">
        <f t="shared" si="1"/>
        <v>38</v>
      </c>
    </row>
    <row r="49" spans="1:10" x14ac:dyDescent="0.25">
      <c r="A49" s="4">
        <f t="shared" si="0"/>
        <v>39</v>
      </c>
      <c r="B49" s="31" t="s">
        <v>1042</v>
      </c>
      <c r="C49" s="6">
        <f>G39</f>
        <v>9909554.1670000013</v>
      </c>
      <c r="D49" s="1055">
        <f>IFERROR(C49/C$50,0)</f>
        <v>0.53190405876796243</v>
      </c>
      <c r="E49" s="1193">
        <f>G42</f>
        <v>0.10100000000000001</v>
      </c>
      <c r="G49" s="1055">
        <f>D49*E49</f>
        <v>5.3722309935564205E-2</v>
      </c>
      <c r="H49" s="27"/>
      <c r="I49" s="91" t="s">
        <v>1043</v>
      </c>
      <c r="J49" s="4">
        <f t="shared" si="1"/>
        <v>39</v>
      </c>
    </row>
    <row r="50" spans="1:10" ht="16.5" thickBot="1" x14ac:dyDescent="0.3">
      <c r="A50" s="4">
        <f t="shared" si="0"/>
        <v>40</v>
      </c>
      <c r="B50" s="31" t="s">
        <v>1347</v>
      </c>
      <c r="C50" s="96">
        <f>SUM(C47:C49)</f>
        <v>18630341.325000003</v>
      </c>
      <c r="D50" s="51">
        <f>SUM(D47:D49)</f>
        <v>0.99999999999999989</v>
      </c>
      <c r="G50" s="51">
        <f>SUM(G47:G49)</f>
        <v>7.2369001423381055E-2</v>
      </c>
      <c r="H50" s="27"/>
      <c r="I50" s="91" t="s">
        <v>1045</v>
      </c>
      <c r="J50" s="4">
        <f t="shared" si="1"/>
        <v>40</v>
      </c>
    </row>
    <row r="51" spans="1:10" ht="16.5" thickTop="1" x14ac:dyDescent="0.25">
      <c r="A51" s="4">
        <f t="shared" si="0"/>
        <v>41</v>
      </c>
      <c r="I51" s="91"/>
      <c r="J51" s="4">
        <f t="shared" si="1"/>
        <v>41</v>
      </c>
    </row>
    <row r="52" spans="1:10" ht="16.5" thickBot="1" x14ac:dyDescent="0.3">
      <c r="A52" s="4">
        <f t="shared" si="0"/>
        <v>42</v>
      </c>
      <c r="B52" s="251" t="s">
        <v>1596</v>
      </c>
      <c r="G52" s="51">
        <f>G48+G49</f>
        <v>5.3722309935564205E-2</v>
      </c>
      <c r="H52" s="27"/>
      <c r="I52" s="91" t="s">
        <v>1046</v>
      </c>
      <c r="J52" s="4">
        <f t="shared" si="1"/>
        <v>42</v>
      </c>
    </row>
    <row r="53" spans="1:10" ht="17.25" thickTop="1" thickBot="1" x14ac:dyDescent="0.3">
      <c r="A53" s="862">
        <f>A52+1</f>
        <v>43</v>
      </c>
      <c r="B53" s="863"/>
      <c r="C53" s="863"/>
      <c r="D53" s="863"/>
      <c r="E53" s="863"/>
      <c r="F53" s="863"/>
      <c r="G53" s="863"/>
      <c r="H53" s="863"/>
      <c r="I53" s="864"/>
      <c r="J53" s="862">
        <f>J52+1</f>
        <v>43</v>
      </c>
    </row>
    <row r="54" spans="1:10" x14ac:dyDescent="0.25">
      <c r="A54" s="4">
        <f>A53+1</f>
        <v>44</v>
      </c>
      <c r="I54" s="91"/>
      <c r="J54" s="4">
        <f>J53+1</f>
        <v>44</v>
      </c>
    </row>
    <row r="55" spans="1:10" ht="19.5" thickBot="1" x14ac:dyDescent="0.3">
      <c r="A55" s="4">
        <f t="shared" ref="A55:A65" si="2">A54+1</f>
        <v>45</v>
      </c>
      <c r="B55" s="251" t="s">
        <v>1591</v>
      </c>
      <c r="G55" s="132">
        <v>5.0000000000000001E-3</v>
      </c>
      <c r="H55" s="218"/>
      <c r="I55" s="421" t="s">
        <v>1595</v>
      </c>
      <c r="J55" s="4">
        <f t="shared" ref="J55:J65" si="3">J54+1</f>
        <v>45</v>
      </c>
    </row>
    <row r="56" spans="1:10" ht="16.5" thickTop="1" x14ac:dyDescent="0.25">
      <c r="A56" s="4">
        <f t="shared" si="2"/>
        <v>46</v>
      </c>
      <c r="C56" s="34" t="s">
        <v>184</v>
      </c>
      <c r="D56" s="34" t="s">
        <v>185</v>
      </c>
      <c r="E56" s="34" t="s">
        <v>186</v>
      </c>
      <c r="F56" s="34"/>
      <c r="G56" s="34" t="s">
        <v>1029</v>
      </c>
      <c r="H56" s="34"/>
      <c r="I56" s="91"/>
      <c r="J56" s="4">
        <f t="shared" si="3"/>
        <v>46</v>
      </c>
    </row>
    <row r="57" spans="1:10" x14ac:dyDescent="0.25">
      <c r="A57" s="4">
        <f t="shared" si="2"/>
        <v>47</v>
      </c>
      <c r="D57" s="4" t="s">
        <v>1030</v>
      </c>
      <c r="E57" s="4" t="s">
        <v>1031</v>
      </c>
      <c r="F57" s="4"/>
      <c r="G57" s="4" t="s">
        <v>1032</v>
      </c>
      <c r="H57" s="4"/>
      <c r="I57" s="91"/>
      <c r="J57" s="4">
        <f t="shared" si="3"/>
        <v>47</v>
      </c>
    </row>
    <row r="58" spans="1:10" ht="18.75" x14ac:dyDescent="0.25">
      <c r="A58" s="4">
        <f t="shared" si="2"/>
        <v>48</v>
      </c>
      <c r="B58" s="251" t="s">
        <v>1033</v>
      </c>
      <c r="C58" s="849" t="s">
        <v>1034</v>
      </c>
      <c r="D58" s="849" t="s">
        <v>1035</v>
      </c>
      <c r="E58" s="849" t="s">
        <v>1036</v>
      </c>
      <c r="F58" s="849"/>
      <c r="G58" s="849" t="s">
        <v>1037</v>
      </c>
      <c r="H58" s="4"/>
      <c r="I58" s="91"/>
      <c r="J58" s="4">
        <f t="shared" si="3"/>
        <v>48</v>
      </c>
    </row>
    <row r="59" spans="1:10" x14ac:dyDescent="0.25">
      <c r="A59" s="4">
        <f t="shared" si="2"/>
        <v>49</v>
      </c>
      <c r="I59" s="91"/>
      <c r="J59" s="4">
        <f t="shared" si="3"/>
        <v>49</v>
      </c>
    </row>
    <row r="60" spans="1:10" x14ac:dyDescent="0.25">
      <c r="A60" s="4">
        <f t="shared" si="2"/>
        <v>50</v>
      </c>
      <c r="B60" s="31" t="s">
        <v>1038</v>
      </c>
      <c r="C60" s="35">
        <f>G17</f>
        <v>8720787.1579999998</v>
      </c>
      <c r="D60" s="27">
        <f>IFERROR(C60/C$50,0)</f>
        <v>0.46809594123203746</v>
      </c>
      <c r="E60" s="1127">
        <v>0</v>
      </c>
      <c r="G60" s="27">
        <f>D60*E60</f>
        <v>0</v>
      </c>
      <c r="H60" s="27"/>
      <c r="I60" s="91" t="s">
        <v>1597</v>
      </c>
      <c r="J60" s="4">
        <f t="shared" si="3"/>
        <v>50</v>
      </c>
    </row>
    <row r="61" spans="1:10" x14ac:dyDescent="0.25">
      <c r="A61" s="4">
        <f t="shared" si="2"/>
        <v>51</v>
      </c>
      <c r="B61" s="31" t="s">
        <v>1040</v>
      </c>
      <c r="C61" s="6">
        <f>G30</f>
        <v>0</v>
      </c>
      <c r="D61" s="27">
        <f>IFERROR(C61/C$50,0)</f>
        <v>0</v>
      </c>
      <c r="E61" s="1127">
        <v>0</v>
      </c>
      <c r="G61" s="27">
        <f>D61*E61</f>
        <v>0</v>
      </c>
      <c r="H61" s="27"/>
      <c r="I61" s="91" t="s">
        <v>1597</v>
      </c>
      <c r="J61" s="4">
        <f t="shared" si="3"/>
        <v>51</v>
      </c>
    </row>
    <row r="62" spans="1:10" x14ac:dyDescent="0.25">
      <c r="A62" s="4">
        <f t="shared" si="2"/>
        <v>52</v>
      </c>
      <c r="B62" s="31" t="s">
        <v>1042</v>
      </c>
      <c r="C62" s="6">
        <f>G39</f>
        <v>9909554.1670000013</v>
      </c>
      <c r="D62" s="1055">
        <f>IFERROR(C62/C$50,0)</f>
        <v>0.53190405876796243</v>
      </c>
      <c r="E62" s="1193">
        <f>G55</f>
        <v>5.0000000000000001E-3</v>
      </c>
      <c r="G62" s="1055">
        <f>D62*E62</f>
        <v>2.6595202938398121E-3</v>
      </c>
      <c r="H62" s="27"/>
      <c r="I62" s="91" t="s">
        <v>1598</v>
      </c>
      <c r="J62" s="4">
        <f t="shared" si="3"/>
        <v>52</v>
      </c>
    </row>
    <row r="63" spans="1:10" ht="16.5" thickBot="1" x14ac:dyDescent="0.3">
      <c r="A63" s="4">
        <f t="shared" si="2"/>
        <v>53</v>
      </c>
      <c r="B63" s="31" t="s">
        <v>1347</v>
      </c>
      <c r="C63" s="96">
        <f>SUM(C60:C62)</f>
        <v>18630341.325000003</v>
      </c>
      <c r="D63" s="51">
        <f>SUM(D60:D62)</f>
        <v>0.99999999999999989</v>
      </c>
      <c r="G63" s="51">
        <f>SUM(G60:G62)</f>
        <v>2.6595202938398121E-3</v>
      </c>
      <c r="H63" s="27"/>
      <c r="I63" s="91" t="s">
        <v>1599</v>
      </c>
      <c r="J63" s="4">
        <f t="shared" si="3"/>
        <v>53</v>
      </c>
    </row>
    <row r="64" spans="1:10" ht="16.5" thickTop="1" x14ac:dyDescent="0.25">
      <c r="A64" s="4">
        <f t="shared" si="2"/>
        <v>54</v>
      </c>
      <c r="I64" s="91"/>
      <c r="J64" s="4">
        <f t="shared" si="3"/>
        <v>54</v>
      </c>
    </row>
    <row r="65" spans="1:10" ht="16.5" thickBot="1" x14ac:dyDescent="0.3">
      <c r="A65" s="4">
        <f t="shared" si="2"/>
        <v>55</v>
      </c>
      <c r="B65" s="251" t="s">
        <v>1600</v>
      </c>
      <c r="G65" s="1194">
        <f>G61+G62</f>
        <v>2.6595202938398121E-3</v>
      </c>
      <c r="H65" s="27"/>
      <c r="I65" s="91" t="s">
        <v>1601</v>
      </c>
      <c r="J65" s="4">
        <f t="shared" si="3"/>
        <v>55</v>
      </c>
    </row>
    <row r="66" spans="1:10" ht="16.5" thickTop="1" x14ac:dyDescent="0.25">
      <c r="B66" s="251"/>
      <c r="G66" s="1128"/>
      <c r="H66" s="1128"/>
      <c r="I66" s="91"/>
      <c r="J66" s="4"/>
    </row>
    <row r="67" spans="1:10" ht="18.75" x14ac:dyDescent="0.25">
      <c r="A67" s="266">
        <v>1</v>
      </c>
      <c r="B67" s="31" t="s">
        <v>1047</v>
      </c>
      <c r="G67" s="70"/>
      <c r="H67" s="70"/>
      <c r="J67" s="4" t="s">
        <v>1</v>
      </c>
    </row>
    <row r="68" spans="1:10" ht="18.75" x14ac:dyDescent="0.25">
      <c r="A68" s="266"/>
      <c r="G68" s="70"/>
      <c r="H68" s="70"/>
      <c r="J68" s="4"/>
    </row>
    <row r="69" spans="1:10" ht="18.75" x14ac:dyDescent="0.25">
      <c r="A69" s="266"/>
      <c r="G69" s="70"/>
      <c r="H69" s="70"/>
      <c r="J69" s="4"/>
    </row>
    <row r="70" spans="1:10" x14ac:dyDescent="0.25">
      <c r="B70" s="1294" t="s">
        <v>0</v>
      </c>
      <c r="C70" s="1294"/>
      <c r="D70" s="1294"/>
      <c r="E70" s="1294"/>
      <c r="F70" s="1294"/>
      <c r="G70" s="1294"/>
      <c r="H70" s="1294"/>
      <c r="I70" s="1294"/>
      <c r="J70" s="4"/>
    </row>
    <row r="71" spans="1:10" x14ac:dyDescent="0.25">
      <c r="B71" s="1294" t="s">
        <v>986</v>
      </c>
      <c r="C71" s="1294"/>
      <c r="D71" s="1294"/>
      <c r="E71" s="1294"/>
      <c r="F71" s="1294"/>
      <c r="G71" s="1294"/>
      <c r="H71" s="1294"/>
      <c r="I71" s="1294"/>
      <c r="J71" s="4"/>
    </row>
    <row r="72" spans="1:10" x14ac:dyDescent="0.25">
      <c r="B72" s="1294" t="s">
        <v>987</v>
      </c>
      <c r="C72" s="1294"/>
      <c r="D72" s="1294"/>
      <c r="E72" s="1294"/>
      <c r="F72" s="1294"/>
      <c r="G72" s="1294"/>
      <c r="H72" s="1294"/>
      <c r="I72" s="1294"/>
      <c r="J72" s="4"/>
    </row>
    <row r="73" spans="1:10" x14ac:dyDescent="0.25">
      <c r="B73" s="1300" t="str">
        <f>B5</f>
        <v>Base Period &amp; True-Up Period 12 - Months Ending December 31, 2023</v>
      </c>
      <c r="C73" s="1300"/>
      <c r="D73" s="1300"/>
      <c r="E73" s="1300"/>
      <c r="F73" s="1300"/>
      <c r="G73" s="1300"/>
      <c r="H73" s="1300"/>
      <c r="I73" s="1300"/>
      <c r="J73" s="4"/>
    </row>
    <row r="74" spans="1:10" x14ac:dyDescent="0.25">
      <c r="B74" s="1299" t="s">
        <v>4</v>
      </c>
      <c r="C74" s="1295"/>
      <c r="D74" s="1295"/>
      <c r="E74" s="1295"/>
      <c r="F74" s="1295"/>
      <c r="G74" s="1295"/>
      <c r="H74" s="1295"/>
      <c r="I74" s="1295"/>
      <c r="J74" s="4"/>
    </row>
    <row r="75" spans="1:10" x14ac:dyDescent="0.25">
      <c r="B75" s="4"/>
      <c r="C75" s="4"/>
      <c r="D75" s="4"/>
      <c r="E75" s="4"/>
      <c r="F75" s="4"/>
      <c r="G75" s="4"/>
      <c r="H75" s="4"/>
      <c r="I75" s="91"/>
      <c r="J75" s="4"/>
    </row>
    <row r="76" spans="1:10" x14ac:dyDescent="0.25">
      <c r="A76" s="4" t="s">
        <v>5</v>
      </c>
      <c r="B76" s="218"/>
      <c r="C76" s="218"/>
      <c r="D76" s="218"/>
      <c r="E76" s="4" t="s">
        <v>205</v>
      </c>
      <c r="F76" s="218"/>
      <c r="G76" s="218"/>
      <c r="H76" s="218"/>
      <c r="I76" s="91"/>
      <c r="J76" s="4" t="s">
        <v>5</v>
      </c>
    </row>
    <row r="77" spans="1:10" x14ac:dyDescent="0.25">
      <c r="A77" s="4" t="s">
        <v>6</v>
      </c>
      <c r="B77" s="4"/>
      <c r="C77" s="4"/>
      <c r="D77" s="4"/>
      <c r="E77" s="849" t="s">
        <v>207</v>
      </c>
      <c r="F77" s="4"/>
      <c r="G77" s="850" t="s">
        <v>7</v>
      </c>
      <c r="H77" s="218"/>
      <c r="I77" s="851" t="s">
        <v>8</v>
      </c>
      <c r="J77" s="4" t="s">
        <v>6</v>
      </c>
    </row>
    <row r="78" spans="1:10" x14ac:dyDescent="0.25">
      <c r="I78" s="91"/>
      <c r="J78" s="4"/>
    </row>
    <row r="79" spans="1:10" ht="19.5" thickBot="1" x14ac:dyDescent="0.3">
      <c r="A79" s="4">
        <v>1</v>
      </c>
      <c r="B79" s="251" t="s">
        <v>1602</v>
      </c>
      <c r="G79" s="852">
        <v>0</v>
      </c>
      <c r="H79" s="218"/>
      <c r="I79" s="421"/>
      <c r="J79" s="4">
        <f>A79</f>
        <v>1</v>
      </c>
    </row>
    <row r="80" spans="1:10" ht="16.5" thickTop="1" x14ac:dyDescent="0.25">
      <c r="A80" s="4">
        <f t="shared" ref="A80:A102" si="4">A79+1</f>
        <v>2</v>
      </c>
      <c r="C80" s="34" t="s">
        <v>184</v>
      </c>
      <c r="D80" s="34" t="s">
        <v>185</v>
      </c>
      <c r="E80" s="34" t="s">
        <v>186</v>
      </c>
      <c r="F80" s="34"/>
      <c r="G80" s="34" t="s">
        <v>1029</v>
      </c>
      <c r="H80" s="34"/>
      <c r="I80" s="91"/>
      <c r="J80" s="4">
        <f t="shared" ref="J80:J102" si="5">J79+1</f>
        <v>2</v>
      </c>
    </row>
    <row r="81" spans="1:10" x14ac:dyDescent="0.25">
      <c r="A81" s="4">
        <f t="shared" si="4"/>
        <v>3</v>
      </c>
      <c r="D81" s="4" t="s">
        <v>1030</v>
      </c>
      <c r="E81" s="4" t="s">
        <v>1031</v>
      </c>
      <c r="F81" s="4"/>
      <c r="G81" s="4" t="s">
        <v>1032</v>
      </c>
      <c r="H81" s="4"/>
      <c r="I81" s="91"/>
      <c r="J81" s="4">
        <f t="shared" si="5"/>
        <v>3</v>
      </c>
    </row>
    <row r="82" spans="1:10" ht="18.75" x14ac:dyDescent="0.25">
      <c r="A82" s="4">
        <f t="shared" si="4"/>
        <v>4</v>
      </c>
      <c r="B82" s="251" t="s">
        <v>1048</v>
      </c>
      <c r="C82" s="849" t="s">
        <v>1603</v>
      </c>
      <c r="D82" s="849" t="s">
        <v>1035</v>
      </c>
      <c r="E82" s="849" t="s">
        <v>1036</v>
      </c>
      <c r="F82" s="849"/>
      <c r="G82" s="849" t="s">
        <v>1037</v>
      </c>
      <c r="H82" s="4"/>
      <c r="I82" s="91"/>
      <c r="J82" s="4">
        <f t="shared" si="5"/>
        <v>4</v>
      </c>
    </row>
    <row r="83" spans="1:10" x14ac:dyDescent="0.25">
      <c r="A83" s="4">
        <f t="shared" si="4"/>
        <v>5</v>
      </c>
      <c r="I83" s="91"/>
      <c r="J83" s="4">
        <f t="shared" si="5"/>
        <v>5</v>
      </c>
    </row>
    <row r="84" spans="1:10" x14ac:dyDescent="0.25">
      <c r="A84" s="4">
        <f t="shared" si="4"/>
        <v>6</v>
      </c>
      <c r="B84" s="31" t="s">
        <v>1038</v>
      </c>
      <c r="C84" s="853">
        <f>G17</f>
        <v>8720787.1579999998</v>
      </c>
      <c r="D84" s="854">
        <f>IFERROR(C84/C$87,0)</f>
        <v>0.46809594123203746</v>
      </c>
      <c r="E84" s="133">
        <f>G27</f>
        <v>3.9835191560812083E-2</v>
      </c>
      <c r="G84" s="855">
        <f>D84*E84</f>
        <v>1.8646691487816846E-2</v>
      </c>
      <c r="H84" s="855"/>
      <c r="I84" s="91" t="s">
        <v>1604</v>
      </c>
      <c r="J84" s="4">
        <f t="shared" si="5"/>
        <v>6</v>
      </c>
    </row>
    <row r="85" spans="1:10" x14ac:dyDescent="0.25">
      <c r="A85" s="4">
        <f t="shared" si="4"/>
        <v>7</v>
      </c>
      <c r="B85" s="31" t="s">
        <v>1040</v>
      </c>
      <c r="C85" s="856">
        <f>G30</f>
        <v>0</v>
      </c>
      <c r="D85" s="854">
        <f>IFERROR(C85/C$87,0)</f>
        <v>0</v>
      </c>
      <c r="E85" s="133">
        <f>G32</f>
        <v>0</v>
      </c>
      <c r="G85" s="855">
        <f>D85*E85</f>
        <v>0</v>
      </c>
      <c r="H85" s="855"/>
      <c r="I85" s="91" t="s">
        <v>1605</v>
      </c>
      <c r="J85" s="4">
        <f t="shared" si="5"/>
        <v>7</v>
      </c>
    </row>
    <row r="86" spans="1:10" x14ac:dyDescent="0.25">
      <c r="A86" s="4">
        <f t="shared" si="4"/>
        <v>8</v>
      </c>
      <c r="B86" s="31" t="s">
        <v>1042</v>
      </c>
      <c r="C86" s="856">
        <f>G39</f>
        <v>9909554.1670000013</v>
      </c>
      <c r="D86" s="857">
        <f>IFERROR(C86/C$87,0)</f>
        <v>0.53190405876796243</v>
      </c>
      <c r="E86" s="1193">
        <f>G79</f>
        <v>0</v>
      </c>
      <c r="G86" s="858">
        <f>D86*E86</f>
        <v>0</v>
      </c>
      <c r="H86" s="859"/>
      <c r="I86" s="91" t="s">
        <v>1606</v>
      </c>
      <c r="J86" s="4">
        <f t="shared" si="5"/>
        <v>8</v>
      </c>
    </row>
    <row r="87" spans="1:10" ht="16.5" thickBot="1" x14ac:dyDescent="0.3">
      <c r="A87" s="4">
        <f t="shared" si="4"/>
        <v>9</v>
      </c>
      <c r="B87" s="31" t="s">
        <v>1044</v>
      </c>
      <c r="C87" s="96">
        <f>SUM(C84:C86)</f>
        <v>18630341.325000003</v>
      </c>
      <c r="D87" s="860">
        <f>SUM(D83:D86)</f>
        <v>0.99999999999999989</v>
      </c>
      <c r="G87" s="861">
        <f>SUM(G84:G86)</f>
        <v>1.8646691487816846E-2</v>
      </c>
      <c r="H87" s="859"/>
      <c r="I87" s="91" t="s">
        <v>1607</v>
      </c>
      <c r="J87" s="4">
        <f t="shared" si="5"/>
        <v>9</v>
      </c>
    </row>
    <row r="88" spans="1:10" ht="16.5" thickTop="1" x14ac:dyDescent="0.25">
      <c r="A88" s="4">
        <f t="shared" si="4"/>
        <v>10</v>
      </c>
      <c r="I88" s="91"/>
      <c r="J88" s="4">
        <f t="shared" si="5"/>
        <v>10</v>
      </c>
    </row>
    <row r="89" spans="1:10" ht="16.5" thickBot="1" x14ac:dyDescent="0.3">
      <c r="A89" s="4">
        <f t="shared" si="4"/>
        <v>11</v>
      </c>
      <c r="B89" s="251" t="s">
        <v>1600</v>
      </c>
      <c r="G89" s="861">
        <f>G85+G86</f>
        <v>0</v>
      </c>
      <c r="H89" s="859"/>
      <c r="I89" s="91" t="s">
        <v>1608</v>
      </c>
      <c r="J89" s="4">
        <f t="shared" si="5"/>
        <v>11</v>
      </c>
    </row>
    <row r="90" spans="1:10" ht="17.25" thickTop="1" thickBot="1" x14ac:dyDescent="0.3">
      <c r="A90" s="862">
        <f t="shared" si="4"/>
        <v>12</v>
      </c>
      <c r="B90" s="1125"/>
      <c r="C90" s="863"/>
      <c r="D90" s="863"/>
      <c r="E90" s="863"/>
      <c r="F90" s="863"/>
      <c r="G90" s="1129"/>
      <c r="H90" s="1129"/>
      <c r="I90" s="864"/>
      <c r="J90" s="862">
        <f t="shared" si="5"/>
        <v>12</v>
      </c>
    </row>
    <row r="91" spans="1:10" x14ac:dyDescent="0.25">
      <c r="A91" s="4">
        <f t="shared" si="4"/>
        <v>13</v>
      </c>
      <c r="I91" s="91"/>
      <c r="J91" s="4">
        <f t="shared" si="5"/>
        <v>13</v>
      </c>
    </row>
    <row r="92" spans="1:10" ht="32.25" thickBot="1" x14ac:dyDescent="0.3">
      <c r="A92" s="4">
        <f t="shared" si="4"/>
        <v>14</v>
      </c>
      <c r="B92" s="251" t="s">
        <v>1609</v>
      </c>
      <c r="G92" s="852">
        <v>0</v>
      </c>
      <c r="I92" s="91" t="s">
        <v>1610</v>
      </c>
      <c r="J92" s="4">
        <f t="shared" si="5"/>
        <v>14</v>
      </c>
    </row>
    <row r="93" spans="1:10" ht="16.5" thickTop="1" x14ac:dyDescent="0.25">
      <c r="A93" s="4">
        <f t="shared" si="4"/>
        <v>15</v>
      </c>
      <c r="C93" s="34" t="s">
        <v>184</v>
      </c>
      <c r="D93" s="34" t="s">
        <v>185</v>
      </c>
      <c r="E93" s="34" t="s">
        <v>186</v>
      </c>
      <c r="F93" s="34"/>
      <c r="G93" s="34" t="s">
        <v>1029</v>
      </c>
      <c r="I93" s="91"/>
      <c r="J93" s="4">
        <f t="shared" si="5"/>
        <v>15</v>
      </c>
    </row>
    <row r="94" spans="1:10" x14ac:dyDescent="0.25">
      <c r="A94" s="4">
        <f t="shared" si="4"/>
        <v>16</v>
      </c>
      <c r="D94" s="4" t="s">
        <v>1030</v>
      </c>
      <c r="E94" s="4" t="s">
        <v>1031</v>
      </c>
      <c r="F94" s="4"/>
      <c r="G94" s="4" t="s">
        <v>1032</v>
      </c>
      <c r="I94" s="91"/>
      <c r="J94" s="4">
        <f t="shared" si="5"/>
        <v>16</v>
      </c>
    </row>
    <row r="95" spans="1:10" ht="18.75" x14ac:dyDescent="0.25">
      <c r="A95" s="4">
        <f t="shared" si="4"/>
        <v>17</v>
      </c>
      <c r="B95" s="251" t="s">
        <v>1033</v>
      </c>
      <c r="C95" s="849" t="s">
        <v>1603</v>
      </c>
      <c r="D95" s="849" t="s">
        <v>1035</v>
      </c>
      <c r="E95" s="849" t="s">
        <v>1036</v>
      </c>
      <c r="F95" s="849"/>
      <c r="G95" s="849" t="s">
        <v>1037</v>
      </c>
      <c r="I95" s="91"/>
      <c r="J95" s="4">
        <f t="shared" si="5"/>
        <v>17</v>
      </c>
    </row>
    <row r="96" spans="1:10" x14ac:dyDescent="0.25">
      <c r="A96" s="4">
        <f t="shared" si="4"/>
        <v>18</v>
      </c>
      <c r="I96" s="91"/>
      <c r="J96" s="4">
        <f t="shared" si="5"/>
        <v>18</v>
      </c>
    </row>
    <row r="97" spans="1:10" x14ac:dyDescent="0.25">
      <c r="A97" s="4">
        <f t="shared" si="4"/>
        <v>19</v>
      </c>
      <c r="B97" s="31" t="s">
        <v>1038</v>
      </c>
      <c r="C97" s="853">
        <f>G17</f>
        <v>8720787.1579999998</v>
      </c>
      <c r="D97" s="854">
        <f>IFERROR(C97/C$100,0)</f>
        <v>0.46809594123203746</v>
      </c>
      <c r="E97" s="1127">
        <v>0</v>
      </c>
      <c r="G97" s="855">
        <f>D97*E97</f>
        <v>0</v>
      </c>
      <c r="I97" s="91" t="s">
        <v>1597</v>
      </c>
      <c r="J97" s="4">
        <f t="shared" si="5"/>
        <v>19</v>
      </c>
    </row>
    <row r="98" spans="1:10" x14ac:dyDescent="0.25">
      <c r="A98" s="4">
        <f t="shared" si="4"/>
        <v>20</v>
      </c>
      <c r="B98" s="31" t="s">
        <v>1040</v>
      </c>
      <c r="C98" s="856">
        <f>G30</f>
        <v>0</v>
      </c>
      <c r="D98" s="854">
        <f>IFERROR(C98/C$100,0)</f>
        <v>0</v>
      </c>
      <c r="E98" s="1127">
        <v>0</v>
      </c>
      <c r="G98" s="855">
        <f>D98*E98</f>
        <v>0</v>
      </c>
      <c r="I98" s="91" t="s">
        <v>1597</v>
      </c>
      <c r="J98" s="4">
        <f t="shared" si="5"/>
        <v>20</v>
      </c>
    </row>
    <row r="99" spans="1:10" x14ac:dyDescent="0.25">
      <c r="A99" s="4">
        <f t="shared" si="4"/>
        <v>21</v>
      </c>
      <c r="B99" s="31" t="s">
        <v>1042</v>
      </c>
      <c r="C99" s="856">
        <f>G39</f>
        <v>9909554.1670000013</v>
      </c>
      <c r="D99" s="857">
        <f>IFERROR(C99/C$100,0)</f>
        <v>0.53190405876796243</v>
      </c>
      <c r="E99" s="1193">
        <f>G92</f>
        <v>0</v>
      </c>
      <c r="G99" s="858">
        <f>D99*E99</f>
        <v>0</v>
      </c>
      <c r="I99" s="91" t="s">
        <v>1611</v>
      </c>
      <c r="J99" s="4">
        <f t="shared" si="5"/>
        <v>21</v>
      </c>
    </row>
    <row r="100" spans="1:10" ht="16.5" thickBot="1" x14ac:dyDescent="0.3">
      <c r="A100" s="4">
        <f t="shared" si="4"/>
        <v>22</v>
      </c>
      <c r="B100" s="31" t="s">
        <v>1044</v>
      </c>
      <c r="C100" s="96">
        <f>SUM(C97:C99)</f>
        <v>18630341.325000003</v>
      </c>
      <c r="D100" s="860">
        <f>SUM(D97:D99)</f>
        <v>0.99999999999999989</v>
      </c>
      <c r="G100" s="861">
        <f>SUM(G97:G99)</f>
        <v>0</v>
      </c>
      <c r="I100" s="91" t="s">
        <v>86</v>
      </c>
      <c r="J100" s="4">
        <f t="shared" si="5"/>
        <v>22</v>
      </c>
    </row>
    <row r="101" spans="1:10" ht="16.5" thickTop="1" x14ac:dyDescent="0.25">
      <c r="A101" s="4">
        <f t="shared" si="4"/>
        <v>23</v>
      </c>
      <c r="I101" s="91"/>
      <c r="J101" s="4">
        <f t="shared" si="5"/>
        <v>23</v>
      </c>
    </row>
    <row r="102" spans="1:10" ht="16.5" thickBot="1" x14ac:dyDescent="0.3">
      <c r="A102" s="4">
        <f t="shared" si="4"/>
        <v>24</v>
      </c>
      <c r="B102" s="251" t="s">
        <v>1612</v>
      </c>
      <c r="G102" s="1195">
        <f>G99</f>
        <v>0</v>
      </c>
      <c r="I102" s="91" t="s">
        <v>1613</v>
      </c>
      <c r="J102" s="4">
        <f t="shared" si="5"/>
        <v>24</v>
      </c>
    </row>
    <row r="103" spans="1:10" ht="16.5" thickTop="1" x14ac:dyDescent="0.25">
      <c r="B103" s="251"/>
      <c r="G103" s="865"/>
      <c r="I103" s="91"/>
      <c r="J103" s="4"/>
    </row>
    <row r="104" spans="1:10" ht="18.75" x14ac:dyDescent="0.25">
      <c r="A104" s="266">
        <v>1</v>
      </c>
      <c r="B104" s="31" t="s">
        <v>1614</v>
      </c>
      <c r="G104" s="865"/>
      <c r="I104" s="91"/>
      <c r="J104" s="4"/>
    </row>
    <row r="105" spans="1:10" ht="18.75" x14ac:dyDescent="0.25">
      <c r="A105" s="266">
        <v>2</v>
      </c>
      <c r="B105" s="31" t="s">
        <v>1047</v>
      </c>
      <c r="G105" s="70"/>
      <c r="H105" s="70"/>
      <c r="J105" s="4" t="s">
        <v>1</v>
      </c>
    </row>
    <row r="106" spans="1:10" ht="18.75" x14ac:dyDescent="0.25">
      <c r="A106" s="266"/>
      <c r="G106" s="70"/>
      <c r="H106" s="70"/>
      <c r="J106" s="4"/>
    </row>
    <row r="107" spans="1:10" ht="18.75" x14ac:dyDescent="0.25">
      <c r="A107" s="266"/>
      <c r="G107" s="70"/>
      <c r="H107" s="70"/>
      <c r="J107" s="4"/>
    </row>
    <row r="108" spans="1:10" x14ac:dyDescent="0.25">
      <c r="B108" s="1294" t="s">
        <v>1348</v>
      </c>
      <c r="C108" s="1294"/>
      <c r="D108" s="1294"/>
      <c r="E108" s="1294"/>
      <c r="F108" s="1294"/>
      <c r="G108" s="1294"/>
      <c r="H108" s="1294"/>
      <c r="I108" s="1294"/>
      <c r="J108" s="4"/>
    </row>
    <row r="109" spans="1:10" x14ac:dyDescent="0.25">
      <c r="B109" s="1294" t="s">
        <v>986</v>
      </c>
      <c r="C109" s="1294"/>
      <c r="D109" s="1294"/>
      <c r="E109" s="1294"/>
      <c r="F109" s="1294"/>
      <c r="G109" s="1294"/>
      <c r="H109" s="1294"/>
      <c r="I109" s="1294"/>
      <c r="J109" s="4"/>
    </row>
    <row r="110" spans="1:10" x14ac:dyDescent="0.25">
      <c r="B110" s="1294" t="s">
        <v>987</v>
      </c>
      <c r="C110" s="1294"/>
      <c r="D110" s="1294"/>
      <c r="E110" s="1294"/>
      <c r="F110" s="1294"/>
      <c r="G110" s="1294"/>
      <c r="H110" s="1294"/>
      <c r="I110" s="1294"/>
      <c r="J110" s="4"/>
    </row>
    <row r="111" spans="1:10" x14ac:dyDescent="0.25">
      <c r="B111" s="1300" t="str">
        <f>B5</f>
        <v>Base Period &amp; True-Up Period 12 - Months Ending December 31, 2023</v>
      </c>
      <c r="C111" s="1300"/>
      <c r="D111" s="1300"/>
      <c r="E111" s="1300"/>
      <c r="F111" s="1300"/>
      <c r="G111" s="1300"/>
      <c r="H111" s="1300"/>
      <c r="I111" s="1300"/>
      <c r="J111" s="4"/>
    </row>
    <row r="112" spans="1:10" x14ac:dyDescent="0.25">
      <c r="B112" s="1299" t="s">
        <v>4</v>
      </c>
      <c r="C112" s="1295"/>
      <c r="D112" s="1295"/>
      <c r="E112" s="1295"/>
      <c r="F112" s="1295"/>
      <c r="G112" s="1295"/>
      <c r="H112" s="1295"/>
      <c r="I112" s="1295"/>
      <c r="J112" s="4"/>
    </row>
    <row r="113" spans="1:13" x14ac:dyDescent="0.25">
      <c r="B113" s="4"/>
      <c r="C113" s="4"/>
      <c r="D113" s="4"/>
      <c r="E113" s="4"/>
      <c r="F113" s="4"/>
      <c r="G113" s="4"/>
      <c r="H113" s="4"/>
      <c r="I113" s="91"/>
      <c r="J113" s="4"/>
    </row>
    <row r="114" spans="1:13" x14ac:dyDescent="0.25">
      <c r="A114" s="4" t="s">
        <v>5</v>
      </c>
      <c r="B114" s="218"/>
      <c r="C114" s="218"/>
      <c r="D114" s="218"/>
      <c r="E114" s="218"/>
      <c r="F114" s="218"/>
      <c r="G114" s="218"/>
      <c r="H114" s="218"/>
      <c r="I114" s="91"/>
      <c r="J114" s="4" t="s">
        <v>5</v>
      </c>
    </row>
    <row r="115" spans="1:13" x14ac:dyDescent="0.25">
      <c r="A115" s="4" t="s">
        <v>6</v>
      </c>
      <c r="B115" s="4"/>
      <c r="C115" s="4"/>
      <c r="D115" s="4"/>
      <c r="E115" s="4"/>
      <c r="F115" s="4"/>
      <c r="G115" s="849" t="s">
        <v>7</v>
      </c>
      <c r="H115" s="218"/>
      <c r="I115" s="851" t="s">
        <v>8</v>
      </c>
      <c r="J115" s="4" t="s">
        <v>6</v>
      </c>
    </row>
    <row r="116" spans="1:13" x14ac:dyDescent="0.25">
      <c r="G116" s="4"/>
      <c r="H116" s="4"/>
      <c r="I116" s="91"/>
      <c r="J116" s="4"/>
    </row>
    <row r="117" spans="1:13" ht="18.75" x14ac:dyDescent="0.25">
      <c r="A117" s="4">
        <v>1</v>
      </c>
      <c r="B117" s="251" t="s">
        <v>1615</v>
      </c>
      <c r="E117" s="218"/>
      <c r="F117" s="218"/>
      <c r="G117" s="41"/>
      <c r="H117" s="41"/>
      <c r="I117" s="91"/>
      <c r="J117" s="4">
        <f>A117</f>
        <v>1</v>
      </c>
    </row>
    <row r="118" spans="1:13" x14ac:dyDescent="0.25">
      <c r="A118" s="4">
        <f>A117+1</f>
        <v>2</v>
      </c>
      <c r="B118" s="33"/>
      <c r="E118" s="218"/>
      <c r="F118" s="218"/>
      <c r="G118" s="41"/>
      <c r="H118" s="41"/>
      <c r="I118" s="91"/>
      <c r="J118" s="4">
        <f>J117+1</f>
        <v>2</v>
      </c>
    </row>
    <row r="119" spans="1:13" x14ac:dyDescent="0.25">
      <c r="A119" s="4">
        <f>A105+1</f>
        <v>3</v>
      </c>
      <c r="B119" s="251" t="s">
        <v>1349</v>
      </c>
      <c r="E119" s="218"/>
      <c r="F119" s="218"/>
      <c r="G119" s="41"/>
      <c r="H119" s="41"/>
      <c r="I119" s="91"/>
      <c r="J119" s="4">
        <f>J118+1</f>
        <v>3</v>
      </c>
    </row>
    <row r="120" spans="1:13" x14ac:dyDescent="0.25">
      <c r="A120" s="4">
        <f>A119+1</f>
        <v>4</v>
      </c>
      <c r="B120" s="218"/>
      <c r="C120" s="218"/>
      <c r="D120" s="218"/>
      <c r="E120" s="218"/>
      <c r="F120" s="218"/>
      <c r="G120" s="41"/>
      <c r="H120" s="41"/>
      <c r="I120" s="91"/>
      <c r="J120" s="4">
        <f>J119+1</f>
        <v>4</v>
      </c>
    </row>
    <row r="121" spans="1:13" x14ac:dyDescent="0.25">
      <c r="A121" s="4">
        <f t="shared" ref="A121:A182" si="6">A120+1</f>
        <v>5</v>
      </c>
      <c r="B121" s="32" t="s">
        <v>1050</v>
      </c>
      <c r="C121" s="218"/>
      <c r="D121" s="218"/>
      <c r="E121" s="218"/>
      <c r="F121" s="218"/>
      <c r="G121" s="41"/>
      <c r="H121" s="41"/>
      <c r="I121" s="464"/>
      <c r="J121" s="4">
        <f>J120+1</f>
        <v>5</v>
      </c>
    </row>
    <row r="122" spans="1:13" x14ac:dyDescent="0.25">
      <c r="A122" s="4">
        <f t="shared" si="6"/>
        <v>6</v>
      </c>
      <c r="B122" s="31" t="s">
        <v>1051</v>
      </c>
      <c r="D122" s="218"/>
      <c r="E122" s="218"/>
      <c r="F122" s="218"/>
      <c r="G122" s="133">
        <f>G52</f>
        <v>5.3722309935564205E-2</v>
      </c>
      <c r="H122" s="218"/>
      <c r="I122" s="91" t="s">
        <v>1616</v>
      </c>
      <c r="J122" s="4">
        <f t="shared" ref="J122:J182" si="7">J121+1</f>
        <v>6</v>
      </c>
      <c r="K122" s="4"/>
      <c r="L122" s="4"/>
    </row>
    <row r="123" spans="1:13" ht="15.75" customHeight="1" x14ac:dyDescent="0.25">
      <c r="A123" s="4">
        <f t="shared" si="6"/>
        <v>7</v>
      </c>
      <c r="B123" s="31" t="s">
        <v>1350</v>
      </c>
      <c r="D123" s="218"/>
      <c r="E123" s="218"/>
      <c r="F123" s="218"/>
      <c r="G123" s="22">
        <f>-'Stmt AR'!E19</f>
        <v>3917.7441587128469</v>
      </c>
      <c r="H123" s="218"/>
      <c r="I123" s="91" t="s">
        <v>1053</v>
      </c>
      <c r="J123" s="4">
        <f t="shared" si="7"/>
        <v>7</v>
      </c>
      <c r="K123" s="4"/>
      <c r="L123" s="4"/>
    </row>
    <row r="124" spans="1:13" x14ac:dyDescent="0.25">
      <c r="A124" s="4">
        <f t="shared" si="6"/>
        <v>8</v>
      </c>
      <c r="B124" s="31" t="s">
        <v>1054</v>
      </c>
      <c r="D124" s="218"/>
      <c r="E124" s="218"/>
      <c r="F124" s="218"/>
      <c r="G124" s="110">
        <f>'AV-1A'!C29</f>
        <v>11020.262002440008</v>
      </c>
      <c r="H124" s="218"/>
      <c r="I124" s="421" t="s">
        <v>1708</v>
      </c>
      <c r="J124" s="4">
        <f t="shared" si="7"/>
        <v>8</v>
      </c>
      <c r="K124" s="4"/>
      <c r="L124" s="218"/>
    </row>
    <row r="125" spans="1:13" x14ac:dyDescent="0.25">
      <c r="A125" s="4">
        <f t="shared" si="6"/>
        <v>9</v>
      </c>
      <c r="B125" s="31" t="s">
        <v>1055</v>
      </c>
      <c r="D125" s="218"/>
      <c r="E125" s="507"/>
      <c r="F125" s="218"/>
      <c r="G125" s="7">
        <f>'TO5 True-Up BK-1'!E136</f>
        <v>5325940.0777648576</v>
      </c>
      <c r="H125" s="218"/>
      <c r="I125" s="91" t="s">
        <v>1351</v>
      </c>
      <c r="J125" s="4">
        <f t="shared" si="7"/>
        <v>9</v>
      </c>
      <c r="K125" s="4"/>
      <c r="L125" s="4"/>
    </row>
    <row r="126" spans="1:13" x14ac:dyDescent="0.25">
      <c r="A126" s="4">
        <f t="shared" si="6"/>
        <v>10</v>
      </c>
      <c r="B126" s="31" t="s">
        <v>1352</v>
      </c>
      <c r="D126" s="47"/>
      <c r="E126" s="218"/>
      <c r="F126" s="218"/>
      <c r="G126" s="1064">
        <v>0.21</v>
      </c>
      <c r="H126" s="218"/>
      <c r="I126" s="91" t="s">
        <v>1058</v>
      </c>
      <c r="J126" s="4">
        <f t="shared" si="7"/>
        <v>10</v>
      </c>
      <c r="K126" s="4"/>
      <c r="L126" s="4"/>
      <c r="M126" s="254"/>
    </row>
    <row r="127" spans="1:13" x14ac:dyDescent="0.25">
      <c r="A127" s="4">
        <f t="shared" si="6"/>
        <v>11</v>
      </c>
      <c r="G127" s="4"/>
      <c r="H127" s="4"/>
      <c r="J127" s="4">
        <f t="shared" si="7"/>
        <v>11</v>
      </c>
      <c r="K127" s="4"/>
      <c r="L127" s="4"/>
    </row>
    <row r="128" spans="1:13" x14ac:dyDescent="0.25">
      <c r="A128" s="4">
        <f t="shared" si="6"/>
        <v>12</v>
      </c>
      <c r="B128" s="31" t="s">
        <v>1059</v>
      </c>
      <c r="D128" s="218"/>
      <c r="E128" s="218"/>
      <c r="F128" s="218"/>
      <c r="G128" s="1057">
        <f>IFERROR((((G122)+(G124/G125))*G126-(G123/G125))/(1-G126),0)</f>
        <v>1.3899510780990628E-2</v>
      </c>
      <c r="H128" s="26"/>
      <c r="I128" s="91" t="s">
        <v>1060</v>
      </c>
      <c r="J128" s="4">
        <f t="shared" si="7"/>
        <v>12</v>
      </c>
      <c r="K128" s="4"/>
      <c r="L128" s="4"/>
      <c r="M128" s="466"/>
    </row>
    <row r="129" spans="1:14" x14ac:dyDescent="0.25">
      <c r="A129" s="4">
        <f t="shared" si="6"/>
        <v>13</v>
      </c>
      <c r="B129" s="249" t="s">
        <v>1061</v>
      </c>
      <c r="G129" s="4"/>
      <c r="H129" s="4"/>
      <c r="J129" s="4">
        <f t="shared" si="7"/>
        <v>13</v>
      </c>
    </row>
    <row r="130" spans="1:14" x14ac:dyDescent="0.25">
      <c r="A130" s="4">
        <f t="shared" si="6"/>
        <v>14</v>
      </c>
      <c r="G130" s="4"/>
      <c r="H130" s="4"/>
      <c r="J130" s="4">
        <f t="shared" si="7"/>
        <v>14</v>
      </c>
    </row>
    <row r="131" spans="1:14" x14ac:dyDescent="0.25">
      <c r="A131" s="4">
        <f t="shared" si="6"/>
        <v>15</v>
      </c>
      <c r="B131" s="251" t="s">
        <v>1062</v>
      </c>
      <c r="C131" s="218"/>
      <c r="D131" s="218"/>
      <c r="E131" s="218"/>
      <c r="F131" s="218"/>
      <c r="G131" s="134"/>
      <c r="H131" s="134"/>
      <c r="I131" s="467"/>
      <c r="J131" s="4">
        <f t="shared" si="7"/>
        <v>15</v>
      </c>
      <c r="L131" s="468"/>
    </row>
    <row r="132" spans="1:14" x14ac:dyDescent="0.25">
      <c r="A132" s="4">
        <f t="shared" si="6"/>
        <v>16</v>
      </c>
      <c r="B132" s="340"/>
      <c r="C132" s="218"/>
      <c r="D132" s="218"/>
      <c r="E132" s="218"/>
      <c r="F132" s="218"/>
      <c r="G132" s="134"/>
      <c r="H132" s="134"/>
      <c r="I132" s="469"/>
      <c r="J132" s="4">
        <f t="shared" si="7"/>
        <v>16</v>
      </c>
      <c r="L132" s="218"/>
    </row>
    <row r="133" spans="1:14" x14ac:dyDescent="0.25">
      <c r="A133" s="4">
        <f t="shared" si="6"/>
        <v>17</v>
      </c>
      <c r="B133" s="32" t="s">
        <v>1050</v>
      </c>
      <c r="C133" s="218"/>
      <c r="D133" s="218"/>
      <c r="E133" s="218"/>
      <c r="F133" s="218"/>
      <c r="G133" s="134"/>
      <c r="H133" s="134"/>
      <c r="I133" s="469"/>
      <c r="J133" s="4">
        <f t="shared" si="7"/>
        <v>17</v>
      </c>
      <c r="L133" s="218"/>
    </row>
    <row r="134" spans="1:14" x14ac:dyDescent="0.25">
      <c r="A134" s="4">
        <f t="shared" si="6"/>
        <v>18</v>
      </c>
      <c r="B134" s="31" t="s">
        <v>1051</v>
      </c>
      <c r="D134" s="218"/>
      <c r="E134" s="218"/>
      <c r="F134" s="218"/>
      <c r="G134" s="133">
        <f>G122</f>
        <v>5.3722309935564205E-2</v>
      </c>
      <c r="H134" s="27"/>
      <c r="I134" s="91" t="s">
        <v>1063</v>
      </c>
      <c r="J134" s="4">
        <f t="shared" si="7"/>
        <v>18</v>
      </c>
      <c r="L134" s="4"/>
      <c r="N134" s="255"/>
    </row>
    <row r="135" spans="1:14" x14ac:dyDescent="0.25">
      <c r="A135" s="4">
        <f t="shared" si="6"/>
        <v>19</v>
      </c>
      <c r="B135" s="31" t="s">
        <v>1064</v>
      </c>
      <c r="D135" s="218"/>
      <c r="E135" s="218"/>
      <c r="F135" s="218"/>
      <c r="G135" s="889">
        <f>-'Stmt AT'!E19</f>
        <v>0</v>
      </c>
      <c r="H135" s="27"/>
      <c r="I135" s="91" t="s">
        <v>1065</v>
      </c>
      <c r="J135" s="4">
        <f t="shared" si="7"/>
        <v>19</v>
      </c>
      <c r="L135" s="4"/>
      <c r="N135" s="255"/>
    </row>
    <row r="136" spans="1:14" x14ac:dyDescent="0.25">
      <c r="A136" s="4">
        <f t="shared" si="6"/>
        <v>20</v>
      </c>
      <c r="B136" s="31" t="s">
        <v>1054</v>
      </c>
      <c r="D136" s="218"/>
      <c r="E136" s="218"/>
      <c r="F136" s="218"/>
      <c r="G136" s="22">
        <f>G124</f>
        <v>11020.262002440008</v>
      </c>
      <c r="H136" s="44"/>
      <c r="I136" s="91" t="s">
        <v>1066</v>
      </c>
      <c r="J136" s="4">
        <f t="shared" si="7"/>
        <v>20</v>
      </c>
      <c r="L136" s="4"/>
    </row>
    <row r="137" spans="1:14" x14ac:dyDescent="0.25">
      <c r="A137" s="4">
        <f t="shared" si="6"/>
        <v>21</v>
      </c>
      <c r="B137" s="31" t="s">
        <v>1055</v>
      </c>
      <c r="D137" s="218"/>
      <c r="E137" s="218"/>
      <c r="F137" s="218"/>
      <c r="G137" s="7">
        <f>G125</f>
        <v>5325940.0777648576</v>
      </c>
      <c r="H137" s="10"/>
      <c r="I137" s="91" t="s">
        <v>1067</v>
      </c>
      <c r="J137" s="4">
        <f t="shared" si="7"/>
        <v>21</v>
      </c>
      <c r="L137" s="4"/>
      <c r="N137" s="255"/>
    </row>
    <row r="138" spans="1:14" x14ac:dyDescent="0.25">
      <c r="A138" s="4">
        <f t="shared" si="6"/>
        <v>22</v>
      </c>
      <c r="B138" s="31" t="s">
        <v>1068</v>
      </c>
      <c r="D138" s="218"/>
      <c r="E138" s="218"/>
      <c r="F138" s="218"/>
      <c r="G138" s="1147">
        <f>G128</f>
        <v>1.3899510780990628E-2</v>
      </c>
      <c r="H138" s="26"/>
      <c r="I138" s="91" t="s">
        <v>1069</v>
      </c>
      <c r="J138" s="4">
        <f t="shared" si="7"/>
        <v>22</v>
      </c>
      <c r="K138" s="4"/>
      <c r="L138" s="4"/>
      <c r="M138" s="4"/>
    </row>
    <row r="139" spans="1:14" x14ac:dyDescent="0.25">
      <c r="A139" s="4">
        <f t="shared" si="6"/>
        <v>23</v>
      </c>
      <c r="B139" s="31" t="s">
        <v>1070</v>
      </c>
      <c r="D139" s="218"/>
      <c r="E139" s="218"/>
      <c r="F139" s="218"/>
      <c r="G139" s="1056" t="s">
        <v>1071</v>
      </c>
      <c r="H139" s="218"/>
      <c r="I139" s="91" t="s">
        <v>1072</v>
      </c>
      <c r="J139" s="4">
        <f t="shared" si="7"/>
        <v>23</v>
      </c>
      <c r="K139" s="4"/>
      <c r="L139" s="4"/>
      <c r="M139" s="4"/>
    </row>
    <row r="140" spans="1:14" x14ac:dyDescent="0.25">
      <c r="A140" s="4">
        <f t="shared" si="6"/>
        <v>24</v>
      </c>
      <c r="B140" s="1"/>
      <c r="D140" s="218"/>
      <c r="E140" s="218"/>
      <c r="F140" s="218"/>
      <c r="G140" s="135"/>
      <c r="H140" s="135"/>
      <c r="I140" s="469"/>
      <c r="J140" s="4">
        <f t="shared" si="7"/>
        <v>24</v>
      </c>
      <c r="K140" s="4"/>
      <c r="L140" s="4"/>
      <c r="M140" s="4"/>
    </row>
    <row r="141" spans="1:14" x14ac:dyDescent="0.25">
      <c r="A141" s="4">
        <f t="shared" si="6"/>
        <v>25</v>
      </c>
      <c r="B141" s="31" t="s">
        <v>1073</v>
      </c>
      <c r="C141" s="4"/>
      <c r="D141" s="4"/>
      <c r="E141" s="218"/>
      <c r="F141" s="218"/>
      <c r="G141" s="1057">
        <f>IFERROR((((G134)+(G136/G137)+G128)*G139-(G135/G137))/(1-G139),0)</f>
        <v>6.7580993379343212E-3</v>
      </c>
      <c r="H141" s="26"/>
      <c r="I141" s="91" t="s">
        <v>1074</v>
      </c>
      <c r="J141" s="4">
        <f t="shared" si="7"/>
        <v>25</v>
      </c>
      <c r="K141" s="4"/>
      <c r="L141" s="4"/>
      <c r="M141" s="4"/>
    </row>
    <row r="142" spans="1:14" x14ac:dyDescent="0.25">
      <c r="A142" s="4">
        <f t="shared" si="6"/>
        <v>26</v>
      </c>
      <c r="B142" s="249" t="s">
        <v>1353</v>
      </c>
      <c r="G142" s="4"/>
      <c r="H142" s="4"/>
      <c r="I142" s="91"/>
      <c r="J142" s="4">
        <f t="shared" si="7"/>
        <v>26</v>
      </c>
      <c r="K142" s="4"/>
      <c r="L142" s="4"/>
      <c r="M142" s="4"/>
    </row>
    <row r="143" spans="1:14" x14ac:dyDescent="0.25">
      <c r="A143" s="4">
        <f t="shared" si="6"/>
        <v>27</v>
      </c>
      <c r="G143" s="4"/>
      <c r="H143" s="4"/>
      <c r="I143" s="91"/>
      <c r="J143" s="4">
        <f t="shared" si="7"/>
        <v>27</v>
      </c>
      <c r="K143" s="4"/>
      <c r="L143" s="4"/>
      <c r="M143" s="4"/>
    </row>
    <row r="144" spans="1:14" x14ac:dyDescent="0.25">
      <c r="A144" s="4">
        <f t="shared" si="6"/>
        <v>28</v>
      </c>
      <c r="B144" s="251" t="s">
        <v>1617</v>
      </c>
      <c r="G144" s="1057">
        <f>G141+G128</f>
        <v>2.065761011892495E-2</v>
      </c>
      <c r="H144" s="26"/>
      <c r="I144" s="91" t="s">
        <v>1076</v>
      </c>
      <c r="J144" s="4">
        <f t="shared" si="7"/>
        <v>28</v>
      </c>
      <c r="K144" s="4"/>
      <c r="L144" s="4"/>
      <c r="M144" s="4"/>
    </row>
    <row r="145" spans="1:13" x14ac:dyDescent="0.25">
      <c r="A145" s="4">
        <f t="shared" si="6"/>
        <v>29</v>
      </c>
      <c r="G145" s="4"/>
      <c r="H145" s="4"/>
      <c r="I145" s="91"/>
      <c r="J145" s="4">
        <f t="shared" si="7"/>
        <v>29</v>
      </c>
      <c r="L145" s="4"/>
    </row>
    <row r="146" spans="1:13" x14ac:dyDescent="0.25">
      <c r="A146" s="4">
        <f t="shared" si="6"/>
        <v>30</v>
      </c>
      <c r="B146" s="251" t="s">
        <v>1618</v>
      </c>
      <c r="G146" s="868">
        <f>G50</f>
        <v>7.2369001423381055E-2</v>
      </c>
      <c r="H146" s="218"/>
      <c r="I146" s="91" t="s">
        <v>1619</v>
      </c>
      <c r="J146" s="4">
        <f t="shared" si="7"/>
        <v>30</v>
      </c>
      <c r="K146" s="255"/>
      <c r="L146" s="4"/>
    </row>
    <row r="147" spans="1:13" x14ac:dyDescent="0.25">
      <c r="A147" s="4">
        <f t="shared" si="6"/>
        <v>31</v>
      </c>
      <c r="G147" s="27"/>
      <c r="H147" s="27"/>
      <c r="I147" s="91"/>
      <c r="J147" s="4">
        <f t="shared" si="7"/>
        <v>31</v>
      </c>
      <c r="L147" s="4"/>
    </row>
    <row r="148" spans="1:13" ht="19.5" thickBot="1" x14ac:dyDescent="0.3">
      <c r="A148" s="4">
        <f t="shared" si="6"/>
        <v>32</v>
      </c>
      <c r="B148" s="251" t="s">
        <v>1620</v>
      </c>
      <c r="G148" s="1130">
        <f>G144+G146</f>
        <v>9.3026611542306001E-2</v>
      </c>
      <c r="H148" s="26"/>
      <c r="I148" s="91" t="s">
        <v>1621</v>
      </c>
      <c r="J148" s="4">
        <f t="shared" si="7"/>
        <v>32</v>
      </c>
      <c r="K148" s="255"/>
      <c r="L148" s="470"/>
      <c r="M148" s="466"/>
    </row>
    <row r="149" spans="1:13" ht="17.25" thickTop="1" thickBot="1" x14ac:dyDescent="0.3">
      <c r="A149" s="862">
        <f t="shared" si="6"/>
        <v>33</v>
      </c>
      <c r="B149" s="863"/>
      <c r="C149" s="863"/>
      <c r="D149" s="863"/>
      <c r="E149" s="863"/>
      <c r="F149" s="863"/>
      <c r="G149" s="862"/>
      <c r="H149" s="862"/>
      <c r="I149" s="864"/>
      <c r="J149" s="862">
        <f t="shared" si="7"/>
        <v>33</v>
      </c>
      <c r="K149" s="255"/>
      <c r="L149" s="470"/>
      <c r="M149" s="466"/>
    </row>
    <row r="150" spans="1:13" x14ac:dyDescent="0.25">
      <c r="A150" s="4">
        <f t="shared" si="6"/>
        <v>34</v>
      </c>
      <c r="G150" s="4"/>
      <c r="H150" s="4"/>
      <c r="I150" s="91"/>
      <c r="J150" s="4">
        <f t="shared" si="7"/>
        <v>34</v>
      </c>
      <c r="K150" s="255"/>
      <c r="L150" s="470"/>
      <c r="M150" s="466"/>
    </row>
    <row r="151" spans="1:13" ht="18.75" x14ac:dyDescent="0.25">
      <c r="A151" s="4">
        <f t="shared" si="6"/>
        <v>35</v>
      </c>
      <c r="B151" s="251" t="s">
        <v>1622</v>
      </c>
      <c r="E151" s="218"/>
      <c r="F151" s="218"/>
      <c r="G151" s="41"/>
      <c r="H151" s="41"/>
      <c r="I151" s="91"/>
      <c r="J151" s="4">
        <f t="shared" si="7"/>
        <v>35</v>
      </c>
      <c r="K151" s="255"/>
      <c r="L151" s="470"/>
      <c r="M151" s="466"/>
    </row>
    <row r="152" spans="1:13" x14ac:dyDescent="0.25">
      <c r="A152" s="4">
        <f t="shared" si="6"/>
        <v>36</v>
      </c>
      <c r="B152" s="33"/>
      <c r="E152" s="218"/>
      <c r="F152" s="218"/>
      <c r="G152" s="41"/>
      <c r="H152" s="41"/>
      <c r="I152" s="91"/>
      <c r="J152" s="4">
        <f t="shared" si="7"/>
        <v>36</v>
      </c>
      <c r="K152" s="255"/>
      <c r="L152" s="470"/>
      <c r="M152" s="466"/>
    </row>
    <row r="153" spans="1:13" x14ac:dyDescent="0.25">
      <c r="A153" s="4">
        <f t="shared" si="6"/>
        <v>37</v>
      </c>
      <c r="B153" s="251" t="s">
        <v>1049</v>
      </c>
      <c r="E153" s="218"/>
      <c r="F153" s="218"/>
      <c r="G153" s="41"/>
      <c r="H153" s="41"/>
      <c r="I153" s="91"/>
      <c r="J153" s="4">
        <f t="shared" si="7"/>
        <v>37</v>
      </c>
      <c r="K153" s="255"/>
      <c r="L153" s="470"/>
      <c r="M153" s="466"/>
    </row>
    <row r="154" spans="1:13" x14ac:dyDescent="0.25">
      <c r="A154" s="4">
        <f t="shared" si="6"/>
        <v>38</v>
      </c>
      <c r="B154" s="218"/>
      <c r="C154" s="218"/>
      <c r="D154" s="218"/>
      <c r="E154" s="218"/>
      <c r="F154" s="218"/>
      <c r="G154" s="41"/>
      <c r="H154" s="41"/>
      <c r="I154" s="91"/>
      <c r="J154" s="4">
        <f t="shared" si="7"/>
        <v>38</v>
      </c>
      <c r="K154" s="255"/>
      <c r="L154" s="470"/>
      <c r="M154" s="466"/>
    </row>
    <row r="155" spans="1:13" x14ac:dyDescent="0.25">
      <c r="A155" s="4">
        <f t="shared" si="6"/>
        <v>39</v>
      </c>
      <c r="B155" s="32" t="s">
        <v>1050</v>
      </c>
      <c r="C155" s="218"/>
      <c r="D155" s="218"/>
      <c r="E155" s="218"/>
      <c r="F155" s="218"/>
      <c r="G155" s="41"/>
      <c r="H155" s="41"/>
      <c r="I155" s="464"/>
      <c r="J155" s="4">
        <f t="shared" si="7"/>
        <v>39</v>
      </c>
      <c r="K155" s="255"/>
      <c r="L155" s="470"/>
      <c r="M155" s="466"/>
    </row>
    <row r="156" spans="1:13" x14ac:dyDescent="0.25">
      <c r="A156" s="4">
        <f t="shared" si="6"/>
        <v>40</v>
      </c>
      <c r="B156" s="31" t="s">
        <v>1623</v>
      </c>
      <c r="D156" s="218"/>
      <c r="E156" s="218"/>
      <c r="F156" s="218"/>
      <c r="G156" s="1131">
        <f>G65</f>
        <v>2.6595202938398121E-3</v>
      </c>
      <c r="H156" s="218"/>
      <c r="I156" s="91" t="s">
        <v>1624</v>
      </c>
      <c r="J156" s="4">
        <f t="shared" si="7"/>
        <v>40</v>
      </c>
      <c r="K156" s="255"/>
      <c r="L156" s="470"/>
      <c r="M156" s="466"/>
    </row>
    <row r="157" spans="1:13" x14ac:dyDescent="0.25">
      <c r="A157" s="4">
        <f t="shared" si="6"/>
        <v>41</v>
      </c>
      <c r="B157" s="31" t="s">
        <v>1052</v>
      </c>
      <c r="D157" s="218"/>
      <c r="E157" s="218"/>
      <c r="F157" s="218"/>
      <c r="G157" s="1132">
        <v>0</v>
      </c>
      <c r="H157" s="218"/>
      <c r="I157" s="91" t="s">
        <v>1597</v>
      </c>
      <c r="J157" s="4">
        <f t="shared" si="7"/>
        <v>41</v>
      </c>
      <c r="K157" s="255"/>
      <c r="L157" s="470"/>
      <c r="M157" s="466"/>
    </row>
    <row r="158" spans="1:13" x14ac:dyDescent="0.25">
      <c r="A158" s="4">
        <f t="shared" si="6"/>
        <v>42</v>
      </c>
      <c r="B158" s="31" t="s">
        <v>1054</v>
      </c>
      <c r="D158" s="218"/>
      <c r="E158" s="218"/>
      <c r="F158" s="218"/>
      <c r="G158" s="1132">
        <v>0</v>
      </c>
      <c r="H158" s="218"/>
      <c r="I158" s="91" t="s">
        <v>1597</v>
      </c>
      <c r="J158" s="4">
        <f t="shared" si="7"/>
        <v>42</v>
      </c>
      <c r="K158" s="255"/>
      <c r="L158" s="470"/>
      <c r="M158" s="466"/>
    </row>
    <row r="159" spans="1:13" x14ac:dyDescent="0.25">
      <c r="A159" s="4">
        <f t="shared" si="6"/>
        <v>43</v>
      </c>
      <c r="B159" s="31" t="s">
        <v>1055</v>
      </c>
      <c r="D159" s="218"/>
      <c r="E159" s="465"/>
      <c r="F159" s="218"/>
      <c r="G159" s="1133">
        <f>'TO5 True-Up BK-1'!E136</f>
        <v>5325940.0777648576</v>
      </c>
      <c r="H159" s="218"/>
      <c r="I159" s="91" t="s">
        <v>1351</v>
      </c>
      <c r="J159" s="4">
        <f t="shared" si="7"/>
        <v>43</v>
      </c>
      <c r="K159" s="255"/>
      <c r="L159" s="470"/>
      <c r="M159" s="466"/>
    </row>
    <row r="160" spans="1:13" x14ac:dyDescent="0.25">
      <c r="A160" s="4">
        <f t="shared" si="6"/>
        <v>44</v>
      </c>
      <c r="B160" s="31" t="s">
        <v>1056</v>
      </c>
      <c r="D160" s="866"/>
      <c r="E160" s="218"/>
      <c r="F160" s="218"/>
      <c r="G160" s="1134" t="s">
        <v>1057</v>
      </c>
      <c r="H160" s="218"/>
      <c r="I160" s="91" t="s">
        <v>1058</v>
      </c>
      <c r="J160" s="4">
        <f t="shared" si="7"/>
        <v>44</v>
      </c>
      <c r="K160" s="255"/>
      <c r="L160" s="470"/>
      <c r="M160" s="466"/>
    </row>
    <row r="161" spans="1:13" x14ac:dyDescent="0.25">
      <c r="A161" s="4">
        <f t="shared" si="6"/>
        <v>45</v>
      </c>
      <c r="G161" s="4"/>
      <c r="H161" s="4"/>
      <c r="J161" s="4">
        <f t="shared" si="7"/>
        <v>45</v>
      </c>
      <c r="K161" s="255"/>
      <c r="L161" s="470"/>
      <c r="M161" s="466"/>
    </row>
    <row r="162" spans="1:13" x14ac:dyDescent="0.25">
      <c r="A162" s="4">
        <f t="shared" si="6"/>
        <v>46</v>
      </c>
      <c r="B162" s="31" t="s">
        <v>1059</v>
      </c>
      <c r="D162" s="218"/>
      <c r="E162" s="218"/>
      <c r="F162" s="218"/>
      <c r="G162" s="1139">
        <f>IFERROR((((G156)+(G158/G159))*G160-(G157/G159))/(1-G160),0)</f>
        <v>7.0696109076754494E-4</v>
      </c>
      <c r="H162" s="1135"/>
      <c r="I162" s="91" t="s">
        <v>1060</v>
      </c>
      <c r="J162" s="4">
        <f t="shared" si="7"/>
        <v>46</v>
      </c>
      <c r="K162" s="255"/>
      <c r="L162" s="470"/>
      <c r="M162" s="466"/>
    </row>
    <row r="163" spans="1:13" x14ac:dyDescent="0.25">
      <c r="A163" s="4">
        <f t="shared" si="6"/>
        <v>47</v>
      </c>
      <c r="B163" s="249" t="s">
        <v>1061</v>
      </c>
      <c r="G163" s="4"/>
      <c r="H163" s="4"/>
      <c r="J163" s="4">
        <f t="shared" si="7"/>
        <v>47</v>
      </c>
      <c r="K163" s="255"/>
      <c r="L163" s="470"/>
      <c r="M163" s="466"/>
    </row>
    <row r="164" spans="1:13" x14ac:dyDescent="0.25">
      <c r="A164" s="4">
        <f t="shared" si="6"/>
        <v>48</v>
      </c>
      <c r="G164" s="4"/>
      <c r="H164" s="4"/>
      <c r="J164" s="4">
        <f t="shared" si="7"/>
        <v>48</v>
      </c>
      <c r="K164" s="255"/>
      <c r="L164" s="470"/>
      <c r="M164" s="466"/>
    </row>
    <row r="165" spans="1:13" x14ac:dyDescent="0.25">
      <c r="A165" s="4">
        <f t="shared" si="6"/>
        <v>49</v>
      </c>
      <c r="B165" s="251" t="s">
        <v>1062</v>
      </c>
      <c r="C165" s="218"/>
      <c r="D165" s="218"/>
      <c r="E165" s="218"/>
      <c r="F165" s="218"/>
      <c r="G165" s="134"/>
      <c r="H165" s="134"/>
      <c r="I165" s="467"/>
      <c r="J165" s="4">
        <f t="shared" si="7"/>
        <v>49</v>
      </c>
      <c r="K165" s="255"/>
      <c r="L165" s="470"/>
      <c r="M165" s="466"/>
    </row>
    <row r="166" spans="1:13" x14ac:dyDescent="0.25">
      <c r="A166" s="4">
        <f t="shared" si="6"/>
        <v>50</v>
      </c>
      <c r="B166" s="340"/>
      <c r="C166" s="218"/>
      <c r="D166" s="218"/>
      <c r="E166" s="218"/>
      <c r="F166" s="218"/>
      <c r="G166" s="134"/>
      <c r="H166" s="134"/>
      <c r="I166" s="469"/>
      <c r="J166" s="4">
        <f t="shared" si="7"/>
        <v>50</v>
      </c>
      <c r="K166" s="255"/>
      <c r="L166" s="470"/>
      <c r="M166" s="466"/>
    </row>
    <row r="167" spans="1:13" x14ac:dyDescent="0.25">
      <c r="A167" s="4">
        <f t="shared" si="6"/>
        <v>51</v>
      </c>
      <c r="B167" s="32" t="s">
        <v>1050</v>
      </c>
      <c r="C167" s="218"/>
      <c r="D167" s="218"/>
      <c r="E167" s="218"/>
      <c r="F167" s="218"/>
      <c r="G167" s="134"/>
      <c r="H167" s="134"/>
      <c r="I167" s="469"/>
      <c r="J167" s="4">
        <f t="shared" si="7"/>
        <v>51</v>
      </c>
      <c r="K167" s="255"/>
      <c r="L167" s="470"/>
      <c r="M167" s="466"/>
    </row>
    <row r="168" spans="1:13" x14ac:dyDescent="0.25">
      <c r="A168" s="4">
        <f t="shared" si="6"/>
        <v>52</v>
      </c>
      <c r="B168" s="31" t="s">
        <v>1623</v>
      </c>
      <c r="D168" s="218"/>
      <c r="E168" s="218"/>
      <c r="F168" s="218"/>
      <c r="G168" s="1131">
        <f>G156</f>
        <v>2.6595202938398121E-3</v>
      </c>
      <c r="H168" s="854"/>
      <c r="I168" s="91" t="s">
        <v>1625</v>
      </c>
      <c r="J168" s="4">
        <f t="shared" si="7"/>
        <v>52</v>
      </c>
      <c r="K168" s="255"/>
      <c r="L168" s="470"/>
      <c r="M168" s="466"/>
    </row>
    <row r="169" spans="1:13" x14ac:dyDescent="0.25">
      <c r="A169" s="4">
        <f t="shared" si="6"/>
        <v>53</v>
      </c>
      <c r="B169" s="31" t="s">
        <v>1064</v>
      </c>
      <c r="D169" s="218"/>
      <c r="E169" s="218"/>
      <c r="F169" s="218"/>
      <c r="G169" s="136">
        <v>0</v>
      </c>
      <c r="H169" s="854"/>
      <c r="I169" s="91" t="s">
        <v>1597</v>
      </c>
      <c r="J169" s="4">
        <f t="shared" si="7"/>
        <v>53</v>
      </c>
      <c r="K169" s="255"/>
      <c r="L169" s="470"/>
      <c r="M169" s="466"/>
    </row>
    <row r="170" spans="1:13" x14ac:dyDescent="0.25">
      <c r="A170" s="4">
        <f t="shared" si="6"/>
        <v>54</v>
      </c>
      <c r="B170" s="31" t="s">
        <v>1054</v>
      </c>
      <c r="D170" s="218"/>
      <c r="E170" s="218"/>
      <c r="F170" s="218"/>
      <c r="G170" s="1144">
        <f>G158</f>
        <v>0</v>
      </c>
      <c r="H170" s="1136"/>
      <c r="I170" s="91" t="s">
        <v>1626</v>
      </c>
      <c r="J170" s="4">
        <f t="shared" si="7"/>
        <v>54</v>
      </c>
      <c r="K170" s="255"/>
      <c r="L170" s="470"/>
      <c r="M170" s="466"/>
    </row>
    <row r="171" spans="1:13" x14ac:dyDescent="0.25">
      <c r="A171" s="4">
        <f t="shared" si="6"/>
        <v>55</v>
      </c>
      <c r="B171" s="31" t="s">
        <v>1055</v>
      </c>
      <c r="D171" s="218"/>
      <c r="E171" s="218"/>
      <c r="F171" s="218"/>
      <c r="G171" s="1133">
        <f>G159</f>
        <v>5325940.0777648576</v>
      </c>
      <c r="H171" s="867"/>
      <c r="I171" s="91" t="s">
        <v>1627</v>
      </c>
      <c r="J171" s="4">
        <f t="shared" si="7"/>
        <v>55</v>
      </c>
      <c r="K171" s="255"/>
      <c r="L171" s="470"/>
      <c r="M171" s="466"/>
    </row>
    <row r="172" spans="1:13" x14ac:dyDescent="0.25">
      <c r="A172" s="4">
        <f t="shared" si="6"/>
        <v>56</v>
      </c>
      <c r="B172" s="31" t="s">
        <v>1068</v>
      </c>
      <c r="D172" s="218"/>
      <c r="E172" s="218"/>
      <c r="F172" s="218"/>
      <c r="G172" s="1196">
        <f>G162</f>
        <v>7.0696109076754494E-4</v>
      </c>
      <c r="H172" s="1137"/>
      <c r="I172" s="91" t="s">
        <v>1628</v>
      </c>
      <c r="J172" s="4">
        <f t="shared" si="7"/>
        <v>56</v>
      </c>
      <c r="K172" s="255"/>
      <c r="L172" s="470"/>
      <c r="M172" s="466"/>
    </row>
    <row r="173" spans="1:13" x14ac:dyDescent="0.25">
      <c r="A173" s="4">
        <f t="shared" si="6"/>
        <v>57</v>
      </c>
      <c r="B173" s="31" t="s">
        <v>1070</v>
      </c>
      <c r="D173" s="218"/>
      <c r="E173" s="218"/>
      <c r="F173" s="218"/>
      <c r="G173" s="1134" t="s">
        <v>1071</v>
      </c>
      <c r="H173" s="218"/>
      <c r="I173" s="91" t="s">
        <v>1072</v>
      </c>
      <c r="J173" s="4">
        <f t="shared" si="7"/>
        <v>57</v>
      </c>
      <c r="K173" s="255"/>
      <c r="L173" s="470"/>
      <c r="M173" s="466"/>
    </row>
    <row r="174" spans="1:13" x14ac:dyDescent="0.25">
      <c r="A174" s="4">
        <f t="shared" si="6"/>
        <v>58</v>
      </c>
      <c r="B174" s="1"/>
      <c r="D174" s="218"/>
      <c r="E174" s="218"/>
      <c r="F174" s="218"/>
      <c r="G174" s="1138"/>
      <c r="H174" s="1138"/>
      <c r="I174" s="469"/>
      <c r="J174" s="4">
        <f t="shared" si="7"/>
        <v>58</v>
      </c>
      <c r="K174" s="255"/>
      <c r="L174" s="470"/>
      <c r="M174" s="466"/>
    </row>
    <row r="175" spans="1:13" x14ac:dyDescent="0.25">
      <c r="A175" s="4">
        <f t="shared" si="6"/>
        <v>59</v>
      </c>
      <c r="B175" s="31" t="s">
        <v>1073</v>
      </c>
      <c r="C175" s="4"/>
      <c r="D175" s="4"/>
      <c r="E175" s="218"/>
      <c r="F175" s="218"/>
      <c r="G175" s="1139">
        <f>IFERROR((((G168)+(G170/G171)+G162)*G173-(G169/G171))/(1-G173),0)</f>
        <v>3.2645563229408771E-4</v>
      </c>
      <c r="H175" s="1140"/>
      <c r="I175" s="91" t="s">
        <v>1074</v>
      </c>
      <c r="J175" s="4">
        <f t="shared" si="7"/>
        <v>59</v>
      </c>
      <c r="K175" s="255"/>
      <c r="L175" s="470"/>
      <c r="M175" s="466"/>
    </row>
    <row r="176" spans="1:13" x14ac:dyDescent="0.25">
      <c r="A176" s="4">
        <f t="shared" si="6"/>
        <v>60</v>
      </c>
      <c r="B176" s="249" t="s">
        <v>1353</v>
      </c>
      <c r="G176" s="4"/>
      <c r="H176" s="4"/>
      <c r="I176" s="91"/>
      <c r="J176" s="4">
        <f t="shared" si="7"/>
        <v>60</v>
      </c>
      <c r="K176" s="255"/>
      <c r="L176" s="470"/>
      <c r="M176" s="466"/>
    </row>
    <row r="177" spans="1:13" x14ac:dyDescent="0.25">
      <c r="A177" s="4">
        <f t="shared" si="6"/>
        <v>61</v>
      </c>
      <c r="G177" s="4"/>
      <c r="H177" s="4"/>
      <c r="I177" s="91"/>
      <c r="J177" s="4">
        <f t="shared" si="7"/>
        <v>61</v>
      </c>
      <c r="K177" s="255"/>
      <c r="L177" s="470"/>
      <c r="M177" s="466"/>
    </row>
    <row r="178" spans="1:13" x14ac:dyDescent="0.25">
      <c r="A178" s="4">
        <f t="shared" si="6"/>
        <v>62</v>
      </c>
      <c r="B178" s="251" t="s">
        <v>1617</v>
      </c>
      <c r="G178" s="1139">
        <f>G175+G162</f>
        <v>1.0334167230616326E-3</v>
      </c>
      <c r="H178" s="1135"/>
      <c r="I178" s="91" t="s">
        <v>1629</v>
      </c>
      <c r="J178" s="4">
        <f t="shared" si="7"/>
        <v>62</v>
      </c>
      <c r="K178" s="255"/>
      <c r="L178" s="470"/>
      <c r="M178" s="466"/>
    </row>
    <row r="179" spans="1:13" x14ac:dyDescent="0.25">
      <c r="A179" s="4">
        <f t="shared" si="6"/>
        <v>63</v>
      </c>
      <c r="G179" s="4"/>
      <c r="H179" s="4"/>
      <c r="I179" s="91"/>
      <c r="J179" s="4">
        <f t="shared" si="7"/>
        <v>63</v>
      </c>
      <c r="K179" s="255"/>
      <c r="L179" s="470"/>
      <c r="M179" s="466"/>
    </row>
    <row r="180" spans="1:13" x14ac:dyDescent="0.25">
      <c r="A180" s="4">
        <f t="shared" si="6"/>
        <v>64</v>
      </c>
      <c r="B180" s="251" t="s">
        <v>1630</v>
      </c>
      <c r="G180" s="1155">
        <f>G63</f>
        <v>2.6595202938398121E-3</v>
      </c>
      <c r="H180" s="218"/>
      <c r="I180" s="91" t="s">
        <v>1631</v>
      </c>
      <c r="J180" s="4">
        <f t="shared" si="7"/>
        <v>64</v>
      </c>
      <c r="K180" s="255"/>
      <c r="L180" s="470"/>
      <c r="M180" s="466"/>
    </row>
    <row r="181" spans="1:13" x14ac:dyDescent="0.25">
      <c r="A181" s="4">
        <f t="shared" si="6"/>
        <v>65</v>
      </c>
      <c r="G181" s="854"/>
      <c r="H181" s="854"/>
      <c r="I181" s="91"/>
      <c r="J181" s="4">
        <f t="shared" si="7"/>
        <v>65</v>
      </c>
      <c r="K181" s="255"/>
      <c r="L181" s="470"/>
      <c r="M181" s="466"/>
    </row>
    <row r="182" spans="1:13" ht="19.5" thickBot="1" x14ac:dyDescent="0.3">
      <c r="A182" s="4">
        <f t="shared" si="6"/>
        <v>66</v>
      </c>
      <c r="B182" s="251" t="s">
        <v>1632</v>
      </c>
      <c r="G182" s="1141">
        <f>G178+G180</f>
        <v>3.692937016901445E-3</v>
      </c>
      <c r="H182" s="1140"/>
      <c r="I182" s="91" t="s">
        <v>1633</v>
      </c>
      <c r="J182" s="4">
        <f t="shared" si="7"/>
        <v>66</v>
      </c>
      <c r="K182" s="255"/>
      <c r="L182" s="470"/>
      <c r="M182" s="466"/>
    </row>
    <row r="183" spans="1:13" ht="16.5" thickTop="1" x14ac:dyDescent="0.25">
      <c r="B183" s="251"/>
      <c r="G183" s="26"/>
      <c r="H183" s="26"/>
      <c r="I183" s="91"/>
      <c r="J183" s="4"/>
      <c r="K183" s="255"/>
      <c r="L183" s="470"/>
      <c r="M183" s="466"/>
    </row>
    <row r="184" spans="1:13" x14ac:dyDescent="0.25">
      <c r="A184" s="71"/>
      <c r="B184" s="1"/>
      <c r="C184" s="472"/>
      <c r="D184" s="472"/>
      <c r="E184" s="472"/>
      <c r="F184" s="472"/>
      <c r="G184" s="74"/>
      <c r="H184" s="74"/>
      <c r="I184" s="473"/>
      <c r="J184" s="4"/>
    </row>
    <row r="185" spans="1:13" x14ac:dyDescent="0.25">
      <c r="B185" s="1294" t="s">
        <v>1348</v>
      </c>
      <c r="C185" s="1294"/>
      <c r="D185" s="1294"/>
      <c r="E185" s="1294"/>
      <c r="F185" s="1294"/>
      <c r="G185" s="1294"/>
      <c r="H185" s="1294"/>
      <c r="I185" s="1294"/>
      <c r="J185" s="4"/>
    </row>
    <row r="186" spans="1:13" x14ac:dyDescent="0.25">
      <c r="B186" s="1294" t="s">
        <v>986</v>
      </c>
      <c r="C186" s="1294"/>
      <c r="D186" s="1294"/>
      <c r="E186" s="1294"/>
      <c r="F186" s="1294"/>
      <c r="G186" s="1294"/>
      <c r="H186" s="1294"/>
      <c r="I186" s="1294"/>
      <c r="J186" s="4"/>
    </row>
    <row r="187" spans="1:13" x14ac:dyDescent="0.25">
      <c r="B187" s="1294" t="s">
        <v>987</v>
      </c>
      <c r="C187" s="1294"/>
      <c r="D187" s="1294"/>
      <c r="E187" s="1294"/>
      <c r="F187" s="1294"/>
      <c r="G187" s="1294"/>
      <c r="H187" s="1294"/>
      <c r="I187" s="1294"/>
      <c r="J187" s="4"/>
    </row>
    <row r="188" spans="1:13" x14ac:dyDescent="0.25">
      <c r="B188" s="1300" t="str">
        <f>B5</f>
        <v>Base Period &amp; True-Up Period 12 - Months Ending December 31, 2023</v>
      </c>
      <c r="C188" s="1300"/>
      <c r="D188" s="1300"/>
      <c r="E188" s="1300"/>
      <c r="F188" s="1300"/>
      <c r="G188" s="1300"/>
      <c r="H188" s="1300"/>
      <c r="I188" s="1300"/>
      <c r="J188" s="4"/>
    </row>
    <row r="189" spans="1:13" x14ac:dyDescent="0.25">
      <c r="B189" s="1299" t="s">
        <v>4</v>
      </c>
      <c r="C189" s="1295"/>
      <c r="D189" s="1295"/>
      <c r="E189" s="1295"/>
      <c r="F189" s="1295"/>
      <c r="G189" s="1295"/>
      <c r="H189" s="1295"/>
      <c r="I189" s="1295"/>
      <c r="J189" s="4"/>
    </row>
    <row r="190" spans="1:13" x14ac:dyDescent="0.25">
      <c r="B190" s="4"/>
      <c r="C190" s="4"/>
      <c r="D190" s="4"/>
      <c r="E190" s="4"/>
      <c r="F190" s="4"/>
      <c r="G190" s="218"/>
      <c r="H190" s="218"/>
      <c r="I190" s="91"/>
      <c r="J190" s="4"/>
    </row>
    <row r="191" spans="1:13" x14ac:dyDescent="0.25">
      <c r="A191" s="4" t="s">
        <v>5</v>
      </c>
      <c r="B191" s="218"/>
      <c r="C191" s="218"/>
      <c r="D191" s="218"/>
      <c r="E191" s="218"/>
      <c r="F191" s="218"/>
      <c r="G191" s="218"/>
      <c r="H191" s="218"/>
      <c r="I191" s="91"/>
      <c r="J191" s="4" t="s">
        <v>5</v>
      </c>
    </row>
    <row r="192" spans="1:13" x14ac:dyDescent="0.25">
      <c r="A192" s="4" t="s">
        <v>6</v>
      </c>
      <c r="B192" s="4"/>
      <c r="C192" s="4"/>
      <c r="D192" s="4"/>
      <c r="E192" s="4"/>
      <c r="F192" s="4"/>
      <c r="G192" s="849" t="s">
        <v>7</v>
      </c>
      <c r="H192" s="218"/>
      <c r="I192" s="851" t="s">
        <v>8</v>
      </c>
      <c r="J192" s="4" t="s">
        <v>6</v>
      </c>
    </row>
    <row r="193" spans="1:10" x14ac:dyDescent="0.25">
      <c r="G193" s="4"/>
      <c r="H193" s="4"/>
      <c r="I193" s="91"/>
      <c r="J193" s="4"/>
    </row>
    <row r="194" spans="1:10" ht="18.75" x14ac:dyDescent="0.25">
      <c r="A194" s="4">
        <v>1</v>
      </c>
      <c r="B194" s="251" t="s">
        <v>1634</v>
      </c>
      <c r="E194" s="218"/>
      <c r="F194" s="218"/>
      <c r="G194" s="41"/>
      <c r="H194" s="41"/>
      <c r="I194" s="91"/>
      <c r="J194" s="4">
        <f>A194</f>
        <v>1</v>
      </c>
    </row>
    <row r="195" spans="1:10" x14ac:dyDescent="0.25">
      <c r="A195" s="4">
        <f>A194+1</f>
        <v>2</v>
      </c>
      <c r="B195" s="33"/>
      <c r="E195" s="218"/>
      <c r="F195" s="218"/>
      <c r="G195" s="41"/>
      <c r="H195" s="41"/>
      <c r="I195" s="91"/>
      <c r="J195" s="4">
        <f>J194+1</f>
        <v>2</v>
      </c>
    </row>
    <row r="196" spans="1:10" x14ac:dyDescent="0.25">
      <c r="A196" s="4">
        <f>A195+1</f>
        <v>3</v>
      </c>
      <c r="B196" s="251" t="s">
        <v>1349</v>
      </c>
      <c r="E196" s="218"/>
      <c r="F196" s="218"/>
      <c r="G196" s="41"/>
      <c r="H196" s="41"/>
      <c r="I196" s="91"/>
      <c r="J196" s="4">
        <f>J195+1</f>
        <v>3</v>
      </c>
    </row>
    <row r="197" spans="1:10" x14ac:dyDescent="0.25">
      <c r="A197" s="4">
        <f>A196+1</f>
        <v>4</v>
      </c>
      <c r="B197" s="218"/>
      <c r="C197" s="218"/>
      <c r="D197" s="218"/>
      <c r="E197" s="218"/>
      <c r="F197" s="218"/>
      <c r="G197" s="41"/>
      <c r="H197" s="41"/>
      <c r="I197" s="91"/>
      <c r="J197" s="4">
        <f>J196+1</f>
        <v>4</v>
      </c>
    </row>
    <row r="198" spans="1:10" x14ac:dyDescent="0.25">
      <c r="A198" s="4">
        <f t="shared" ref="A198:A259" si="8">A197+1</f>
        <v>5</v>
      </c>
      <c r="B198" s="32" t="s">
        <v>1050</v>
      </c>
      <c r="C198" s="218"/>
      <c r="D198" s="218"/>
      <c r="E198" s="218"/>
      <c r="F198" s="218"/>
      <c r="G198" s="41"/>
      <c r="H198" s="41"/>
      <c r="I198" s="464"/>
      <c r="J198" s="4">
        <f t="shared" ref="J198:J259" si="9">J197+1</f>
        <v>5</v>
      </c>
    </row>
    <row r="199" spans="1:10" x14ac:dyDescent="0.25">
      <c r="A199" s="4">
        <f t="shared" si="8"/>
        <v>6</v>
      </c>
      <c r="B199" s="31" t="s">
        <v>1051</v>
      </c>
      <c r="D199" s="218"/>
      <c r="E199" s="218"/>
      <c r="F199" s="218"/>
      <c r="G199" s="133">
        <f>G89</f>
        <v>0</v>
      </c>
      <c r="H199" s="218"/>
      <c r="I199" s="91" t="s">
        <v>1635</v>
      </c>
      <c r="J199" s="4">
        <f t="shared" si="9"/>
        <v>6</v>
      </c>
    </row>
    <row r="200" spans="1:10" x14ac:dyDescent="0.25">
      <c r="A200" s="4">
        <f t="shared" si="8"/>
        <v>7</v>
      </c>
      <c r="B200" s="31" t="s">
        <v>1052</v>
      </c>
      <c r="D200" s="218"/>
      <c r="E200" s="218"/>
      <c r="F200" s="218"/>
      <c r="G200" s="136">
        <v>0</v>
      </c>
      <c r="H200" s="218"/>
      <c r="I200" s="91" t="s">
        <v>1077</v>
      </c>
      <c r="J200" s="4">
        <f t="shared" si="9"/>
        <v>7</v>
      </c>
    </row>
    <row r="201" spans="1:10" x14ac:dyDescent="0.25">
      <c r="A201" s="4">
        <f t="shared" si="8"/>
        <v>8</v>
      </c>
      <c r="B201" s="31" t="s">
        <v>1054</v>
      </c>
      <c r="D201" s="218"/>
      <c r="E201" s="218"/>
      <c r="F201" s="218"/>
      <c r="G201" s="110">
        <v>0</v>
      </c>
      <c r="H201" s="218"/>
      <c r="I201" s="421"/>
      <c r="J201" s="4">
        <f t="shared" si="9"/>
        <v>8</v>
      </c>
    </row>
    <row r="202" spans="1:10" x14ac:dyDescent="0.25">
      <c r="A202" s="4">
        <f t="shared" si="8"/>
        <v>9</v>
      </c>
      <c r="B202" s="31" t="s">
        <v>1078</v>
      </c>
      <c r="D202" s="218"/>
      <c r="E202" s="218"/>
      <c r="F202" s="218"/>
      <c r="G202" s="22">
        <f>'TO5 True-Up BK-1'!E141</f>
        <v>0</v>
      </c>
      <c r="H202" s="218"/>
      <c r="I202" s="91" t="s">
        <v>1354</v>
      </c>
      <c r="J202" s="4">
        <f t="shared" si="9"/>
        <v>9</v>
      </c>
    </row>
    <row r="203" spans="1:10" x14ac:dyDescent="0.25">
      <c r="A203" s="4">
        <f t="shared" si="8"/>
        <v>10</v>
      </c>
      <c r="B203" s="31" t="s">
        <v>1056</v>
      </c>
      <c r="D203" s="218"/>
      <c r="E203" s="218"/>
      <c r="F203" s="218"/>
      <c r="G203" s="1058">
        <f>G126</f>
        <v>0.21</v>
      </c>
      <c r="H203" s="218"/>
      <c r="I203" s="91" t="s">
        <v>1636</v>
      </c>
      <c r="J203" s="4">
        <f t="shared" si="9"/>
        <v>10</v>
      </c>
    </row>
    <row r="204" spans="1:10" x14ac:dyDescent="0.25">
      <c r="A204" s="4">
        <f t="shared" si="8"/>
        <v>11</v>
      </c>
      <c r="G204" s="4"/>
      <c r="H204" s="4"/>
      <c r="J204" s="4">
        <f t="shared" si="9"/>
        <v>11</v>
      </c>
    </row>
    <row r="205" spans="1:10" x14ac:dyDescent="0.25">
      <c r="A205" s="4">
        <f t="shared" si="8"/>
        <v>12</v>
      </c>
      <c r="B205" s="31" t="s">
        <v>1079</v>
      </c>
      <c r="D205" s="218"/>
      <c r="E205" s="218"/>
      <c r="F205" s="218"/>
      <c r="G205" s="1057">
        <f>IFERROR((((G199)+(G201/G202))*G203-(G200/G202))/(1-G203),0)</f>
        <v>0</v>
      </c>
      <c r="H205" s="26"/>
      <c r="I205" s="91" t="s">
        <v>1080</v>
      </c>
      <c r="J205" s="4">
        <f t="shared" si="9"/>
        <v>12</v>
      </c>
    </row>
    <row r="206" spans="1:10" x14ac:dyDescent="0.25">
      <c r="A206" s="4">
        <f t="shared" si="8"/>
        <v>13</v>
      </c>
      <c r="B206" s="249" t="s">
        <v>1061</v>
      </c>
      <c r="G206" s="27"/>
      <c r="H206" s="27"/>
      <c r="J206" s="4">
        <f t="shared" si="9"/>
        <v>13</v>
      </c>
    </row>
    <row r="207" spans="1:10" x14ac:dyDescent="0.25">
      <c r="A207" s="4">
        <f t="shared" si="8"/>
        <v>14</v>
      </c>
      <c r="G207" s="4"/>
      <c r="H207" s="4"/>
      <c r="J207" s="4">
        <f t="shared" si="9"/>
        <v>14</v>
      </c>
    </row>
    <row r="208" spans="1:10" x14ac:dyDescent="0.25">
      <c r="A208" s="4">
        <f t="shared" si="8"/>
        <v>15</v>
      </c>
      <c r="B208" s="251" t="s">
        <v>1062</v>
      </c>
      <c r="C208" s="218"/>
      <c r="D208" s="218"/>
      <c r="E208" s="218"/>
      <c r="F208" s="218"/>
      <c r="G208" s="134"/>
      <c r="H208" s="134"/>
      <c r="I208" s="467"/>
      <c r="J208" s="4">
        <f t="shared" si="9"/>
        <v>15</v>
      </c>
    </row>
    <row r="209" spans="1:10" x14ac:dyDescent="0.25">
      <c r="A209" s="4">
        <f t="shared" si="8"/>
        <v>16</v>
      </c>
      <c r="B209" s="340"/>
      <c r="C209" s="218"/>
      <c r="D209" s="218"/>
      <c r="E209" s="218"/>
      <c r="F209" s="218"/>
      <c r="G209" s="134"/>
      <c r="H209" s="134"/>
      <c r="I209" s="464"/>
      <c r="J209" s="4">
        <f t="shared" si="9"/>
        <v>16</v>
      </c>
    </row>
    <row r="210" spans="1:10" x14ac:dyDescent="0.25">
      <c r="A210" s="4">
        <f t="shared" si="8"/>
        <v>17</v>
      </c>
      <c r="B210" s="32" t="s">
        <v>1050</v>
      </c>
      <c r="C210" s="218"/>
      <c r="D210" s="218"/>
      <c r="E210" s="218"/>
      <c r="F210" s="218"/>
      <c r="G210" s="134"/>
      <c r="H210" s="134"/>
      <c r="I210" s="464"/>
      <c r="J210" s="4">
        <f t="shared" si="9"/>
        <v>17</v>
      </c>
    </row>
    <row r="211" spans="1:10" x14ac:dyDescent="0.25">
      <c r="A211" s="4">
        <f t="shared" si="8"/>
        <v>18</v>
      </c>
      <c r="B211" s="31" t="s">
        <v>1051</v>
      </c>
      <c r="D211" s="218"/>
      <c r="E211" s="218"/>
      <c r="F211" s="218"/>
      <c r="G211" s="133">
        <f>G199</f>
        <v>0</v>
      </c>
      <c r="H211" s="27"/>
      <c r="I211" s="91" t="s">
        <v>1063</v>
      </c>
      <c r="J211" s="4">
        <f t="shared" si="9"/>
        <v>18</v>
      </c>
    </row>
    <row r="212" spans="1:10" x14ac:dyDescent="0.25">
      <c r="A212" s="4">
        <f t="shared" si="8"/>
        <v>19</v>
      </c>
      <c r="B212" s="31" t="s">
        <v>1064</v>
      </c>
      <c r="D212" s="218"/>
      <c r="E212" s="218"/>
      <c r="F212" s="218"/>
      <c r="G212" s="136">
        <v>0</v>
      </c>
      <c r="H212" s="27"/>
      <c r="I212" s="91" t="s">
        <v>1077</v>
      </c>
      <c r="J212" s="4">
        <f t="shared" si="9"/>
        <v>19</v>
      </c>
    </row>
    <row r="213" spans="1:10" x14ac:dyDescent="0.25">
      <c r="A213" s="4">
        <f t="shared" si="8"/>
        <v>20</v>
      </c>
      <c r="B213" s="31" t="s">
        <v>1054</v>
      </c>
      <c r="D213" s="218"/>
      <c r="E213" s="218"/>
      <c r="F213" s="218"/>
      <c r="G213" s="22">
        <f>G201</f>
        <v>0</v>
      </c>
      <c r="H213" s="44"/>
      <c r="I213" s="91" t="s">
        <v>1066</v>
      </c>
      <c r="J213" s="4">
        <f t="shared" si="9"/>
        <v>20</v>
      </c>
    </row>
    <row r="214" spans="1:10" x14ac:dyDescent="0.25">
      <c r="A214" s="4">
        <f t="shared" si="8"/>
        <v>21</v>
      </c>
      <c r="B214" s="31" t="s">
        <v>1078</v>
      </c>
      <c r="D214" s="218"/>
      <c r="E214" s="218"/>
      <c r="F214" s="218"/>
      <c r="G214" s="22">
        <f>G202</f>
        <v>0</v>
      </c>
      <c r="H214" s="44"/>
      <c r="I214" s="91" t="s">
        <v>1067</v>
      </c>
      <c r="J214" s="4">
        <f t="shared" si="9"/>
        <v>21</v>
      </c>
    </row>
    <row r="215" spans="1:10" x14ac:dyDescent="0.25">
      <c r="A215" s="4">
        <f t="shared" si="8"/>
        <v>22</v>
      </c>
      <c r="B215" s="31" t="s">
        <v>1068</v>
      </c>
      <c r="D215" s="218"/>
      <c r="E215" s="218"/>
      <c r="F215" s="218"/>
      <c r="G215" s="1147">
        <f>G205</f>
        <v>0</v>
      </c>
      <c r="H215" s="26"/>
      <c r="I215" s="91" t="s">
        <v>1069</v>
      </c>
      <c r="J215" s="4">
        <f t="shared" si="9"/>
        <v>22</v>
      </c>
    </row>
    <row r="216" spans="1:10" x14ac:dyDescent="0.25">
      <c r="A216" s="4">
        <f t="shared" si="8"/>
        <v>23</v>
      </c>
      <c r="B216" s="31" t="s">
        <v>1070</v>
      </c>
      <c r="D216" s="218"/>
      <c r="E216" s="218"/>
      <c r="F216" s="218"/>
      <c r="G216" s="926" t="str">
        <f>G139</f>
        <v>8.84%</v>
      </c>
      <c r="H216" s="218"/>
      <c r="I216" s="91" t="s">
        <v>1637</v>
      </c>
      <c r="J216" s="4">
        <f t="shared" si="9"/>
        <v>23</v>
      </c>
    </row>
    <row r="217" spans="1:10" x14ac:dyDescent="0.25">
      <c r="A217" s="4">
        <f t="shared" si="8"/>
        <v>24</v>
      </c>
      <c r="B217" s="1"/>
      <c r="D217" s="218"/>
      <c r="E217" s="218"/>
      <c r="F217" s="218"/>
      <c r="G217" s="135"/>
      <c r="H217" s="135"/>
      <c r="I217" s="469"/>
      <c r="J217" s="4">
        <f t="shared" si="9"/>
        <v>24</v>
      </c>
    </row>
    <row r="218" spans="1:10" x14ac:dyDescent="0.25">
      <c r="A218" s="4">
        <f t="shared" si="8"/>
        <v>25</v>
      </c>
      <c r="B218" s="31" t="s">
        <v>1073</v>
      </c>
      <c r="C218" s="4"/>
      <c r="D218" s="4"/>
      <c r="E218" s="218"/>
      <c r="F218" s="218"/>
      <c r="G218" s="1057">
        <f>IFERROR((((G211)+(G213/G214)+G205)*G216-(G212/G214))/(1-G216),0)</f>
        <v>0</v>
      </c>
      <c r="H218" s="26"/>
      <c r="I218" s="91" t="s">
        <v>1074</v>
      </c>
      <c r="J218" s="4">
        <f t="shared" si="9"/>
        <v>25</v>
      </c>
    </row>
    <row r="219" spans="1:10" x14ac:dyDescent="0.25">
      <c r="A219" s="4">
        <f t="shared" si="8"/>
        <v>26</v>
      </c>
      <c r="B219" s="249" t="s">
        <v>1353</v>
      </c>
      <c r="G219" s="4"/>
      <c r="H219" s="4"/>
      <c r="I219" s="91"/>
      <c r="J219" s="4">
        <f t="shared" si="9"/>
        <v>26</v>
      </c>
    </row>
    <row r="220" spans="1:10" x14ac:dyDescent="0.25">
      <c r="A220" s="4">
        <f t="shared" si="8"/>
        <v>27</v>
      </c>
      <c r="G220" s="4"/>
      <c r="H220" s="4"/>
      <c r="I220" s="91"/>
      <c r="J220" s="4">
        <f t="shared" si="9"/>
        <v>27</v>
      </c>
    </row>
    <row r="221" spans="1:10" x14ac:dyDescent="0.25">
      <c r="A221" s="4">
        <f t="shared" si="8"/>
        <v>28</v>
      </c>
      <c r="B221" s="251" t="s">
        <v>1617</v>
      </c>
      <c r="G221" s="1057">
        <f>G218+G205</f>
        <v>0</v>
      </c>
      <c r="H221" s="26"/>
      <c r="I221" s="91" t="s">
        <v>1076</v>
      </c>
      <c r="J221" s="4">
        <f t="shared" si="9"/>
        <v>28</v>
      </c>
    </row>
    <row r="222" spans="1:10" x14ac:dyDescent="0.25">
      <c r="A222" s="4">
        <f t="shared" si="8"/>
        <v>29</v>
      </c>
      <c r="G222" s="4"/>
      <c r="H222" s="4"/>
      <c r="I222" s="91"/>
      <c r="J222" s="4">
        <f t="shared" si="9"/>
        <v>29</v>
      </c>
    </row>
    <row r="223" spans="1:10" x14ac:dyDescent="0.25">
      <c r="A223" s="4">
        <f t="shared" si="8"/>
        <v>30</v>
      </c>
      <c r="B223" s="251" t="s">
        <v>1638</v>
      </c>
      <c r="G223" s="868">
        <f>G87</f>
        <v>1.8646691487816846E-2</v>
      </c>
      <c r="H223" s="218"/>
      <c r="I223" s="91" t="s">
        <v>1639</v>
      </c>
      <c r="J223" s="4">
        <f t="shared" si="9"/>
        <v>30</v>
      </c>
    </row>
    <row r="224" spans="1:10" x14ac:dyDescent="0.25">
      <c r="A224" s="4">
        <f t="shared" si="8"/>
        <v>31</v>
      </c>
      <c r="G224" s="4"/>
      <c r="H224" s="4"/>
      <c r="I224" s="91"/>
      <c r="J224" s="4">
        <f t="shared" si="9"/>
        <v>31</v>
      </c>
    </row>
    <row r="225" spans="1:11" ht="19.5" thickBot="1" x14ac:dyDescent="0.3">
      <c r="A225" s="4">
        <f t="shared" si="8"/>
        <v>32</v>
      </c>
      <c r="B225" s="251" t="s">
        <v>1640</v>
      </c>
      <c r="G225" s="1130">
        <f>G221+G223</f>
        <v>1.8646691487816846E-2</v>
      </c>
      <c r="H225" s="26"/>
      <c r="I225" s="91" t="s">
        <v>1621</v>
      </c>
      <c r="J225" s="4">
        <f t="shared" si="9"/>
        <v>32</v>
      </c>
    </row>
    <row r="226" spans="1:11" ht="17.25" thickTop="1" thickBot="1" x14ac:dyDescent="0.3">
      <c r="A226" s="862">
        <f t="shared" si="8"/>
        <v>33</v>
      </c>
      <c r="B226" s="1125"/>
      <c r="C226" s="863"/>
      <c r="D226" s="863"/>
      <c r="E226" s="863"/>
      <c r="F226" s="863"/>
      <c r="G226" s="1142"/>
      <c r="H226" s="1142"/>
      <c r="I226" s="864"/>
      <c r="J226" s="862">
        <f t="shared" si="9"/>
        <v>33</v>
      </c>
      <c r="K226" s="255"/>
    </row>
    <row r="227" spans="1:11" x14ac:dyDescent="0.25">
      <c r="A227" s="4">
        <f t="shared" si="8"/>
        <v>34</v>
      </c>
      <c r="B227" s="251"/>
      <c r="G227" s="26"/>
      <c r="H227" s="26"/>
      <c r="I227" s="91"/>
      <c r="J227" s="4">
        <f t="shared" si="9"/>
        <v>34</v>
      </c>
      <c r="K227" s="255"/>
    </row>
    <row r="228" spans="1:11" ht="18.75" x14ac:dyDescent="0.25">
      <c r="A228" s="4">
        <f t="shared" si="8"/>
        <v>35</v>
      </c>
      <c r="B228" s="251" t="s">
        <v>1622</v>
      </c>
      <c r="E228" s="218"/>
      <c r="F228" s="218"/>
      <c r="G228" s="41"/>
      <c r="H228" s="41"/>
      <c r="I228" s="91"/>
      <c r="J228" s="4">
        <f t="shared" si="9"/>
        <v>35</v>
      </c>
      <c r="K228" s="255"/>
    </row>
    <row r="229" spans="1:11" x14ac:dyDescent="0.25">
      <c r="A229" s="4">
        <f t="shared" si="8"/>
        <v>36</v>
      </c>
      <c r="B229" s="33"/>
      <c r="E229" s="218"/>
      <c r="F229" s="218"/>
      <c r="G229" s="41"/>
      <c r="H229" s="41"/>
      <c r="I229" s="91"/>
      <c r="J229" s="4">
        <f t="shared" si="9"/>
        <v>36</v>
      </c>
      <c r="K229" s="255"/>
    </row>
    <row r="230" spans="1:11" x14ac:dyDescent="0.25">
      <c r="A230" s="4">
        <f t="shared" si="8"/>
        <v>37</v>
      </c>
      <c r="B230" s="251" t="s">
        <v>1049</v>
      </c>
      <c r="E230" s="218"/>
      <c r="F230" s="218"/>
      <c r="G230" s="41"/>
      <c r="H230" s="41"/>
      <c r="I230" s="91"/>
      <c r="J230" s="4">
        <f t="shared" si="9"/>
        <v>37</v>
      </c>
      <c r="K230" s="255"/>
    </row>
    <row r="231" spans="1:11" x14ac:dyDescent="0.25">
      <c r="A231" s="4">
        <f t="shared" si="8"/>
        <v>38</v>
      </c>
      <c r="B231" s="218"/>
      <c r="C231" s="218"/>
      <c r="D231" s="218"/>
      <c r="E231" s="218"/>
      <c r="F231" s="218"/>
      <c r="G231" s="41"/>
      <c r="H231" s="41"/>
      <c r="I231" s="91"/>
      <c r="J231" s="4">
        <f t="shared" si="9"/>
        <v>38</v>
      </c>
      <c r="K231" s="255"/>
    </row>
    <row r="232" spans="1:11" x14ac:dyDescent="0.25">
      <c r="A232" s="4">
        <f t="shared" si="8"/>
        <v>39</v>
      </c>
      <c r="B232" s="32" t="s">
        <v>1050</v>
      </c>
      <c r="C232" s="218"/>
      <c r="D232" s="218"/>
      <c r="E232" s="218"/>
      <c r="F232" s="218"/>
      <c r="G232" s="41"/>
      <c r="H232" s="41"/>
      <c r="I232" s="464"/>
      <c r="J232" s="4">
        <f t="shared" si="9"/>
        <v>39</v>
      </c>
      <c r="K232" s="255"/>
    </row>
    <row r="233" spans="1:11" x14ac:dyDescent="0.25">
      <c r="A233" s="4">
        <f t="shared" si="8"/>
        <v>40</v>
      </c>
      <c r="B233" s="31" t="s">
        <v>1623</v>
      </c>
      <c r="D233" s="218"/>
      <c r="E233" s="218"/>
      <c r="F233" s="218"/>
      <c r="G233" s="1131">
        <f>G102</f>
        <v>0</v>
      </c>
      <c r="H233" s="218"/>
      <c r="I233" s="91" t="s">
        <v>1641</v>
      </c>
      <c r="J233" s="4">
        <f t="shared" si="9"/>
        <v>40</v>
      </c>
      <c r="K233" s="255"/>
    </row>
    <row r="234" spans="1:11" x14ac:dyDescent="0.25">
      <c r="A234" s="4">
        <f t="shared" si="8"/>
        <v>41</v>
      </c>
      <c r="B234" s="31" t="s">
        <v>1052</v>
      </c>
      <c r="D234" s="218"/>
      <c r="E234" s="218"/>
      <c r="F234" s="218"/>
      <c r="G234" s="1132">
        <v>0</v>
      </c>
      <c r="H234" s="218"/>
      <c r="I234" s="91" t="s">
        <v>1077</v>
      </c>
      <c r="J234" s="4">
        <f t="shared" si="9"/>
        <v>41</v>
      </c>
      <c r="K234" s="255"/>
    </row>
    <row r="235" spans="1:11" x14ac:dyDescent="0.25">
      <c r="A235" s="4">
        <f t="shared" si="8"/>
        <v>42</v>
      </c>
      <c r="B235" s="31" t="s">
        <v>1054</v>
      </c>
      <c r="D235" s="218"/>
      <c r="E235" s="218"/>
      <c r="F235" s="218"/>
      <c r="G235" s="1143">
        <v>0</v>
      </c>
      <c r="H235" s="218"/>
      <c r="I235" s="421"/>
      <c r="J235" s="4">
        <f t="shared" si="9"/>
        <v>42</v>
      </c>
      <c r="K235" s="255"/>
    </row>
    <row r="236" spans="1:11" x14ac:dyDescent="0.25">
      <c r="A236" s="4">
        <f t="shared" si="8"/>
        <v>43</v>
      </c>
      <c r="B236" s="31" t="s">
        <v>1078</v>
      </c>
      <c r="D236" s="218"/>
      <c r="E236" s="218"/>
      <c r="F236" s="218"/>
      <c r="G236" s="1144">
        <f>'TO5 True-Up BK-1'!E141</f>
        <v>0</v>
      </c>
      <c r="H236" s="218"/>
      <c r="I236" s="91" t="s">
        <v>1354</v>
      </c>
      <c r="J236" s="4">
        <f t="shared" si="9"/>
        <v>43</v>
      </c>
      <c r="K236" s="255"/>
    </row>
    <row r="237" spans="1:11" x14ac:dyDescent="0.25">
      <c r="A237" s="4">
        <f t="shared" si="8"/>
        <v>44</v>
      </c>
      <c r="B237" s="31" t="s">
        <v>1056</v>
      </c>
      <c r="D237" s="218"/>
      <c r="E237" s="218"/>
      <c r="F237" s="218"/>
      <c r="G237" s="1145" t="str">
        <f>G160</f>
        <v>21%</v>
      </c>
      <c r="H237" s="218"/>
      <c r="I237" s="91" t="s">
        <v>1642</v>
      </c>
      <c r="J237" s="4">
        <f t="shared" si="9"/>
        <v>44</v>
      </c>
      <c r="K237" s="255"/>
    </row>
    <row r="238" spans="1:11" x14ac:dyDescent="0.25">
      <c r="A238" s="4">
        <f t="shared" si="8"/>
        <v>45</v>
      </c>
      <c r="G238" s="4"/>
      <c r="H238" s="4"/>
      <c r="J238" s="4">
        <f t="shared" si="9"/>
        <v>45</v>
      </c>
      <c r="K238" s="255"/>
    </row>
    <row r="239" spans="1:11" x14ac:dyDescent="0.25">
      <c r="A239" s="4">
        <f t="shared" si="8"/>
        <v>46</v>
      </c>
      <c r="B239" s="31" t="s">
        <v>1059</v>
      </c>
      <c r="D239" s="218"/>
      <c r="E239" s="218"/>
      <c r="F239" s="218"/>
      <c r="G239" s="1139">
        <f>IFERROR((((G233)+(G235/G236))*G237-(G234/G236))/(1-G237),0)</f>
        <v>0</v>
      </c>
      <c r="H239" s="1135"/>
      <c r="I239" s="91" t="s">
        <v>1080</v>
      </c>
      <c r="J239" s="4">
        <f t="shared" si="9"/>
        <v>46</v>
      </c>
      <c r="K239" s="255"/>
    </row>
    <row r="240" spans="1:11" x14ac:dyDescent="0.25">
      <c r="A240" s="4">
        <f t="shared" si="8"/>
        <v>47</v>
      </c>
      <c r="B240" s="249" t="s">
        <v>1061</v>
      </c>
      <c r="D240" s="249"/>
      <c r="G240" s="865"/>
      <c r="H240" s="865"/>
      <c r="J240" s="4">
        <f t="shared" si="9"/>
        <v>47</v>
      </c>
      <c r="K240" s="255"/>
    </row>
    <row r="241" spans="1:11" x14ac:dyDescent="0.25">
      <c r="A241" s="4">
        <f t="shared" si="8"/>
        <v>48</v>
      </c>
      <c r="G241" s="4"/>
      <c r="H241" s="4"/>
      <c r="J241" s="4">
        <f t="shared" si="9"/>
        <v>48</v>
      </c>
      <c r="K241" s="255"/>
    </row>
    <row r="242" spans="1:11" x14ac:dyDescent="0.25">
      <c r="A242" s="4">
        <f t="shared" si="8"/>
        <v>49</v>
      </c>
      <c r="B242" s="251" t="s">
        <v>1062</v>
      </c>
      <c r="C242" s="218"/>
      <c r="D242" s="218"/>
      <c r="E242" s="218"/>
      <c r="F242" s="218"/>
      <c r="G242" s="134"/>
      <c r="H242" s="134"/>
      <c r="I242" s="467"/>
      <c r="J242" s="4">
        <f t="shared" si="9"/>
        <v>49</v>
      </c>
      <c r="K242" s="255"/>
    </row>
    <row r="243" spans="1:11" x14ac:dyDescent="0.25">
      <c r="A243" s="4">
        <f t="shared" si="8"/>
        <v>50</v>
      </c>
      <c r="B243" s="340"/>
      <c r="C243" s="218"/>
      <c r="D243" s="218"/>
      <c r="E243" s="218"/>
      <c r="F243" s="218"/>
      <c r="G243" s="134"/>
      <c r="H243" s="134"/>
      <c r="I243" s="464"/>
      <c r="J243" s="4">
        <f t="shared" si="9"/>
        <v>50</v>
      </c>
      <c r="K243" s="255"/>
    </row>
    <row r="244" spans="1:11" x14ac:dyDescent="0.25">
      <c r="A244" s="4">
        <f t="shared" si="8"/>
        <v>51</v>
      </c>
      <c r="B244" s="32" t="s">
        <v>1050</v>
      </c>
      <c r="C244" s="218"/>
      <c r="D244" s="218"/>
      <c r="E244" s="218"/>
      <c r="F244" s="218"/>
      <c r="G244" s="134"/>
      <c r="H244" s="134"/>
      <c r="I244" s="464"/>
      <c r="J244" s="4">
        <f t="shared" si="9"/>
        <v>51</v>
      </c>
      <c r="K244" s="255"/>
    </row>
    <row r="245" spans="1:11" x14ac:dyDescent="0.25">
      <c r="A245" s="4">
        <f t="shared" si="8"/>
        <v>52</v>
      </c>
      <c r="B245" s="31" t="s">
        <v>1623</v>
      </c>
      <c r="D245" s="218"/>
      <c r="E245" s="218"/>
      <c r="F245" s="218"/>
      <c r="G245" s="1131">
        <f>G233</f>
        <v>0</v>
      </c>
      <c r="H245" s="854"/>
      <c r="I245" s="91" t="s">
        <v>1625</v>
      </c>
      <c r="J245" s="4">
        <f t="shared" si="9"/>
        <v>52</v>
      </c>
      <c r="K245" s="255"/>
    </row>
    <row r="246" spans="1:11" x14ac:dyDescent="0.25">
      <c r="A246" s="4">
        <f t="shared" si="8"/>
        <v>53</v>
      </c>
      <c r="B246" s="31" t="s">
        <v>1064</v>
      </c>
      <c r="D246" s="218"/>
      <c r="E246" s="218"/>
      <c r="F246" s="218"/>
      <c r="G246" s="136">
        <v>0</v>
      </c>
      <c r="H246" s="27"/>
      <c r="I246" s="91" t="s">
        <v>1077</v>
      </c>
      <c r="J246" s="4">
        <f t="shared" si="9"/>
        <v>53</v>
      </c>
      <c r="K246" s="255"/>
    </row>
    <row r="247" spans="1:11" x14ac:dyDescent="0.25">
      <c r="A247" s="4">
        <f t="shared" si="8"/>
        <v>54</v>
      </c>
      <c r="B247" s="31" t="s">
        <v>1054</v>
      </c>
      <c r="D247" s="218"/>
      <c r="E247" s="218"/>
      <c r="F247" s="218"/>
      <c r="G247" s="1144">
        <f>G235</f>
        <v>0</v>
      </c>
      <c r="H247" s="1136"/>
      <c r="I247" s="91" t="s">
        <v>1626</v>
      </c>
      <c r="J247" s="4">
        <f t="shared" si="9"/>
        <v>54</v>
      </c>
      <c r="K247" s="255"/>
    </row>
    <row r="248" spans="1:11" x14ac:dyDescent="0.25">
      <c r="A248" s="4">
        <f t="shared" si="8"/>
        <v>55</v>
      </c>
      <c r="B248" s="31" t="s">
        <v>1078</v>
      </c>
      <c r="D248" s="218"/>
      <c r="E248" s="218"/>
      <c r="F248" s="218"/>
      <c r="G248" s="1144">
        <f>G236</f>
        <v>0</v>
      </c>
      <c r="H248" s="1136"/>
      <c r="I248" s="91" t="s">
        <v>1627</v>
      </c>
      <c r="J248" s="4">
        <f t="shared" si="9"/>
        <v>55</v>
      </c>
      <c r="K248" s="255"/>
    </row>
    <row r="249" spans="1:11" x14ac:dyDescent="0.25">
      <c r="A249" s="4">
        <f t="shared" si="8"/>
        <v>56</v>
      </c>
      <c r="B249" s="31" t="s">
        <v>1068</v>
      </c>
      <c r="D249" s="218"/>
      <c r="E249" s="218"/>
      <c r="F249" s="218"/>
      <c r="G249" s="1196">
        <f>G239</f>
        <v>0</v>
      </c>
      <c r="H249" s="1137"/>
      <c r="I249" s="91" t="s">
        <v>1628</v>
      </c>
      <c r="J249" s="4">
        <f t="shared" si="9"/>
        <v>56</v>
      </c>
      <c r="K249" s="255"/>
    </row>
    <row r="250" spans="1:11" x14ac:dyDescent="0.25">
      <c r="A250" s="4">
        <f t="shared" si="8"/>
        <v>57</v>
      </c>
      <c r="B250" s="31" t="s">
        <v>1070</v>
      </c>
      <c r="D250" s="218"/>
      <c r="E250" s="218"/>
      <c r="F250" s="218"/>
      <c r="G250" s="1146" t="str">
        <f>G173</f>
        <v>8.84%</v>
      </c>
      <c r="H250" s="218"/>
      <c r="I250" s="91" t="s">
        <v>1643</v>
      </c>
      <c r="J250" s="4">
        <f t="shared" si="9"/>
        <v>57</v>
      </c>
      <c r="K250" s="255"/>
    </row>
    <row r="251" spans="1:11" x14ac:dyDescent="0.25">
      <c r="A251" s="4">
        <f t="shared" si="8"/>
        <v>58</v>
      </c>
      <c r="B251" s="1"/>
      <c r="D251" s="218"/>
      <c r="E251" s="218"/>
      <c r="F251" s="218"/>
      <c r="G251" s="1138"/>
      <c r="H251" s="1138"/>
      <c r="I251" s="469"/>
      <c r="J251" s="4">
        <f t="shared" si="9"/>
        <v>58</v>
      </c>
      <c r="K251" s="255"/>
    </row>
    <row r="252" spans="1:11" x14ac:dyDescent="0.25">
      <c r="A252" s="4">
        <f t="shared" si="8"/>
        <v>59</v>
      </c>
      <c r="B252" s="31" t="s">
        <v>1073</v>
      </c>
      <c r="C252" s="4"/>
      <c r="D252" s="4"/>
      <c r="E252" s="218"/>
      <c r="F252" s="218"/>
      <c r="G252" s="1139">
        <f>IFERROR((((G245)+(G247/G248)+G239)*G250-(G246/G248))/(1-G250),0)</f>
        <v>0</v>
      </c>
      <c r="H252" s="1140"/>
      <c r="I252" s="91" t="s">
        <v>1074</v>
      </c>
      <c r="J252" s="4">
        <f t="shared" si="9"/>
        <v>59</v>
      </c>
      <c r="K252" s="255"/>
    </row>
    <row r="253" spans="1:11" x14ac:dyDescent="0.25">
      <c r="A253" s="4">
        <f t="shared" si="8"/>
        <v>60</v>
      </c>
      <c r="B253" s="249" t="s">
        <v>1353</v>
      </c>
      <c r="D253" s="249"/>
      <c r="G253" s="4"/>
      <c r="H253" s="4"/>
      <c r="I253" s="91"/>
      <c r="J253" s="4">
        <f t="shared" si="9"/>
        <v>60</v>
      </c>
      <c r="K253" s="255"/>
    </row>
    <row r="254" spans="1:11" x14ac:dyDescent="0.25">
      <c r="A254" s="4">
        <f t="shared" si="8"/>
        <v>61</v>
      </c>
      <c r="G254" s="4"/>
      <c r="H254" s="4"/>
      <c r="I254" s="91"/>
      <c r="J254" s="4">
        <f t="shared" si="9"/>
        <v>61</v>
      </c>
      <c r="K254" s="255"/>
    </row>
    <row r="255" spans="1:11" x14ac:dyDescent="0.25">
      <c r="A255" s="4">
        <f t="shared" si="8"/>
        <v>62</v>
      </c>
      <c r="B255" s="251" t="s">
        <v>1617</v>
      </c>
      <c r="G255" s="1139">
        <f>G252+G239</f>
        <v>0</v>
      </c>
      <c r="H255" s="1135"/>
      <c r="I255" s="91" t="s">
        <v>1629</v>
      </c>
      <c r="J255" s="4">
        <f t="shared" si="9"/>
        <v>62</v>
      </c>
      <c r="K255" s="255"/>
    </row>
    <row r="256" spans="1:11" x14ac:dyDescent="0.25">
      <c r="A256" s="4">
        <f t="shared" si="8"/>
        <v>63</v>
      </c>
      <c r="G256" s="4"/>
      <c r="H256" s="4"/>
      <c r="I256" s="91"/>
      <c r="J256" s="4">
        <f t="shared" si="9"/>
        <v>63</v>
      </c>
      <c r="K256" s="255"/>
    </row>
    <row r="257" spans="1:11" x14ac:dyDescent="0.25">
      <c r="A257" s="4">
        <f t="shared" si="8"/>
        <v>64</v>
      </c>
      <c r="B257" s="251" t="s">
        <v>1630</v>
      </c>
      <c r="G257" s="868">
        <f>G100</f>
        <v>0</v>
      </c>
      <c r="H257" s="218"/>
      <c r="I257" s="91" t="s">
        <v>1644</v>
      </c>
      <c r="J257" s="4">
        <f t="shared" si="9"/>
        <v>64</v>
      </c>
      <c r="K257" s="255"/>
    </row>
    <row r="258" spans="1:11" x14ac:dyDescent="0.25">
      <c r="A258" s="4">
        <f t="shared" si="8"/>
        <v>65</v>
      </c>
      <c r="G258" s="4"/>
      <c r="H258" s="4"/>
      <c r="I258" s="91"/>
      <c r="J258" s="4">
        <f t="shared" si="9"/>
        <v>65</v>
      </c>
      <c r="K258" s="255"/>
    </row>
    <row r="259" spans="1:11" ht="19.5" thickBot="1" x14ac:dyDescent="0.3">
      <c r="A259" s="4">
        <f t="shared" si="8"/>
        <v>66</v>
      </c>
      <c r="B259" s="251" t="s">
        <v>1632</v>
      </c>
      <c r="G259" s="1130">
        <f>G255+G257</f>
        <v>0</v>
      </c>
      <c r="H259" s="26"/>
      <c r="I259" s="91" t="s">
        <v>1633</v>
      </c>
      <c r="J259" s="4">
        <f t="shared" si="9"/>
        <v>66</v>
      </c>
      <c r="K259" s="255"/>
    </row>
    <row r="260" spans="1:11" ht="16.5" thickTop="1" x14ac:dyDescent="0.25">
      <c r="K260" s="255"/>
    </row>
    <row r="261" spans="1:11" ht="18.75" x14ac:dyDescent="0.25">
      <c r="A261" s="266">
        <v>1</v>
      </c>
      <c r="B261" s="31" t="s">
        <v>1645</v>
      </c>
      <c r="K261" s="255"/>
    </row>
    <row r="262" spans="1:11" x14ac:dyDescent="0.25">
      <c r="K262" s="255"/>
    </row>
    <row r="263" spans="1:11" x14ac:dyDescent="0.25">
      <c r="K263" s="255"/>
    </row>
    <row r="264" spans="1:11" x14ac:dyDescent="0.25">
      <c r="K264" s="255"/>
    </row>
    <row r="265" spans="1:11" x14ac:dyDescent="0.25">
      <c r="K265" s="255"/>
    </row>
    <row r="266" spans="1:11" x14ac:dyDescent="0.25">
      <c r="K266" s="255"/>
    </row>
    <row r="267" spans="1:11" x14ac:dyDescent="0.25">
      <c r="K267" s="255"/>
    </row>
    <row r="268" spans="1:11" x14ac:dyDescent="0.25">
      <c r="K268" s="255"/>
    </row>
    <row r="269" spans="1:11" x14ac:dyDescent="0.25">
      <c r="K269" s="255"/>
    </row>
    <row r="271" spans="1:11" ht="18.75" x14ac:dyDescent="0.25">
      <c r="A271" s="266"/>
    </row>
  </sheetData>
  <mergeCells count="20">
    <mergeCell ref="B188:I188"/>
    <mergeCell ref="B189:I189"/>
    <mergeCell ref="B110:I110"/>
    <mergeCell ref="B111:I111"/>
    <mergeCell ref="B112:I112"/>
    <mergeCell ref="B185:I185"/>
    <mergeCell ref="B186:I186"/>
    <mergeCell ref="B187:I187"/>
    <mergeCell ref="B109:I109"/>
    <mergeCell ref="B2:I2"/>
    <mergeCell ref="B3:I3"/>
    <mergeCell ref="B4:I4"/>
    <mergeCell ref="B5:I5"/>
    <mergeCell ref="B6:I6"/>
    <mergeCell ref="B70:I70"/>
    <mergeCell ref="B71:I71"/>
    <mergeCell ref="B72:I72"/>
    <mergeCell ref="B73:I73"/>
    <mergeCell ref="B74:I74"/>
    <mergeCell ref="B108:I108"/>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workbookViewId="0"/>
  </sheetViews>
  <sheetFormatPr defaultColWidth="8.85546875" defaultRowHeight="15.75" x14ac:dyDescent="0.25"/>
  <cols>
    <col min="1" max="1" width="5.140625" style="4" customWidth="1"/>
    <col min="2" max="2" width="50.85546875" style="31" customWidth="1"/>
    <col min="3" max="3" width="21.140625" style="31" customWidth="1"/>
    <col min="4" max="4" width="1.5703125" style="31" customWidth="1"/>
    <col min="5" max="5" width="16.85546875" style="31" customWidth="1"/>
    <col min="6" max="6" width="1.5703125" style="31" customWidth="1"/>
    <col min="7" max="7" width="34.5703125" style="31" customWidth="1"/>
    <col min="8" max="8" width="5.140625" style="31" customWidth="1"/>
    <col min="9" max="9" width="8.85546875" style="31"/>
    <col min="10" max="10" width="20.42578125" style="31" bestFit="1" customWidth="1"/>
    <col min="11" max="16384" width="8.85546875" style="31"/>
  </cols>
  <sheetData>
    <row r="1" spans="1:8" x14ac:dyDescent="0.25">
      <c r="E1" s="70"/>
      <c r="F1" s="70"/>
      <c r="G1" s="4"/>
      <c r="H1" s="4"/>
    </row>
    <row r="2" spans="1:8" x14ac:dyDescent="0.25">
      <c r="B2" s="1294" t="s">
        <v>0</v>
      </c>
      <c r="C2" s="1294"/>
      <c r="D2" s="1294"/>
      <c r="E2" s="1294"/>
      <c r="F2" s="1294"/>
      <c r="G2" s="1294"/>
      <c r="H2" s="4"/>
    </row>
    <row r="3" spans="1:8" x14ac:dyDescent="0.25">
      <c r="B3" s="1294" t="s">
        <v>1105</v>
      </c>
      <c r="C3" s="1294"/>
      <c r="D3" s="1294"/>
      <c r="E3" s="1306"/>
      <c r="F3" s="1306"/>
      <c r="G3" s="1306"/>
      <c r="H3" s="4"/>
    </row>
    <row r="4" spans="1:8" x14ac:dyDescent="0.25">
      <c r="B4" s="1300" t="s">
        <v>1549</v>
      </c>
      <c r="C4" s="1300"/>
      <c r="D4" s="1300"/>
      <c r="E4" s="1300"/>
      <c r="F4" s="1300"/>
      <c r="G4" s="1300"/>
      <c r="H4" s="4"/>
    </row>
    <row r="5" spans="1:8" x14ac:dyDescent="0.25">
      <c r="B5" s="1299" t="s">
        <v>4</v>
      </c>
      <c r="C5" s="1295"/>
      <c r="D5" s="1295"/>
      <c r="E5" s="1295"/>
      <c r="F5" s="1295"/>
      <c r="G5" s="1295"/>
      <c r="H5" s="4"/>
    </row>
    <row r="6" spans="1:8" x14ac:dyDescent="0.25">
      <c r="B6" s="4"/>
      <c r="C6" s="4"/>
      <c r="D6" s="4"/>
      <c r="E6" s="4"/>
      <c r="F6" s="4"/>
      <c r="G6" s="4"/>
      <c r="H6" s="4"/>
    </row>
    <row r="7" spans="1:8" x14ac:dyDescent="0.25">
      <c r="A7" s="4" t="s">
        <v>5</v>
      </c>
      <c r="B7" s="337"/>
      <c r="C7" s="4" t="s">
        <v>205</v>
      </c>
      <c r="D7" s="218"/>
      <c r="E7" s="218"/>
      <c r="F7" s="218"/>
      <c r="G7" s="4"/>
      <c r="H7" s="4" t="s">
        <v>5</v>
      </c>
    </row>
    <row r="8" spans="1:8" x14ac:dyDescent="0.25">
      <c r="A8" s="4" t="s">
        <v>6</v>
      </c>
      <c r="B8" s="4"/>
      <c r="C8" s="849" t="s">
        <v>207</v>
      </c>
      <c r="D8" s="218"/>
      <c r="E8" s="849" t="s">
        <v>7</v>
      </c>
      <c r="F8" s="218"/>
      <c r="G8" s="849" t="s">
        <v>8</v>
      </c>
      <c r="H8" s="4" t="s">
        <v>6</v>
      </c>
    </row>
    <row r="9" spans="1:8" x14ac:dyDescent="0.25">
      <c r="C9" s="4"/>
      <c r="D9" s="4"/>
      <c r="F9" s="218"/>
      <c r="H9" s="4"/>
    </row>
    <row r="10" spans="1:8" ht="19.5" thickBot="1" x14ac:dyDescent="0.3">
      <c r="A10" s="4">
        <v>1</v>
      </c>
      <c r="B10" s="32" t="s">
        <v>1106</v>
      </c>
      <c r="E10" s="92">
        <v>0</v>
      </c>
      <c r="F10" s="218"/>
      <c r="G10" s="4"/>
      <c r="H10" s="4">
        <f>A10</f>
        <v>1</v>
      </c>
    </row>
    <row r="11" spans="1:8" ht="16.5" thickTop="1" x14ac:dyDescent="0.25">
      <c r="A11" s="4">
        <f>A10+1</f>
        <v>2</v>
      </c>
      <c r="F11" s="218"/>
      <c r="H11" s="4">
        <f>+H10+1</f>
        <v>2</v>
      </c>
    </row>
    <row r="12" spans="1:8" ht="19.5" thickBot="1" x14ac:dyDescent="0.3">
      <c r="A12" s="4">
        <f t="shared" ref="A12:A18" si="0">A11+1</f>
        <v>3</v>
      </c>
      <c r="B12" s="32" t="s">
        <v>1107</v>
      </c>
      <c r="E12" s="92">
        <v>0</v>
      </c>
      <c r="F12" s="218"/>
      <c r="G12" s="4"/>
      <c r="H12" s="4">
        <f t="shared" ref="H12:H18" si="1">+H11+1</f>
        <v>3</v>
      </c>
    </row>
    <row r="13" spans="1:8" ht="16.5" thickTop="1" x14ac:dyDescent="0.25">
      <c r="A13" s="4">
        <f t="shared" si="0"/>
        <v>4</v>
      </c>
      <c r="F13" s="218"/>
      <c r="H13" s="4">
        <f t="shared" si="1"/>
        <v>4</v>
      </c>
    </row>
    <row r="14" spans="1:8" ht="19.5" thickBot="1" x14ac:dyDescent="0.3">
      <c r="A14" s="4">
        <f t="shared" si="0"/>
        <v>5</v>
      </c>
      <c r="B14" s="32" t="s">
        <v>1108</v>
      </c>
      <c r="E14" s="92">
        <v>0</v>
      </c>
      <c r="F14" s="218"/>
      <c r="G14" s="4"/>
      <c r="H14" s="4">
        <f t="shared" si="1"/>
        <v>5</v>
      </c>
    </row>
    <row r="15" spans="1:8" ht="16.5" thickTop="1" x14ac:dyDescent="0.25">
      <c r="A15" s="4">
        <f t="shared" si="0"/>
        <v>6</v>
      </c>
      <c r="B15" s="32"/>
      <c r="E15" s="35"/>
      <c r="F15" s="218"/>
      <c r="G15" s="4"/>
      <c r="H15" s="4">
        <f t="shared" si="1"/>
        <v>6</v>
      </c>
    </row>
    <row r="16" spans="1:8" ht="16.5" thickBot="1" x14ac:dyDescent="0.3">
      <c r="A16" s="4">
        <f t="shared" si="0"/>
        <v>7</v>
      </c>
      <c r="B16" s="32" t="s">
        <v>89</v>
      </c>
      <c r="E16" s="92">
        <f>'True-Up Misc.-1'!G19</f>
        <v>-10662.770719500901</v>
      </c>
      <c r="F16" s="218"/>
      <c r="G16" s="4" t="s">
        <v>1852</v>
      </c>
      <c r="H16" s="4">
        <f t="shared" si="1"/>
        <v>7</v>
      </c>
    </row>
    <row r="17" spans="1:8" ht="16.5" thickTop="1" x14ac:dyDescent="0.25">
      <c r="A17" s="4">
        <f t="shared" si="0"/>
        <v>8</v>
      </c>
      <c r="F17" s="218"/>
      <c r="H17" s="4">
        <f t="shared" si="1"/>
        <v>8</v>
      </c>
    </row>
    <row r="18" spans="1:8" ht="19.5" thickBot="1" x14ac:dyDescent="0.3">
      <c r="A18" s="4">
        <f t="shared" si="0"/>
        <v>9</v>
      </c>
      <c r="B18" s="32" t="s">
        <v>1109</v>
      </c>
      <c r="E18" s="92">
        <v>0</v>
      </c>
      <c r="F18" s="218"/>
      <c r="G18" s="4"/>
      <c r="H18" s="4">
        <f t="shared" si="1"/>
        <v>9</v>
      </c>
    </row>
    <row r="19" spans="1:8" ht="16.5" thickTop="1" x14ac:dyDescent="0.25">
      <c r="H19" s="4"/>
    </row>
    <row r="20" spans="1:8" x14ac:dyDescent="0.25">
      <c r="H20" s="4"/>
    </row>
    <row r="21" spans="1:8" ht="18.75" x14ac:dyDescent="0.25">
      <c r="A21" s="266">
        <v>1</v>
      </c>
      <c r="B21" s="31" t="s">
        <v>1575</v>
      </c>
      <c r="H21" s="4"/>
    </row>
    <row r="22" spans="1:8" x14ac:dyDescent="0.25">
      <c r="B22" s="31" t="s">
        <v>1110</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workbookViewId="0">
      <selection activeCell="D26" sqref="D26"/>
    </sheetView>
  </sheetViews>
  <sheetFormatPr defaultColWidth="8.85546875" defaultRowHeight="15.75" x14ac:dyDescent="0.25"/>
  <cols>
    <col min="1" max="1" width="5.140625" style="4" customWidth="1"/>
    <col min="2" max="2" width="56.140625" style="31" customWidth="1"/>
    <col min="3" max="3" width="16.85546875" style="31" customWidth="1"/>
    <col min="4" max="4" width="2.85546875" style="31" bestFit="1" customWidth="1"/>
    <col min="5" max="5" width="16.85546875" style="31" customWidth="1"/>
    <col min="6" max="6" width="1.5703125" style="31" customWidth="1"/>
    <col min="7" max="7" width="18.42578125" style="31" customWidth="1"/>
    <col min="8" max="8" width="50.85546875" style="31" customWidth="1"/>
    <col min="9" max="9" width="5.140625" style="4" customWidth="1"/>
    <col min="10" max="16384" width="8.85546875" style="31"/>
  </cols>
  <sheetData>
    <row r="2" spans="1:9" x14ac:dyDescent="0.25">
      <c r="B2" s="1294" t="s">
        <v>0</v>
      </c>
      <c r="C2" s="1294"/>
      <c r="D2" s="1294"/>
      <c r="E2" s="1294"/>
      <c r="F2" s="1294"/>
      <c r="G2" s="1294"/>
      <c r="H2" s="1294"/>
    </row>
    <row r="3" spans="1:9" x14ac:dyDescent="0.25">
      <c r="B3" s="1294" t="s">
        <v>1111</v>
      </c>
      <c r="C3" s="1294"/>
      <c r="D3" s="1294"/>
      <c r="E3" s="1294"/>
      <c r="F3" s="1294"/>
      <c r="G3" s="1294"/>
      <c r="H3" s="1294"/>
    </row>
    <row r="4" spans="1:9" x14ac:dyDescent="0.25">
      <c r="B4" s="1294" t="s">
        <v>1112</v>
      </c>
      <c r="C4" s="1294"/>
      <c r="D4" s="1294"/>
      <c r="E4" s="1294"/>
      <c r="F4" s="1294"/>
      <c r="G4" s="1294"/>
      <c r="H4" s="1294"/>
    </row>
    <row r="5" spans="1:9" x14ac:dyDescent="0.25">
      <c r="B5" s="1294" t="s">
        <v>1684</v>
      </c>
      <c r="C5" s="1294"/>
      <c r="D5" s="1294"/>
      <c r="E5" s="1294"/>
      <c r="F5" s="1294"/>
      <c r="G5" s="1294"/>
      <c r="H5" s="1294"/>
    </row>
    <row r="6" spans="1:9" x14ac:dyDescent="0.25">
      <c r="B6" s="1299" t="s">
        <v>4</v>
      </c>
      <c r="C6" s="1299"/>
      <c r="D6" s="1299"/>
      <c r="E6" s="1299"/>
      <c r="F6" s="1299"/>
      <c r="G6" s="1299"/>
      <c r="H6" s="1299"/>
    </row>
    <row r="8" spans="1:9" x14ac:dyDescent="0.25">
      <c r="A8" s="4" t="s">
        <v>5</v>
      </c>
      <c r="C8" s="262" t="s">
        <v>184</v>
      </c>
      <c r="D8" s="262"/>
      <c r="E8" s="262" t="s">
        <v>185</v>
      </c>
      <c r="G8" s="262" t="s">
        <v>206</v>
      </c>
      <c r="H8" s="262"/>
      <c r="I8" s="4" t="s">
        <v>5</v>
      </c>
    </row>
    <row r="9" spans="1:9" x14ac:dyDescent="0.25">
      <c r="A9" s="4" t="s">
        <v>6</v>
      </c>
      <c r="B9" s="930" t="s">
        <v>306</v>
      </c>
      <c r="C9" s="728">
        <f>'Stmt AD'!E9</f>
        <v>44926</v>
      </c>
      <c r="D9" s="977"/>
      <c r="E9" s="728">
        <f>'Stmt AD'!G9</f>
        <v>45291</v>
      </c>
      <c r="F9" s="978"/>
      <c r="G9" s="930" t="s">
        <v>208</v>
      </c>
      <c r="H9" s="930" t="s">
        <v>8</v>
      </c>
      <c r="I9" s="4" t="s">
        <v>6</v>
      </c>
    </row>
    <row r="11" spans="1:9" x14ac:dyDescent="0.25">
      <c r="A11" s="4">
        <v>1</v>
      </c>
      <c r="B11" s="32" t="s">
        <v>1845</v>
      </c>
      <c r="C11" s="35">
        <f>'True-Up Misc.-1.1'!C14</f>
        <v>-83.353321319683971</v>
      </c>
      <c r="D11" s="6"/>
      <c r="E11" s="35">
        <f>'True-Up Misc.-1.1'!E14</f>
        <v>-66.519971230792194</v>
      </c>
      <c r="F11" s="35"/>
      <c r="G11" s="35">
        <f>'True-Up Misc.-1.1'!G14</f>
        <v>-75.026016910968494</v>
      </c>
      <c r="H11" s="44" t="s">
        <v>1848</v>
      </c>
      <c r="I11" s="4">
        <f t="shared" ref="I11:I19" si="0">A11</f>
        <v>1</v>
      </c>
    </row>
    <row r="12" spans="1:9" x14ac:dyDescent="0.25">
      <c r="A12" s="4">
        <f>A11+1</f>
        <v>2</v>
      </c>
      <c r="C12" s="35"/>
      <c r="D12" s="6"/>
      <c r="E12" s="35"/>
      <c r="F12" s="35"/>
      <c r="G12" s="35"/>
      <c r="H12" s="44"/>
      <c r="I12" s="4">
        <f t="shared" si="0"/>
        <v>2</v>
      </c>
    </row>
    <row r="13" spans="1:9" ht="18.75" x14ac:dyDescent="0.25">
      <c r="A13" s="4">
        <f t="shared" ref="A13:A19" si="1">A12+1</f>
        <v>3</v>
      </c>
      <c r="B13" s="31" t="s">
        <v>1113</v>
      </c>
      <c r="C13" s="35">
        <f>'True-Up Misc.-1.1'!C19</f>
        <v>-2548.7271225090149</v>
      </c>
      <c r="D13" s="884"/>
      <c r="E13" s="35">
        <f>'True-Up Misc.-1.1'!E19</f>
        <v>-2121.6914379456898</v>
      </c>
      <c r="F13" s="35"/>
      <c r="G13" s="35">
        <f>'True-Up Misc.-1.1'!G19</f>
        <v>-2337.5179024895401</v>
      </c>
      <c r="H13" s="44" t="s">
        <v>1849</v>
      </c>
      <c r="I13" s="4">
        <f t="shared" si="0"/>
        <v>3</v>
      </c>
    </row>
    <row r="14" spans="1:9" x14ac:dyDescent="0.25">
      <c r="A14" s="4">
        <f t="shared" si="1"/>
        <v>4</v>
      </c>
      <c r="C14" s="35"/>
      <c r="D14" s="6"/>
      <c r="E14" s="35"/>
      <c r="F14" s="35"/>
      <c r="G14" s="35"/>
      <c r="H14" s="44"/>
      <c r="I14" s="4">
        <f t="shared" si="0"/>
        <v>4</v>
      </c>
    </row>
    <row r="15" spans="1:9" x14ac:dyDescent="0.25">
      <c r="A15" s="4">
        <f t="shared" si="1"/>
        <v>5</v>
      </c>
      <c r="B15" s="31" t="s">
        <v>1114</v>
      </c>
      <c r="C15" s="35">
        <f>'True-Up Misc.-1.1'!C24</f>
        <v>-3389.5084506032185</v>
      </c>
      <c r="D15" s="6"/>
      <c r="E15" s="35">
        <f>'True-Up Misc.-1.1'!E24</f>
        <v>-3818.098526489181</v>
      </c>
      <c r="F15" s="35"/>
      <c r="G15" s="35">
        <f>'True-Up Misc.-1.1'!G24</f>
        <v>-3602.0539689811417</v>
      </c>
      <c r="H15" s="44" t="s">
        <v>1850</v>
      </c>
      <c r="I15" s="4">
        <f t="shared" si="0"/>
        <v>5</v>
      </c>
    </row>
    <row r="16" spans="1:9" x14ac:dyDescent="0.25">
      <c r="A16" s="4">
        <f t="shared" si="1"/>
        <v>6</v>
      </c>
      <c r="C16" s="35"/>
      <c r="D16" s="6"/>
      <c r="E16" s="35"/>
      <c r="F16" s="35"/>
      <c r="G16" s="35"/>
      <c r="H16" s="44"/>
      <c r="I16" s="4">
        <f t="shared" si="0"/>
        <v>6</v>
      </c>
    </row>
    <row r="17" spans="1:9" x14ac:dyDescent="0.25">
      <c r="A17" s="4">
        <f t="shared" si="1"/>
        <v>7</v>
      </c>
      <c r="B17" s="31" t="s">
        <v>1115</v>
      </c>
      <c r="C17" s="917">
        <f>'True-Up Misc.-1.1'!C29</f>
        <v>-4438.0207516558694</v>
      </c>
      <c r="D17" s="6"/>
      <c r="E17" s="917">
        <f>'True-Up Misc.-1.1'!E29</f>
        <v>-4861.5751418628752</v>
      </c>
      <c r="F17" s="35"/>
      <c r="G17" s="917">
        <f>'True-Up Misc.-1.1'!G29</f>
        <v>-4648.172831119251</v>
      </c>
      <c r="H17" s="44" t="s">
        <v>1851</v>
      </c>
      <c r="I17" s="4">
        <f t="shared" si="0"/>
        <v>7</v>
      </c>
    </row>
    <row r="18" spans="1:9" x14ac:dyDescent="0.25">
      <c r="A18" s="4">
        <f t="shared" si="1"/>
        <v>8</v>
      </c>
      <c r="C18" s="35"/>
      <c r="D18" s="6"/>
      <c r="E18" s="35"/>
      <c r="F18" s="35"/>
      <c r="G18" s="35"/>
      <c r="H18" s="44"/>
      <c r="I18" s="4">
        <f t="shared" si="0"/>
        <v>8</v>
      </c>
    </row>
    <row r="19" spans="1:9" ht="19.5" thickBot="1" x14ac:dyDescent="0.3">
      <c r="A19" s="4">
        <f t="shared" si="1"/>
        <v>9</v>
      </c>
      <c r="B19" s="31" t="s">
        <v>1116</v>
      </c>
      <c r="C19" s="37">
        <f>SUM(C11:C17)</f>
        <v>-10459.609646087787</v>
      </c>
      <c r="D19" s="884"/>
      <c r="E19" s="37">
        <f>SUM(E11:E17)</f>
        <v>-10867.885077528539</v>
      </c>
      <c r="F19" s="35"/>
      <c r="G19" s="37">
        <f>SUM(G11:G17)</f>
        <v>-10662.770719500901</v>
      </c>
      <c r="H19" s="4" t="s">
        <v>1117</v>
      </c>
      <c r="I19" s="4">
        <f t="shared" si="0"/>
        <v>9</v>
      </c>
    </row>
    <row r="20" spans="1:9" ht="16.5" thickTop="1" x14ac:dyDescent="0.25">
      <c r="C20" s="11"/>
      <c r="D20" s="11"/>
      <c r="E20" s="11"/>
      <c r="F20" s="11"/>
      <c r="G20" s="11"/>
      <c r="H20" s="11"/>
    </row>
    <row r="21" spans="1:9" x14ac:dyDescent="0.25">
      <c r="C21" s="6"/>
      <c r="D21" s="6"/>
      <c r="E21" s="6"/>
      <c r="F21" s="6"/>
      <c r="G21" s="6"/>
      <c r="H21" s="6"/>
    </row>
    <row r="22" spans="1:9" x14ac:dyDescent="0.25">
      <c r="A22"/>
      <c r="B22"/>
      <c r="C22"/>
      <c r="D22"/>
      <c r="E22"/>
      <c r="F22" s="6"/>
      <c r="G22" s="6"/>
      <c r="H22" s="6"/>
    </row>
    <row r="32" spans="1:9" x14ac:dyDescent="0.25">
      <c r="B32" s="624"/>
    </row>
  </sheetData>
  <mergeCells count="5">
    <mergeCell ref="B2:H2"/>
    <mergeCell ref="B3:H3"/>
    <mergeCell ref="B4:H4"/>
    <mergeCell ref="B5:H5"/>
    <mergeCell ref="B6:H6"/>
  </mergeCells>
  <printOptions horizontalCentered="1"/>
  <pageMargins left="0.25" right="0.25" top="0.5" bottom="0.5" header="0.25" footer="0.25"/>
  <pageSetup scale="77" orientation="landscape" r:id="rId1"/>
  <headerFooter scaleWithDoc="0" alignWithMargins="0">
    <oddFooter>&amp;C&amp;A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3"/>
  <sheetViews>
    <sheetView workbookViewId="0"/>
  </sheetViews>
  <sheetFormatPr defaultColWidth="9.28515625" defaultRowHeight="15.75" x14ac:dyDescent="0.25"/>
  <cols>
    <col min="1" max="1" width="5.28515625" style="218" customWidth="1"/>
    <col min="2" max="2" width="41.5703125" style="1" customWidth="1"/>
    <col min="3" max="3" width="18.5703125" style="87" customWidth="1"/>
    <col min="4" max="4" width="2.42578125" style="87" customWidth="1"/>
    <col min="5" max="5" width="25.28515625" style="87" customWidth="1"/>
    <col min="6" max="6" width="18.5703125" style="1" customWidth="1"/>
    <col min="7" max="7" width="3" style="1" bestFit="1" customWidth="1"/>
    <col min="8" max="8" width="62.5703125" style="1" customWidth="1"/>
    <col min="9" max="9" width="5.28515625" style="218" customWidth="1"/>
    <col min="10" max="10" width="24" style="1" customWidth="1"/>
    <col min="11" max="11" width="11" style="1" customWidth="1"/>
    <col min="12" max="12" width="9.7109375" style="1" customWidth="1"/>
    <col min="13" max="13" width="9.28515625" style="1" customWidth="1"/>
    <col min="14" max="14" width="14" style="1" customWidth="1"/>
    <col min="15" max="15" width="13.42578125" style="1" customWidth="1"/>
    <col min="16" max="16384" width="9.28515625" style="1"/>
  </cols>
  <sheetData>
    <row r="2" spans="1:13" x14ac:dyDescent="0.25">
      <c r="B2" s="1294" t="s">
        <v>0</v>
      </c>
      <c r="C2" s="1294"/>
      <c r="D2" s="1294"/>
      <c r="E2" s="1294"/>
      <c r="F2" s="1294"/>
      <c r="G2" s="1294"/>
      <c r="H2" s="1294"/>
    </row>
    <row r="3" spans="1:13" x14ac:dyDescent="0.25">
      <c r="B3" s="1294" t="s">
        <v>250</v>
      </c>
      <c r="C3" s="1294"/>
      <c r="D3" s="1294"/>
      <c r="E3" s="1294"/>
      <c r="F3" s="1294"/>
      <c r="G3" s="1294"/>
      <c r="H3" s="1294"/>
    </row>
    <row r="4" spans="1:13" x14ac:dyDescent="0.25">
      <c r="B4" s="1294" t="s">
        <v>251</v>
      </c>
      <c r="C4" s="1294"/>
      <c r="D4" s="1294"/>
      <c r="E4" s="1294"/>
      <c r="F4" s="1294"/>
      <c r="G4" s="1294"/>
      <c r="H4" s="1294"/>
    </row>
    <row r="5" spans="1:13" x14ac:dyDescent="0.25">
      <c r="B5" s="1294" t="str">
        <f>'AD-1'!B5</f>
        <v>BASE PERIOD / TRUE UP PERIOD - 12/31/2023 PER BOOK</v>
      </c>
      <c r="C5" s="1294"/>
      <c r="D5" s="1294"/>
      <c r="E5" s="1294"/>
      <c r="F5" s="1294"/>
      <c r="G5" s="1294"/>
      <c r="H5" s="1294"/>
    </row>
    <row r="6" spans="1:13" x14ac:dyDescent="0.25">
      <c r="B6" s="1299" t="s">
        <v>4</v>
      </c>
      <c r="C6" s="1299"/>
      <c r="D6" s="1299"/>
      <c r="E6" s="1299"/>
      <c r="F6" s="1299"/>
      <c r="G6" s="1299"/>
      <c r="H6" s="1299"/>
    </row>
    <row r="7" spans="1:13" x14ac:dyDescent="0.25">
      <c r="B7" s="267"/>
      <c r="C7" s="268"/>
      <c r="D7" s="268"/>
      <c r="E7" s="268"/>
      <c r="F7" s="267"/>
      <c r="G7" s="267"/>
      <c r="H7" s="267"/>
    </row>
    <row r="8" spans="1:13" x14ac:dyDescent="0.25">
      <c r="B8" s="1294" t="s">
        <v>289</v>
      </c>
      <c r="C8" s="1294"/>
      <c r="D8" s="1294"/>
      <c r="E8" s="1294"/>
      <c r="F8" s="1294"/>
      <c r="G8" s="1294"/>
      <c r="H8" s="1294"/>
    </row>
    <row r="9" spans="1:13" x14ac:dyDescent="0.25">
      <c r="C9" s="949" t="s">
        <v>1920</v>
      </c>
      <c r="E9" s="300" t="s">
        <v>1921</v>
      </c>
      <c r="F9" s="930" t="s">
        <v>1922</v>
      </c>
    </row>
    <row r="10" spans="1:13" x14ac:dyDescent="0.25">
      <c r="B10" s="927"/>
      <c r="C10" s="262" t="s">
        <v>177</v>
      </c>
      <c r="D10" s="1080"/>
      <c r="E10" s="928"/>
      <c r="F10" s="262"/>
      <c r="G10" s="269"/>
      <c r="H10" s="928"/>
    </row>
    <row r="11" spans="1:13" x14ac:dyDescent="0.25">
      <c r="B11" s="270"/>
      <c r="C11" s="218" t="s">
        <v>290</v>
      </c>
      <c r="D11" s="218"/>
      <c r="E11" s="270"/>
      <c r="F11" s="218" t="s">
        <v>290</v>
      </c>
      <c r="G11" s="274"/>
      <c r="H11" s="270"/>
      <c r="I11" s="4"/>
    </row>
    <row r="12" spans="1:13" x14ac:dyDescent="0.25">
      <c r="A12" s="4" t="s">
        <v>5</v>
      </c>
      <c r="B12" s="273"/>
      <c r="C12" s="218" t="s">
        <v>286</v>
      </c>
      <c r="D12" s="218"/>
      <c r="E12" s="270"/>
      <c r="F12" s="218" t="s">
        <v>286</v>
      </c>
      <c r="G12" s="274"/>
      <c r="H12" s="270"/>
      <c r="I12" s="4" t="s">
        <v>5</v>
      </c>
    </row>
    <row r="13" spans="1:13" ht="18.75" x14ac:dyDescent="0.25">
      <c r="A13" s="4" t="s">
        <v>6</v>
      </c>
      <c r="B13" s="275" t="s">
        <v>255</v>
      </c>
      <c r="C13" s="930" t="s">
        <v>256</v>
      </c>
      <c r="D13" s="930"/>
      <c r="E13" s="275" t="s">
        <v>8</v>
      </c>
      <c r="F13" s="930" t="s">
        <v>257</v>
      </c>
      <c r="G13" s="276"/>
      <c r="H13" s="275" t="s">
        <v>8</v>
      </c>
      <c r="I13" s="4" t="s">
        <v>6</v>
      </c>
    </row>
    <row r="14" spans="1:13" ht="18.75" x14ac:dyDescent="0.25">
      <c r="A14" s="4">
        <v>1</v>
      </c>
      <c r="B14" s="931" t="str">
        <f>'AD-1'!B14</f>
        <v>Dec-22</v>
      </c>
      <c r="C14" s="35">
        <v>7943479.0554299969</v>
      </c>
      <c r="D14" s="1086"/>
      <c r="E14" s="941" t="s">
        <v>258</v>
      </c>
      <c r="F14" s="44">
        <v>7802920.2436010288</v>
      </c>
      <c r="G14" s="1086"/>
      <c r="H14" s="941" t="s">
        <v>259</v>
      </c>
      <c r="I14" s="4">
        <f>A14</f>
        <v>1</v>
      </c>
      <c r="J14" s="277"/>
      <c r="M14" s="87"/>
    </row>
    <row r="15" spans="1:13" x14ac:dyDescent="0.25">
      <c r="A15" s="4">
        <f>A14+1</f>
        <v>2</v>
      </c>
      <c r="B15" s="931" t="str">
        <f>'AD-1'!B15</f>
        <v>Jan-23</v>
      </c>
      <c r="C15" s="6">
        <v>7956130.8900799956</v>
      </c>
      <c r="D15" s="6"/>
      <c r="E15" s="943"/>
      <c r="F15" s="11">
        <v>7815790.0957797151</v>
      </c>
      <c r="G15" s="65"/>
      <c r="H15" s="943"/>
      <c r="I15" s="4">
        <f>I14+1</f>
        <v>2</v>
      </c>
      <c r="J15" s="87"/>
      <c r="M15" s="87"/>
    </row>
    <row r="16" spans="1:13" x14ac:dyDescent="0.25">
      <c r="A16" s="4">
        <f t="shared" ref="A16:A32" si="0">A15+1</f>
        <v>3</v>
      </c>
      <c r="B16" s="934" t="s">
        <v>260</v>
      </c>
      <c r="C16" s="6">
        <v>8022829.9579400066</v>
      </c>
      <c r="D16" s="6"/>
      <c r="E16" s="943"/>
      <c r="F16" s="11">
        <v>7881802.3241647268</v>
      </c>
      <c r="G16" s="65"/>
      <c r="H16" s="943"/>
      <c r="I16" s="4">
        <f t="shared" ref="I16:I26" si="1">I15+1</f>
        <v>3</v>
      </c>
      <c r="J16" s="87"/>
      <c r="M16" s="87"/>
    </row>
    <row r="17" spans="1:13" x14ac:dyDescent="0.25">
      <c r="A17" s="4">
        <f t="shared" si="0"/>
        <v>4</v>
      </c>
      <c r="B17" s="934" t="s">
        <v>261</v>
      </c>
      <c r="C17" s="6">
        <v>8027621.0841199923</v>
      </c>
      <c r="D17" s="6"/>
      <c r="E17" s="943"/>
      <c r="F17" s="11">
        <v>7886593.2150647119</v>
      </c>
      <c r="G17" s="65"/>
      <c r="H17" s="943"/>
      <c r="I17" s="4">
        <f t="shared" si="1"/>
        <v>4</v>
      </c>
      <c r="J17" s="87"/>
      <c r="M17" s="87"/>
    </row>
    <row r="18" spans="1:13" x14ac:dyDescent="0.25">
      <c r="A18" s="4">
        <f t="shared" si="0"/>
        <v>5</v>
      </c>
      <c r="B18" s="934" t="s">
        <v>262</v>
      </c>
      <c r="C18" s="6">
        <v>8041118.9653499983</v>
      </c>
      <c r="D18" s="6"/>
      <c r="E18" s="943"/>
      <c r="F18" s="11">
        <v>7899925.8367047179</v>
      </c>
      <c r="G18" s="65"/>
      <c r="H18" s="943"/>
      <c r="I18" s="4">
        <f t="shared" si="1"/>
        <v>5</v>
      </c>
      <c r="J18" s="87"/>
      <c r="M18" s="87"/>
    </row>
    <row r="19" spans="1:13" x14ac:dyDescent="0.25">
      <c r="A19" s="4">
        <f t="shared" si="0"/>
        <v>6</v>
      </c>
      <c r="B19" s="934" t="s">
        <v>263</v>
      </c>
      <c r="C19" s="6">
        <v>8070243.0638700007</v>
      </c>
      <c r="D19" s="6"/>
      <c r="E19" s="943"/>
      <c r="F19" s="11">
        <v>7928091.1333247209</v>
      </c>
      <c r="G19" s="65"/>
      <c r="H19" s="943"/>
      <c r="I19" s="4">
        <f t="shared" si="1"/>
        <v>6</v>
      </c>
      <c r="J19" s="87"/>
      <c r="M19" s="87"/>
    </row>
    <row r="20" spans="1:13" x14ac:dyDescent="0.25">
      <c r="A20" s="4">
        <f>A19+1</f>
        <v>7</v>
      </c>
      <c r="B20" s="934" t="s">
        <v>264</v>
      </c>
      <c r="C20" s="6">
        <v>8078004.5011799885</v>
      </c>
      <c r="D20" s="6"/>
      <c r="E20" s="943"/>
      <c r="F20" s="11">
        <v>7935884.1512597082</v>
      </c>
      <c r="G20" s="65"/>
      <c r="H20" s="943"/>
      <c r="I20" s="4">
        <f>I19+1</f>
        <v>7</v>
      </c>
      <c r="J20" s="87"/>
      <c r="M20" s="87"/>
    </row>
    <row r="21" spans="1:13" x14ac:dyDescent="0.25">
      <c r="A21" s="4">
        <f t="shared" si="0"/>
        <v>8</v>
      </c>
      <c r="B21" s="934" t="s">
        <v>265</v>
      </c>
      <c r="C21" s="6">
        <v>8169864.5123599991</v>
      </c>
      <c r="D21" s="6"/>
      <c r="E21" s="943"/>
      <c r="F21" s="11">
        <v>8027538.3665547194</v>
      </c>
      <c r="G21" s="65"/>
      <c r="H21" s="943"/>
      <c r="I21" s="4">
        <f t="shared" si="1"/>
        <v>8</v>
      </c>
      <c r="J21" s="87"/>
      <c r="M21" s="87"/>
    </row>
    <row r="22" spans="1:13" x14ac:dyDescent="0.25">
      <c r="A22" s="4">
        <f t="shared" si="0"/>
        <v>9</v>
      </c>
      <c r="B22" s="934" t="s">
        <v>266</v>
      </c>
      <c r="C22" s="6">
        <v>8195642.7234300077</v>
      </c>
      <c r="D22" s="6"/>
      <c r="E22" s="943"/>
      <c r="F22" s="11">
        <v>8053308.8792897277</v>
      </c>
      <c r="G22" s="65"/>
      <c r="H22" s="943"/>
      <c r="I22" s="4">
        <f t="shared" si="1"/>
        <v>9</v>
      </c>
      <c r="J22" s="87"/>
      <c r="M22" s="87"/>
    </row>
    <row r="23" spans="1:13" x14ac:dyDescent="0.25">
      <c r="A23" s="4">
        <f t="shared" si="0"/>
        <v>10</v>
      </c>
      <c r="B23" s="934" t="s">
        <v>267</v>
      </c>
      <c r="C23" s="6">
        <v>8207793.0239600008</v>
      </c>
      <c r="D23" s="6"/>
      <c r="E23" s="943"/>
      <c r="F23" s="11">
        <v>8065459.1798197208</v>
      </c>
      <c r="G23" s="65"/>
      <c r="H23" s="943"/>
      <c r="I23" s="4">
        <f t="shared" si="1"/>
        <v>10</v>
      </c>
      <c r="J23" s="87"/>
      <c r="M23" s="87"/>
    </row>
    <row r="24" spans="1:13" x14ac:dyDescent="0.25">
      <c r="A24" s="4">
        <f t="shared" si="0"/>
        <v>11</v>
      </c>
      <c r="B24" s="934" t="s">
        <v>268</v>
      </c>
      <c r="C24" s="6">
        <v>8312297.9447500026</v>
      </c>
      <c r="D24" s="6"/>
      <c r="E24" s="943"/>
      <c r="F24" s="11">
        <v>8169556.7994497223</v>
      </c>
      <c r="G24" s="65"/>
      <c r="H24" s="943"/>
      <c r="I24" s="4">
        <f t="shared" si="1"/>
        <v>11</v>
      </c>
      <c r="J24" s="87"/>
      <c r="M24" s="87"/>
    </row>
    <row r="25" spans="1:13" x14ac:dyDescent="0.25">
      <c r="A25" s="4">
        <f t="shared" si="0"/>
        <v>12</v>
      </c>
      <c r="B25" s="934" t="s">
        <v>269</v>
      </c>
      <c r="C25" s="6">
        <v>8313513.5381199969</v>
      </c>
      <c r="D25" s="6"/>
      <c r="E25" s="943"/>
      <c r="F25" s="11">
        <v>8171476.2753647165</v>
      </c>
      <c r="G25" s="65"/>
      <c r="H25" s="943"/>
      <c r="I25" s="4">
        <f t="shared" si="1"/>
        <v>12</v>
      </c>
      <c r="J25" s="87"/>
      <c r="M25" s="87"/>
    </row>
    <row r="26" spans="1:13" x14ac:dyDescent="0.25">
      <c r="A26" s="4">
        <f t="shared" si="0"/>
        <v>13</v>
      </c>
      <c r="B26" s="630" t="str">
        <f>'AD-1'!B26</f>
        <v>Dec-23</v>
      </c>
      <c r="C26" s="877">
        <v>8381786.0543000083</v>
      </c>
      <c r="D26" s="877"/>
      <c r="E26" s="291" t="s">
        <v>258</v>
      </c>
      <c r="F26" s="1085">
        <v>8232399.6584847281</v>
      </c>
      <c r="G26" s="628"/>
      <c r="H26" s="941" t="s">
        <v>270</v>
      </c>
      <c r="I26" s="4">
        <f t="shared" si="1"/>
        <v>13</v>
      </c>
      <c r="J26" s="277"/>
      <c r="M26" s="87"/>
    </row>
    <row r="27" spans="1:13" x14ac:dyDescent="0.25">
      <c r="A27" s="4">
        <f t="shared" si="0"/>
        <v>14</v>
      </c>
      <c r="B27" s="278"/>
      <c r="D27" s="1081"/>
      <c r="E27" s="944"/>
      <c r="F27" s="87"/>
      <c r="G27" s="60"/>
      <c r="H27" s="927"/>
      <c r="I27" s="4">
        <f t="shared" ref="I27:I32" si="2">I26+1</f>
        <v>14</v>
      </c>
    </row>
    <row r="28" spans="1:13" x14ac:dyDescent="0.25">
      <c r="A28" s="4">
        <f t="shared" si="0"/>
        <v>15</v>
      </c>
      <c r="B28" s="278" t="s">
        <v>271</v>
      </c>
      <c r="C28" s="43">
        <f>SUM(C14:C26)</f>
        <v>105720325.31488998</v>
      </c>
      <c r="D28" s="43"/>
      <c r="E28" s="942" t="s">
        <v>272</v>
      </c>
      <c r="F28" s="43">
        <f>SUM(F14:F26)</f>
        <v>103870746.15886267</v>
      </c>
      <c r="G28" s="55"/>
      <c r="H28" s="942" t="s">
        <v>272</v>
      </c>
      <c r="I28" s="4">
        <f t="shared" si="2"/>
        <v>15</v>
      </c>
    </row>
    <row r="29" spans="1:13" x14ac:dyDescent="0.25">
      <c r="A29" s="4">
        <f t="shared" si="0"/>
        <v>16</v>
      </c>
      <c r="B29" s="117"/>
      <c r="C29" s="1082"/>
      <c r="D29" s="1082"/>
      <c r="E29" s="81"/>
      <c r="F29" s="1082"/>
      <c r="G29" s="56"/>
      <c r="H29" s="81"/>
      <c r="I29" s="4">
        <f t="shared" si="2"/>
        <v>16</v>
      </c>
    </row>
    <row r="30" spans="1:13" x14ac:dyDescent="0.25">
      <c r="A30" s="4">
        <f t="shared" si="0"/>
        <v>17</v>
      </c>
      <c r="B30" s="278"/>
      <c r="E30" s="945"/>
      <c r="F30" s="87"/>
      <c r="G30" s="60"/>
      <c r="H30" s="945"/>
      <c r="I30" s="4">
        <f t="shared" si="2"/>
        <v>17</v>
      </c>
    </row>
    <row r="31" spans="1:13" x14ac:dyDescent="0.25">
      <c r="A31" s="4">
        <f t="shared" si="0"/>
        <v>18</v>
      </c>
      <c r="B31" s="278" t="s">
        <v>273</v>
      </c>
      <c r="C31" s="43">
        <f>C28/13</f>
        <v>8132332.7165299989</v>
      </c>
      <c r="D31" s="43"/>
      <c r="E31" s="942" t="s">
        <v>274</v>
      </c>
      <c r="F31" s="43">
        <f>F28/13</f>
        <v>7990057.3968355898</v>
      </c>
      <c r="G31" s="55"/>
      <c r="H31" s="941" t="s">
        <v>275</v>
      </c>
      <c r="I31" s="4">
        <f t="shared" si="2"/>
        <v>18</v>
      </c>
      <c r="J31" s="277"/>
    </row>
    <row r="32" spans="1:13" x14ac:dyDescent="0.25">
      <c r="A32" s="4">
        <f t="shared" si="0"/>
        <v>19</v>
      </c>
      <c r="B32" s="117"/>
      <c r="C32" s="1083"/>
      <c r="D32" s="1083"/>
      <c r="E32" s="292"/>
      <c r="F32" s="1083"/>
      <c r="G32" s="279"/>
      <c r="H32" s="292"/>
      <c r="I32" s="4">
        <f t="shared" si="2"/>
        <v>19</v>
      </c>
    </row>
    <row r="33" spans="1:12" x14ac:dyDescent="0.25">
      <c r="A33" s="4">
        <f>A32+1</f>
        <v>20</v>
      </c>
      <c r="B33" s="31"/>
      <c r="C33" s="31"/>
      <c r="D33" s="31"/>
      <c r="E33" s="31"/>
      <c r="F33" s="31"/>
      <c r="G33" s="31"/>
      <c r="H33" s="31"/>
      <c r="I33" s="4">
        <f>I32+1</f>
        <v>20</v>
      </c>
    </row>
    <row r="34" spans="1:12" x14ac:dyDescent="0.25">
      <c r="A34" s="4">
        <f>A33+1</f>
        <v>21</v>
      </c>
      <c r="B34" s="31" t="s">
        <v>2015</v>
      </c>
      <c r="C34" s="31"/>
      <c r="D34" s="31"/>
      <c r="E34" s="31"/>
      <c r="F34" s="1258">
        <f>F31/C31</f>
        <v>0.982504980470706</v>
      </c>
      <c r="G34" s="31"/>
      <c r="H34" s="4" t="s">
        <v>1919</v>
      </c>
      <c r="I34" s="4">
        <f>I33+1</f>
        <v>21</v>
      </c>
      <c r="K34" s="415"/>
      <c r="L34" s="277"/>
    </row>
    <row r="35" spans="1:12" x14ac:dyDescent="0.25">
      <c r="E35" s="31"/>
      <c r="F35" s="106"/>
      <c r="G35" s="106"/>
      <c r="H35" s="31"/>
    </row>
    <row r="36" spans="1:12" ht="18.75" x14ac:dyDescent="0.25">
      <c r="A36" s="266">
        <v>1</v>
      </c>
      <c r="B36" s="31" t="s">
        <v>276</v>
      </c>
      <c r="C36" s="31"/>
      <c r="D36" s="31"/>
      <c r="E36" s="31"/>
      <c r="F36" s="31"/>
      <c r="G36" s="31"/>
      <c r="H36" s="31"/>
    </row>
    <row r="37" spans="1:12" x14ac:dyDescent="0.25">
      <c r="B37" s="31" t="s">
        <v>277</v>
      </c>
      <c r="C37" s="293"/>
      <c r="D37" s="293"/>
      <c r="E37" s="31"/>
      <c r="F37" s="31"/>
      <c r="G37" s="31"/>
      <c r="H37" s="31"/>
    </row>
    <row r="38" spans="1:12" ht="18.75" x14ac:dyDescent="0.25">
      <c r="A38" s="266"/>
      <c r="B38" s="31"/>
      <c r="C38" s="31"/>
      <c r="D38" s="31"/>
      <c r="E38" s="31"/>
      <c r="F38" s="31"/>
      <c r="G38" s="31"/>
      <c r="H38" s="31"/>
    </row>
    <row r="39" spans="1:12" x14ac:dyDescent="0.25">
      <c r="B39" s="31"/>
      <c r="C39" s="31"/>
      <c r="D39" s="31"/>
      <c r="E39" s="31"/>
      <c r="F39" s="31"/>
      <c r="G39" s="31"/>
      <c r="H39" s="31"/>
    </row>
    <row r="40" spans="1:12" x14ac:dyDescent="0.25">
      <c r="A40" s="262"/>
      <c r="C40" s="31"/>
      <c r="D40" s="31"/>
      <c r="E40" s="1"/>
    </row>
    <row r="43" spans="1:12" x14ac:dyDescent="0.25">
      <c r="A43" s="262"/>
    </row>
  </sheetData>
  <mergeCells count="6">
    <mergeCell ref="B8:H8"/>
    <mergeCell ref="B2:H2"/>
    <mergeCell ref="B3:H3"/>
    <mergeCell ref="B4:H4"/>
    <mergeCell ref="B5:H5"/>
    <mergeCell ref="B6:H6"/>
  </mergeCells>
  <printOptions horizontalCentered="1"/>
  <pageMargins left="0.25" right="0.2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K38"/>
  <sheetViews>
    <sheetView workbookViewId="0">
      <selection activeCell="B8" sqref="B8"/>
    </sheetView>
  </sheetViews>
  <sheetFormatPr defaultColWidth="8.5703125" defaultRowHeight="15.75" x14ac:dyDescent="0.25"/>
  <cols>
    <col min="1" max="1" width="5.5703125" style="4" customWidth="1"/>
    <col min="2" max="2" width="50.85546875" style="31" customWidth="1"/>
    <col min="3" max="3" width="16.85546875" style="31" customWidth="1"/>
    <col min="4" max="4" width="2.85546875" style="31" bestFit="1" customWidth="1"/>
    <col min="5" max="5" width="16.85546875" style="31" customWidth="1"/>
    <col min="6" max="6" width="1.5703125" style="31" customWidth="1"/>
    <col min="7" max="7" width="23.42578125" style="31" bestFit="1" customWidth="1"/>
    <col min="8" max="8" width="62.5703125" style="31" customWidth="1"/>
    <col min="9" max="9" width="5.42578125" style="4" customWidth="1"/>
    <col min="10" max="10" width="8.5703125" style="31"/>
    <col min="11" max="11" width="22" style="31" bestFit="1" customWidth="1"/>
    <col min="12" max="16384" width="8.5703125" style="31"/>
  </cols>
  <sheetData>
    <row r="2" spans="1:11" x14ac:dyDescent="0.25">
      <c r="B2" s="1294" t="s">
        <v>0</v>
      </c>
      <c r="C2" s="1294"/>
      <c r="D2" s="1294"/>
      <c r="E2" s="1294"/>
      <c r="F2" s="1294"/>
      <c r="G2" s="1294"/>
      <c r="H2" s="1294"/>
    </row>
    <row r="3" spans="1:11" x14ac:dyDescent="0.25">
      <c r="B3" s="1294" t="s">
        <v>1111</v>
      </c>
      <c r="C3" s="1294"/>
      <c r="D3" s="1294"/>
      <c r="E3" s="1294"/>
      <c r="F3" s="1294"/>
      <c r="G3" s="1294"/>
      <c r="H3" s="1294"/>
    </row>
    <row r="4" spans="1:11" x14ac:dyDescent="0.25">
      <c r="B4" s="1294" t="s">
        <v>1112</v>
      </c>
      <c r="C4" s="1294"/>
      <c r="D4" s="1294"/>
      <c r="E4" s="1294"/>
      <c r="F4" s="1294"/>
      <c r="G4" s="1294"/>
      <c r="H4" s="1294"/>
    </row>
    <row r="5" spans="1:11" x14ac:dyDescent="0.25">
      <c r="B5" s="1294" t="s">
        <v>1844</v>
      </c>
      <c r="C5" s="1294"/>
      <c r="D5" s="1294"/>
      <c r="E5" s="1294"/>
      <c r="F5" s="1294"/>
      <c r="G5" s="1294"/>
      <c r="H5" s="1294"/>
    </row>
    <row r="6" spans="1:11" ht="15.75" customHeight="1" x14ac:dyDescent="0.25">
      <c r="B6" s="1299" t="s">
        <v>4</v>
      </c>
      <c r="C6" s="1299"/>
      <c r="D6" s="1299"/>
      <c r="E6" s="1299"/>
      <c r="F6" s="1299"/>
      <c r="G6" s="1299"/>
      <c r="H6" s="1299"/>
    </row>
    <row r="7" spans="1:11" x14ac:dyDescent="0.25">
      <c r="K7" s="47"/>
    </row>
    <row r="8" spans="1:11" ht="18.75" x14ac:dyDescent="0.25">
      <c r="A8" s="4" t="s">
        <v>5</v>
      </c>
      <c r="B8" s="1"/>
      <c r="C8" s="262" t="s">
        <v>1118</v>
      </c>
      <c r="D8" s="262"/>
      <c r="E8" s="262" t="s">
        <v>185</v>
      </c>
      <c r="G8" s="262" t="s">
        <v>206</v>
      </c>
      <c r="H8" s="262"/>
      <c r="I8" s="4" t="s">
        <v>5</v>
      </c>
      <c r="K8" s="47"/>
    </row>
    <row r="9" spans="1:11" x14ac:dyDescent="0.25">
      <c r="A9" s="4" t="s">
        <v>6</v>
      </c>
      <c r="B9" s="930" t="s">
        <v>306</v>
      </c>
      <c r="C9" s="728">
        <f>'Stmt AD'!E9</f>
        <v>44926</v>
      </c>
      <c r="D9" s="728"/>
      <c r="E9" s="728">
        <f>'Stmt AD'!G9</f>
        <v>45291</v>
      </c>
      <c r="F9" s="728"/>
      <c r="G9" s="930" t="s">
        <v>208</v>
      </c>
      <c r="H9" s="930" t="s">
        <v>8</v>
      </c>
      <c r="I9" s="4" t="s">
        <v>6</v>
      </c>
      <c r="K9" s="887"/>
    </row>
    <row r="10" spans="1:11" x14ac:dyDescent="0.25">
      <c r="B10" s="1"/>
      <c r="C10" s="339"/>
      <c r="D10" s="339"/>
      <c r="E10" s="339"/>
      <c r="F10" s="339"/>
      <c r="G10" s="91"/>
      <c r="H10" s="91"/>
    </row>
    <row r="11" spans="1:11" x14ac:dyDescent="0.25">
      <c r="A11" s="4">
        <v>1</v>
      </c>
      <c r="B11" s="31" t="s">
        <v>1845</v>
      </c>
      <c r="C11" s="90"/>
      <c r="D11" s="90"/>
      <c r="E11" s="90"/>
      <c r="F11" s="90"/>
      <c r="G11" s="91"/>
      <c r="H11" s="91"/>
      <c r="I11" s="4">
        <f>A11</f>
        <v>1</v>
      </c>
    </row>
    <row r="12" spans="1:11" x14ac:dyDescent="0.25">
      <c r="A12" s="4">
        <f>A11+1</f>
        <v>2</v>
      </c>
      <c r="B12" s="32" t="s">
        <v>1846</v>
      </c>
      <c r="C12" s="35">
        <v>-575</v>
      </c>
      <c r="D12" s="35"/>
      <c r="E12" s="35">
        <v>-450</v>
      </c>
      <c r="F12" s="35"/>
      <c r="G12" s="35">
        <f>(C12+E12)/2</f>
        <v>-512.5</v>
      </c>
      <c r="H12" s="44" t="s">
        <v>258</v>
      </c>
      <c r="I12" s="4">
        <f>I11+1</f>
        <v>2</v>
      </c>
    </row>
    <row r="13" spans="1:11" x14ac:dyDescent="0.25">
      <c r="A13" s="4">
        <f t="shared" ref="A13:A29" si="0">A12+1</f>
        <v>3</v>
      </c>
      <c r="B13" s="32" t="s">
        <v>1119</v>
      </c>
      <c r="C13" s="47">
        <v>0.14496229794727647</v>
      </c>
      <c r="D13" s="6"/>
      <c r="E13" s="47">
        <f>'AD-10'!$D$18*'True-Up Stmt AI'!$E$25</f>
        <v>0.14782215829064932</v>
      </c>
      <c r="F13" s="6"/>
      <c r="G13" s="47">
        <f>(C13+E13)/2</f>
        <v>0.14639222811896291</v>
      </c>
      <c r="H13" s="44" t="s">
        <v>1120</v>
      </c>
      <c r="I13" s="4">
        <f t="shared" ref="I13:I29" si="1">I12+1</f>
        <v>3</v>
      </c>
      <c r="K13" s="866"/>
    </row>
    <row r="14" spans="1:11" ht="16.5" thickBot="1" x14ac:dyDescent="0.3">
      <c r="A14" s="4">
        <f t="shared" si="0"/>
        <v>4</v>
      </c>
      <c r="B14" s="340" t="s">
        <v>1847</v>
      </c>
      <c r="C14" s="89">
        <f>C12*C13</f>
        <v>-83.353321319683971</v>
      </c>
      <c r="D14" s="6"/>
      <c r="E14" s="89">
        <f>E12*E13</f>
        <v>-66.519971230792194</v>
      </c>
      <c r="F14" s="43"/>
      <c r="G14" s="89">
        <f>G12*G13</f>
        <v>-75.026016910968494</v>
      </c>
      <c r="H14" s="625" t="s">
        <v>1121</v>
      </c>
      <c r="I14" s="4">
        <f t="shared" si="1"/>
        <v>4</v>
      </c>
      <c r="K14" s="866"/>
    </row>
    <row r="15" spans="1:11" ht="16.5" thickTop="1" x14ac:dyDescent="0.25">
      <c r="A15" s="4">
        <f t="shared" si="0"/>
        <v>5</v>
      </c>
      <c r="C15" s="85"/>
      <c r="D15" s="85"/>
      <c r="E15" s="85"/>
      <c r="F15" s="85"/>
      <c r="G15" s="85"/>
      <c r="H15" s="85"/>
      <c r="I15" s="4">
        <f t="shared" si="1"/>
        <v>5</v>
      </c>
      <c r="K15" s="1202"/>
    </row>
    <row r="16" spans="1:11" x14ac:dyDescent="0.25">
      <c r="A16" s="4">
        <f t="shared" si="0"/>
        <v>6</v>
      </c>
      <c r="B16" s="32" t="s">
        <v>1113</v>
      </c>
      <c r="C16" s="90"/>
      <c r="D16" s="90"/>
      <c r="E16" s="90"/>
      <c r="F16" s="90"/>
      <c r="G16" s="91"/>
      <c r="H16" s="91"/>
      <c r="I16" s="4">
        <f t="shared" si="1"/>
        <v>6</v>
      </c>
    </row>
    <row r="17" spans="1:9" x14ac:dyDescent="0.25">
      <c r="A17" s="4">
        <f t="shared" si="0"/>
        <v>7</v>
      </c>
      <c r="B17" s="32" t="s">
        <v>1122</v>
      </c>
      <c r="C17" s="35">
        <v>-17582</v>
      </c>
      <c r="D17" s="35"/>
      <c r="E17" s="35">
        <v>-14353</v>
      </c>
      <c r="F17" s="35"/>
      <c r="G17" s="35">
        <f>(C17+E17)/2</f>
        <v>-15967.5</v>
      </c>
      <c r="H17" s="44" t="s">
        <v>258</v>
      </c>
      <c r="I17" s="4">
        <f t="shared" si="1"/>
        <v>7</v>
      </c>
    </row>
    <row r="18" spans="1:9" x14ac:dyDescent="0.25">
      <c r="A18" s="4">
        <f t="shared" si="0"/>
        <v>8</v>
      </c>
      <c r="B18" s="32" t="s">
        <v>1119</v>
      </c>
      <c r="C18" s="47">
        <f>C13</f>
        <v>0.14496229794727647</v>
      </c>
      <c r="D18" s="6"/>
      <c r="E18" s="47">
        <f>'AD-10'!$D$18*'True-Up Stmt AI'!$E$25</f>
        <v>0.14782215829064932</v>
      </c>
      <c r="F18" s="6"/>
      <c r="G18" s="47">
        <f>(C18+E18)/2</f>
        <v>0.14639222811896291</v>
      </c>
      <c r="H18" s="44" t="s">
        <v>1120</v>
      </c>
      <c r="I18" s="4">
        <f t="shared" si="1"/>
        <v>8</v>
      </c>
    </row>
    <row r="19" spans="1:9" ht="16.5" thickBot="1" x14ac:dyDescent="0.3">
      <c r="A19" s="4">
        <f t="shared" si="0"/>
        <v>9</v>
      </c>
      <c r="B19" s="340" t="s">
        <v>1123</v>
      </c>
      <c r="C19" s="89">
        <f>C17*C18</f>
        <v>-2548.7271225090149</v>
      </c>
      <c r="D19" s="6"/>
      <c r="E19" s="89">
        <f>E17*E18</f>
        <v>-2121.6914379456898</v>
      </c>
      <c r="F19" s="43"/>
      <c r="G19" s="89">
        <f>G17*G18</f>
        <v>-2337.5179024895401</v>
      </c>
      <c r="H19" s="625" t="s">
        <v>37</v>
      </c>
      <c r="I19" s="4">
        <f t="shared" si="1"/>
        <v>9</v>
      </c>
    </row>
    <row r="20" spans="1:9" ht="16.5" thickTop="1" x14ac:dyDescent="0.25">
      <c r="A20" s="4">
        <f t="shared" si="0"/>
        <v>10</v>
      </c>
      <c r="I20" s="4">
        <f t="shared" si="1"/>
        <v>10</v>
      </c>
    </row>
    <row r="21" spans="1:9" x14ac:dyDescent="0.25">
      <c r="A21" s="4">
        <f t="shared" si="0"/>
        <v>11</v>
      </c>
      <c r="B21" s="31" t="s">
        <v>1114</v>
      </c>
      <c r="C21" s="90"/>
      <c r="D21" s="90"/>
      <c r="E21" s="90"/>
      <c r="F21" s="90"/>
      <c r="G21" s="91"/>
      <c r="H21" s="4"/>
      <c r="I21" s="4">
        <f t="shared" si="1"/>
        <v>11</v>
      </c>
    </row>
    <row r="22" spans="1:9" ht="18.75" x14ac:dyDescent="0.25">
      <c r="A22" s="4">
        <f t="shared" si="0"/>
        <v>12</v>
      </c>
      <c r="B22" s="32" t="s">
        <v>1124</v>
      </c>
      <c r="C22" s="35">
        <v>-23382</v>
      </c>
      <c r="D22" s="884"/>
      <c r="E22" s="35">
        <v>-25829</v>
      </c>
      <c r="F22" s="35"/>
      <c r="G22" s="35">
        <f>(C22+E22)/2</f>
        <v>-24605.5</v>
      </c>
      <c r="H22" s="44" t="s">
        <v>258</v>
      </c>
      <c r="I22" s="4">
        <f t="shared" si="1"/>
        <v>12</v>
      </c>
    </row>
    <row r="23" spans="1:9" x14ac:dyDescent="0.25">
      <c r="A23" s="4">
        <f t="shared" si="0"/>
        <v>13</v>
      </c>
      <c r="B23" s="32" t="s">
        <v>1119</v>
      </c>
      <c r="C23" s="47">
        <f>C13</f>
        <v>0.14496229794727647</v>
      </c>
      <c r="D23" s="6"/>
      <c r="E23" s="47">
        <f>'AD-10'!$D$18*'True-Up Stmt AI'!$E$25</f>
        <v>0.14782215829064932</v>
      </c>
      <c r="F23" s="6"/>
      <c r="G23" s="47">
        <f>(C23+E23)/2</f>
        <v>0.14639222811896291</v>
      </c>
      <c r="H23" s="44" t="s">
        <v>1120</v>
      </c>
      <c r="I23" s="4">
        <f t="shared" si="1"/>
        <v>13</v>
      </c>
    </row>
    <row r="24" spans="1:9" ht="19.5" thickBot="1" x14ac:dyDescent="0.3">
      <c r="A24" s="4">
        <f t="shared" si="0"/>
        <v>14</v>
      </c>
      <c r="B24" s="340" t="s">
        <v>1125</v>
      </c>
      <c r="C24" s="89">
        <f>C22*C23</f>
        <v>-3389.5084506032185</v>
      </c>
      <c r="D24" s="884"/>
      <c r="E24" s="89">
        <f>E22*E23</f>
        <v>-3818.098526489181</v>
      </c>
      <c r="F24" s="43"/>
      <c r="G24" s="89">
        <f>G22*G23</f>
        <v>-3602.0539689811417</v>
      </c>
      <c r="H24" s="625" t="s">
        <v>1126</v>
      </c>
      <c r="I24" s="4">
        <f t="shared" si="1"/>
        <v>14</v>
      </c>
    </row>
    <row r="25" spans="1:9" ht="16.5" thickTop="1" x14ac:dyDescent="0.25">
      <c r="A25" s="4">
        <f t="shared" si="0"/>
        <v>15</v>
      </c>
      <c r="I25" s="4">
        <f t="shared" si="1"/>
        <v>15</v>
      </c>
    </row>
    <row r="26" spans="1:9" x14ac:dyDescent="0.25">
      <c r="A26" s="4">
        <f t="shared" si="0"/>
        <v>16</v>
      </c>
      <c r="B26" s="31" t="s">
        <v>1115</v>
      </c>
      <c r="C26" s="90"/>
      <c r="D26" s="90"/>
      <c r="E26" s="90"/>
      <c r="F26" s="90"/>
      <c r="G26" s="91"/>
      <c r="H26" s="4"/>
      <c r="I26" s="4">
        <f t="shared" si="1"/>
        <v>16</v>
      </c>
    </row>
    <row r="27" spans="1:9" x14ac:dyDescent="0.25">
      <c r="A27" s="4">
        <f t="shared" si="0"/>
        <v>17</v>
      </c>
      <c r="B27" s="32" t="s">
        <v>1127</v>
      </c>
      <c r="C27" s="35">
        <v>-30615</v>
      </c>
      <c r="D27" s="35"/>
      <c r="E27" s="35">
        <v>-32888</v>
      </c>
      <c r="F27" s="35"/>
      <c r="G27" s="35">
        <f>(C27+E27)/2</f>
        <v>-31751.5</v>
      </c>
      <c r="H27" s="44" t="s">
        <v>258</v>
      </c>
      <c r="I27" s="4">
        <f t="shared" si="1"/>
        <v>17</v>
      </c>
    </row>
    <row r="28" spans="1:9" x14ac:dyDescent="0.25">
      <c r="A28" s="4">
        <f t="shared" si="0"/>
        <v>18</v>
      </c>
      <c r="B28" s="32" t="s">
        <v>1119</v>
      </c>
      <c r="C28" s="47">
        <f>C13</f>
        <v>0.14496229794727647</v>
      </c>
      <c r="D28" s="6"/>
      <c r="E28" s="47">
        <f>'AD-10'!$D$18*'True-Up Stmt AI'!$E$25</f>
        <v>0.14782215829064932</v>
      </c>
      <c r="F28" s="6"/>
      <c r="G28" s="47">
        <f>(C28+E28)/2</f>
        <v>0.14639222811896291</v>
      </c>
      <c r="H28" s="44" t="s">
        <v>1120</v>
      </c>
      <c r="I28" s="4">
        <f t="shared" si="1"/>
        <v>18</v>
      </c>
    </row>
    <row r="29" spans="1:9" ht="16.5" thickBot="1" x14ac:dyDescent="0.3">
      <c r="A29" s="4">
        <f t="shared" si="0"/>
        <v>19</v>
      </c>
      <c r="B29" s="340" t="s">
        <v>1128</v>
      </c>
      <c r="C29" s="89">
        <f>C27*C28</f>
        <v>-4438.0207516558694</v>
      </c>
      <c r="D29" s="6"/>
      <c r="E29" s="89">
        <f>E27*E28</f>
        <v>-4861.5751418628752</v>
      </c>
      <c r="F29" s="43"/>
      <c r="G29" s="89">
        <f>G27*G28</f>
        <v>-4648.172831119251</v>
      </c>
      <c r="H29" s="625" t="s">
        <v>24</v>
      </c>
      <c r="I29" s="4">
        <f t="shared" si="1"/>
        <v>19</v>
      </c>
    </row>
    <row r="30" spans="1:9" ht="16.5" thickTop="1" x14ac:dyDescent="0.25">
      <c r="B30" s="340"/>
      <c r="C30" s="43"/>
      <c r="D30" s="6"/>
      <c r="E30" s="43"/>
      <c r="F30" s="43"/>
      <c r="G30" s="43"/>
      <c r="H30" s="625"/>
    </row>
    <row r="32" spans="1:9" ht="18.75" x14ac:dyDescent="0.25">
      <c r="A32" s="262" t="s">
        <v>1129</v>
      </c>
      <c r="B32" s="31" t="s">
        <v>1130</v>
      </c>
    </row>
    <row r="33" spans="1:9" x14ac:dyDescent="0.25">
      <c r="A33" s="4" t="s">
        <v>1131</v>
      </c>
      <c r="B33" s="31" t="s">
        <v>1132</v>
      </c>
      <c r="C33" s="47">
        <v>0.73170000000000002</v>
      </c>
      <c r="E33" s="35"/>
      <c r="H33" s="626" t="s">
        <v>1506</v>
      </c>
      <c r="I33" s="4" t="s">
        <v>1131</v>
      </c>
    </row>
    <row r="34" spans="1:9" x14ac:dyDescent="0.25">
      <c r="A34" s="4" t="s">
        <v>1133</v>
      </c>
      <c r="B34" s="31" t="s">
        <v>233</v>
      </c>
      <c r="C34" s="47">
        <v>0.1981</v>
      </c>
      <c r="H34" s="4" t="s">
        <v>1507</v>
      </c>
      <c r="I34" s="4" t="s">
        <v>1133</v>
      </c>
    </row>
    <row r="35" spans="1:9" ht="16.5" thickBot="1" x14ac:dyDescent="0.3">
      <c r="A35" s="4" t="s">
        <v>1134</v>
      </c>
      <c r="B35" s="31" t="s">
        <v>1119</v>
      </c>
      <c r="C35" s="627">
        <f>C33*C34</f>
        <v>0.14494977000000001</v>
      </c>
      <c r="H35" s="4" t="s">
        <v>1135</v>
      </c>
      <c r="I35" s="4" t="s">
        <v>1134</v>
      </c>
    </row>
    <row r="36" spans="1:9" ht="16.5" thickTop="1" x14ac:dyDescent="0.25"/>
    <row r="37" spans="1:9" x14ac:dyDescent="0.25">
      <c r="A37"/>
      <c r="B37"/>
      <c r="C37"/>
    </row>
    <row r="38" spans="1:9" x14ac:dyDescent="0.25">
      <c r="H38" s="4"/>
      <c r="I38" s="31"/>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workbookViewId="0"/>
  </sheetViews>
  <sheetFormatPr defaultColWidth="9.28515625" defaultRowHeight="15.75" x14ac:dyDescent="0.25"/>
  <cols>
    <col min="1" max="1" width="5.28515625" style="341" customWidth="1"/>
    <col min="2" max="3" width="19.5703125" style="5" customWidth="1"/>
    <col min="4" max="5" width="20.7109375" style="5" customWidth="1"/>
    <col min="6" max="6" width="35.5703125" style="5" customWidth="1"/>
    <col min="7" max="7" width="20.7109375" style="5" customWidth="1"/>
    <col min="8" max="8" width="35.28515625" style="5" customWidth="1"/>
    <col min="9" max="9" width="5.28515625" style="341" customWidth="1"/>
    <col min="10" max="10" width="8.7109375" style="5" customWidth="1"/>
    <col min="11" max="11" width="9" style="5" customWidth="1"/>
    <col min="12" max="12" width="14" style="5" customWidth="1"/>
    <col min="13" max="13" width="13.28515625" style="5" customWidth="1"/>
    <col min="14" max="14" width="12.7109375" style="5" customWidth="1"/>
    <col min="15" max="15" width="13.5703125" style="5" customWidth="1"/>
    <col min="16" max="16" width="12.5703125" style="5" customWidth="1"/>
    <col min="17" max="16384" width="9.28515625" style="5"/>
  </cols>
  <sheetData>
    <row r="1" spans="1:13" x14ac:dyDescent="0.25">
      <c r="A1" s="341" t="s">
        <v>1863</v>
      </c>
      <c r="M1" s="162"/>
    </row>
    <row r="2" spans="1:13" x14ac:dyDescent="0.25">
      <c r="B2" s="1294" t="s">
        <v>0</v>
      </c>
      <c r="C2" s="1294"/>
      <c r="D2" s="1294"/>
      <c r="E2" s="1294"/>
      <c r="F2" s="1294"/>
      <c r="G2" s="1294"/>
      <c r="H2" s="1294"/>
      <c r="I2" s="218"/>
      <c r="J2" s="218"/>
      <c r="M2" s="162"/>
    </row>
    <row r="3" spans="1:13" x14ac:dyDescent="0.25">
      <c r="B3" s="1298" t="s">
        <v>1582</v>
      </c>
      <c r="C3" s="1298"/>
      <c r="D3" s="1298"/>
      <c r="E3" s="1298"/>
      <c r="F3" s="1298"/>
      <c r="G3" s="1298"/>
      <c r="H3" s="1298"/>
      <c r="I3" s="218"/>
      <c r="J3" s="218"/>
      <c r="M3" s="162"/>
    </row>
    <row r="4" spans="1:13" x14ac:dyDescent="0.25">
      <c r="B4" s="1300" t="str">
        <f>'True-Up'!B4</f>
        <v>For 12-Month True-Up Period January 1, 2023 Through December 31, 2023</v>
      </c>
      <c r="C4" s="1300"/>
      <c r="D4" s="1300"/>
      <c r="E4" s="1300"/>
      <c r="F4" s="1300"/>
      <c r="G4" s="1300"/>
      <c r="H4" s="1300"/>
      <c r="I4" s="218"/>
      <c r="J4" s="218"/>
      <c r="M4" s="162"/>
    </row>
    <row r="5" spans="1:13" x14ac:dyDescent="0.25">
      <c r="B5" s="1299" t="s">
        <v>4</v>
      </c>
      <c r="C5" s="1299"/>
      <c r="D5" s="1299"/>
      <c r="E5" s="1299"/>
      <c r="F5" s="1299"/>
      <c r="G5" s="1299"/>
      <c r="H5" s="1299"/>
      <c r="I5" s="218"/>
      <c r="J5" s="218"/>
    </row>
    <row r="6" spans="1:13" x14ac:dyDescent="0.25">
      <c r="A6" s="218"/>
      <c r="B6" s="218"/>
      <c r="C6" s="218"/>
      <c r="D6" s="218"/>
      <c r="E6" s="218"/>
      <c r="F6" s="218"/>
      <c r="G6" s="218"/>
      <c r="H6" s="218"/>
      <c r="I6" s="218"/>
      <c r="J6" s="218"/>
    </row>
    <row r="7" spans="1:13" x14ac:dyDescent="0.25">
      <c r="A7" s="4" t="s">
        <v>5</v>
      </c>
      <c r="B7" s="218"/>
      <c r="C7" s="218"/>
      <c r="D7" s="218"/>
      <c r="E7" s="218"/>
      <c r="F7" s="218"/>
      <c r="G7" s="218"/>
      <c r="H7" s="218"/>
      <c r="I7" s="4" t="s">
        <v>5</v>
      </c>
      <c r="J7" s="218"/>
    </row>
    <row r="8" spans="1:13" x14ac:dyDescent="0.25">
      <c r="A8" s="4" t="s">
        <v>6</v>
      </c>
      <c r="E8" s="488"/>
      <c r="I8" s="4" t="s">
        <v>6</v>
      </c>
      <c r="J8" s="474"/>
    </row>
    <row r="9" spans="1:13" x14ac:dyDescent="0.25">
      <c r="A9" s="474"/>
      <c r="E9" s="488"/>
      <c r="I9" s="474"/>
      <c r="J9" s="474"/>
    </row>
    <row r="10" spans="1:13" x14ac:dyDescent="0.25">
      <c r="A10" s="341">
        <v>1</v>
      </c>
      <c r="C10" s="490" t="s">
        <v>1139</v>
      </c>
      <c r="D10" s="490" t="s">
        <v>1140</v>
      </c>
      <c r="E10" s="490" t="s">
        <v>1141</v>
      </c>
      <c r="F10" s="490" t="s">
        <v>1142</v>
      </c>
      <c r="G10" s="490" t="s">
        <v>1143</v>
      </c>
      <c r="H10" s="490" t="s">
        <v>1144</v>
      </c>
      <c r="I10" s="341">
        <f>A10</f>
        <v>1</v>
      </c>
      <c r="J10" s="341"/>
    </row>
    <row r="11" spans="1:13" x14ac:dyDescent="0.25">
      <c r="A11" s="341">
        <f>A10+1</f>
        <v>2</v>
      </c>
      <c r="B11" s="342" t="s">
        <v>1262</v>
      </c>
      <c r="C11" s="490"/>
      <c r="D11" s="4"/>
      <c r="E11" s="4" t="s">
        <v>1355</v>
      </c>
      <c r="F11" s="4" t="s">
        <v>1356</v>
      </c>
      <c r="G11" s="34" t="s">
        <v>1357</v>
      </c>
      <c r="H11" s="34" t="s">
        <v>1358</v>
      </c>
      <c r="I11" s="341">
        <f>I10+1</f>
        <v>2</v>
      </c>
      <c r="J11" s="341"/>
    </row>
    <row r="12" spans="1:13" x14ac:dyDescent="0.25">
      <c r="A12" s="341">
        <f t="shared" ref="A12:A28" si="0">A11+1</f>
        <v>3</v>
      </c>
      <c r="C12" s="490"/>
      <c r="D12" s="490"/>
      <c r="E12" s="490"/>
      <c r="F12" s="218"/>
      <c r="G12" s="490"/>
      <c r="H12" s="490"/>
      <c r="I12" s="341">
        <f t="shared" ref="I12:I28" si="1">I11+1</f>
        <v>3</v>
      </c>
      <c r="J12" s="341"/>
    </row>
    <row r="13" spans="1:13" x14ac:dyDescent="0.25">
      <c r="A13" s="341">
        <f t="shared" si="0"/>
        <v>4</v>
      </c>
      <c r="C13" s="218"/>
      <c r="D13" s="218" t="s">
        <v>1359</v>
      </c>
      <c r="E13" s="218" t="s">
        <v>1271</v>
      </c>
      <c r="F13" s="218" t="s">
        <v>1360</v>
      </c>
      <c r="H13" s="218" t="s">
        <v>1360</v>
      </c>
      <c r="I13" s="341">
        <f t="shared" si="1"/>
        <v>4</v>
      </c>
      <c r="J13" s="341"/>
    </row>
    <row r="14" spans="1:13" x14ac:dyDescent="0.25">
      <c r="A14" s="341">
        <f t="shared" si="0"/>
        <v>5</v>
      </c>
      <c r="C14" s="218"/>
      <c r="D14" s="218" t="s">
        <v>1361</v>
      </c>
      <c r="E14" s="218" t="s">
        <v>1278</v>
      </c>
      <c r="F14" s="218" t="s">
        <v>1362</v>
      </c>
      <c r="G14" s="218"/>
      <c r="H14" s="218" t="s">
        <v>1362</v>
      </c>
      <c r="I14" s="341">
        <f t="shared" si="1"/>
        <v>5</v>
      </c>
      <c r="J14" s="341"/>
    </row>
    <row r="15" spans="1:13" ht="18.75" x14ac:dyDescent="0.25">
      <c r="A15" s="341">
        <f t="shared" si="0"/>
        <v>6</v>
      </c>
      <c r="B15" s="254" t="s">
        <v>255</v>
      </c>
      <c r="C15" s="254" t="s">
        <v>1280</v>
      </c>
      <c r="D15" s="254" t="s">
        <v>1363</v>
      </c>
      <c r="E15" s="254" t="s">
        <v>685</v>
      </c>
      <c r="F15" s="254" t="s">
        <v>1286</v>
      </c>
      <c r="G15" s="502" t="s">
        <v>1278</v>
      </c>
      <c r="H15" s="254" t="s">
        <v>1287</v>
      </c>
      <c r="I15" s="341">
        <f t="shared" si="1"/>
        <v>6</v>
      </c>
      <c r="J15" s="341"/>
    </row>
    <row r="16" spans="1:13" x14ac:dyDescent="0.25">
      <c r="A16" s="341">
        <f t="shared" si="0"/>
        <v>7</v>
      </c>
      <c r="B16" s="32" t="s">
        <v>1288</v>
      </c>
      <c r="C16" s="491" t="str">
        <f>'True-Up'!C23</f>
        <v>2023</v>
      </c>
      <c r="D16" s="151">
        <v>-81600.269564864153</v>
      </c>
      <c r="E16" s="152">
        <f>'True-Up'!J23</f>
        <v>5.4000000000000003E-3</v>
      </c>
      <c r="F16" s="141">
        <f>D16</f>
        <v>-81600.269564864153</v>
      </c>
      <c r="G16" s="141">
        <f>((F16))*E16</f>
        <v>-440.64145565026644</v>
      </c>
      <c r="H16" s="141">
        <f t="shared" ref="H16:H27" si="2">F16+G16</f>
        <v>-82040.911020514424</v>
      </c>
      <c r="I16" s="341">
        <f t="shared" si="1"/>
        <v>7</v>
      </c>
      <c r="J16" s="341"/>
    </row>
    <row r="17" spans="1:10" x14ac:dyDescent="0.25">
      <c r="A17" s="341">
        <f t="shared" si="0"/>
        <v>8</v>
      </c>
      <c r="B17" s="32" t="s">
        <v>1289</v>
      </c>
      <c r="C17" s="491" t="str">
        <f>$C$16</f>
        <v>2023</v>
      </c>
      <c r="D17" s="153"/>
      <c r="E17" s="152">
        <f>'True-Up'!J24</f>
        <v>4.7999999999999996E-3</v>
      </c>
      <c r="F17" s="145">
        <f>H16</f>
        <v>-82040.911020514424</v>
      </c>
      <c r="G17" s="145">
        <f t="shared" ref="G17:G27" si="3">((H16+F17)/2)*E17</f>
        <v>-393.7963728984692</v>
      </c>
      <c r="H17" s="145">
        <f t="shared" si="2"/>
        <v>-82434.7073934129</v>
      </c>
      <c r="I17" s="341">
        <f t="shared" si="1"/>
        <v>8</v>
      </c>
      <c r="J17" s="341"/>
    </row>
    <row r="18" spans="1:10" x14ac:dyDescent="0.25">
      <c r="A18" s="341">
        <f t="shared" si="0"/>
        <v>9</v>
      </c>
      <c r="B18" s="32" t="s">
        <v>1330</v>
      </c>
      <c r="C18" s="491" t="str">
        <f t="shared" ref="C18:C27" si="4">$C$16</f>
        <v>2023</v>
      </c>
      <c r="D18" s="153"/>
      <c r="E18" s="152">
        <f>'True-Up'!J25</f>
        <v>5.4000000000000003E-3</v>
      </c>
      <c r="F18" s="145">
        <f>H17</f>
        <v>-82434.7073934129</v>
      </c>
      <c r="G18" s="145">
        <f t="shared" si="3"/>
        <v>-445.1474199244297</v>
      </c>
      <c r="H18" s="145">
        <f t="shared" si="2"/>
        <v>-82879.854813337326</v>
      </c>
      <c r="I18" s="341">
        <f t="shared" si="1"/>
        <v>9</v>
      </c>
      <c r="J18" s="341"/>
    </row>
    <row r="19" spans="1:10" x14ac:dyDescent="0.25">
      <c r="A19" s="341">
        <f t="shared" si="0"/>
        <v>10</v>
      </c>
      <c r="B19" s="32" t="s">
        <v>1331</v>
      </c>
      <c r="C19" s="491" t="str">
        <f t="shared" si="4"/>
        <v>2023</v>
      </c>
      <c r="D19" s="153"/>
      <c r="E19" s="152">
        <f>'True-Up'!J26</f>
        <v>6.1999999999999998E-3</v>
      </c>
      <c r="F19" s="145">
        <f t="shared" ref="F19:F27" si="5">H18</f>
        <v>-82879.854813337326</v>
      </c>
      <c r="G19" s="145">
        <f t="shared" si="3"/>
        <v>-513.8550998426914</v>
      </c>
      <c r="H19" s="145">
        <f t="shared" si="2"/>
        <v>-83393.709913180021</v>
      </c>
      <c r="I19" s="341">
        <f t="shared" si="1"/>
        <v>10</v>
      </c>
      <c r="J19" s="341"/>
    </row>
    <row r="20" spans="1:10" x14ac:dyDescent="0.25">
      <c r="A20" s="341">
        <f t="shared" si="0"/>
        <v>11</v>
      </c>
      <c r="B20" s="32" t="s">
        <v>263</v>
      </c>
      <c r="C20" s="491" t="str">
        <f t="shared" si="4"/>
        <v>2023</v>
      </c>
      <c r="D20" s="153"/>
      <c r="E20" s="152">
        <f>'True-Up'!J27</f>
        <v>6.4000000000000003E-3</v>
      </c>
      <c r="F20" s="145">
        <f t="shared" si="5"/>
        <v>-83393.709913180021</v>
      </c>
      <c r="G20" s="145">
        <f t="shared" si="3"/>
        <v>-533.71974344435216</v>
      </c>
      <c r="H20" s="145">
        <f t="shared" si="2"/>
        <v>-83927.429656624372</v>
      </c>
      <c r="I20" s="341">
        <f t="shared" si="1"/>
        <v>11</v>
      </c>
      <c r="J20" s="341"/>
    </row>
    <row r="21" spans="1:10" x14ac:dyDescent="0.25">
      <c r="A21" s="341">
        <f t="shared" si="0"/>
        <v>12</v>
      </c>
      <c r="B21" s="32" t="s">
        <v>1364</v>
      </c>
      <c r="C21" s="491" t="str">
        <f t="shared" si="4"/>
        <v>2023</v>
      </c>
      <c r="D21" s="153"/>
      <c r="E21" s="152">
        <f>'True-Up'!J28</f>
        <v>6.1999999999999998E-3</v>
      </c>
      <c r="F21" s="145">
        <f t="shared" si="5"/>
        <v>-83927.429656624372</v>
      </c>
      <c r="G21" s="145">
        <f t="shared" si="3"/>
        <v>-520.35006387107114</v>
      </c>
      <c r="H21" s="145">
        <f t="shared" si="2"/>
        <v>-84447.77972049544</v>
      </c>
      <c r="I21" s="341">
        <f t="shared" si="1"/>
        <v>12</v>
      </c>
      <c r="J21" s="341"/>
    </row>
    <row r="22" spans="1:10" x14ac:dyDescent="0.25">
      <c r="A22" s="341">
        <f t="shared" si="0"/>
        <v>13</v>
      </c>
      <c r="B22" s="32" t="s">
        <v>1333</v>
      </c>
      <c r="C22" s="491" t="str">
        <f t="shared" si="4"/>
        <v>2023</v>
      </c>
      <c r="D22" s="153"/>
      <c r="E22" s="152">
        <f>'True-Up'!J29</f>
        <v>6.7999999999999996E-3</v>
      </c>
      <c r="F22" s="145">
        <f t="shared" si="5"/>
        <v>-84447.77972049544</v>
      </c>
      <c r="G22" s="145">
        <f t="shared" si="3"/>
        <v>-574.24490209936891</v>
      </c>
      <c r="H22" s="145">
        <f t="shared" si="2"/>
        <v>-85022.024622594807</v>
      </c>
      <c r="I22" s="341">
        <f t="shared" si="1"/>
        <v>13</v>
      </c>
      <c r="J22" s="341"/>
    </row>
    <row r="23" spans="1:10" x14ac:dyDescent="0.25">
      <c r="A23" s="341">
        <f t="shared" si="0"/>
        <v>14</v>
      </c>
      <c r="B23" s="32" t="s">
        <v>1334</v>
      </c>
      <c r="C23" s="491" t="str">
        <f t="shared" si="4"/>
        <v>2023</v>
      </c>
      <c r="D23" s="153"/>
      <c r="E23" s="152">
        <f>'True-Up'!J30</f>
        <v>6.7999999999999996E-3</v>
      </c>
      <c r="F23" s="145">
        <f t="shared" si="5"/>
        <v>-85022.024622594807</v>
      </c>
      <c r="G23" s="145">
        <f t="shared" si="3"/>
        <v>-578.14976743364468</v>
      </c>
      <c r="H23" s="145">
        <f t="shared" si="2"/>
        <v>-85600.174390028449</v>
      </c>
      <c r="I23" s="341">
        <f t="shared" si="1"/>
        <v>14</v>
      </c>
      <c r="J23" s="341"/>
    </row>
    <row r="24" spans="1:10" x14ac:dyDescent="0.25">
      <c r="A24" s="341">
        <f t="shared" si="0"/>
        <v>15</v>
      </c>
      <c r="B24" s="32" t="s">
        <v>1335</v>
      </c>
      <c r="C24" s="491" t="str">
        <f t="shared" si="4"/>
        <v>2023</v>
      </c>
      <c r="D24" s="153"/>
      <c r="E24" s="152">
        <f>'True-Up'!J31</f>
        <v>6.6E-3</v>
      </c>
      <c r="F24" s="145">
        <f t="shared" si="5"/>
        <v>-85600.174390028449</v>
      </c>
      <c r="G24" s="145">
        <f t="shared" si="3"/>
        <v>-564.96115097418772</v>
      </c>
      <c r="H24" s="145">
        <f t="shared" si="2"/>
        <v>-86165.13554100263</v>
      </c>
      <c r="I24" s="341">
        <f t="shared" si="1"/>
        <v>15</v>
      </c>
      <c r="J24" s="341"/>
    </row>
    <row r="25" spans="1:10" x14ac:dyDescent="0.25">
      <c r="A25" s="341">
        <f t="shared" si="0"/>
        <v>16</v>
      </c>
      <c r="B25" s="32" t="s">
        <v>1336</v>
      </c>
      <c r="C25" s="491" t="str">
        <f t="shared" si="4"/>
        <v>2023</v>
      </c>
      <c r="D25" s="153"/>
      <c r="E25" s="152">
        <f>'True-Up'!J32</f>
        <v>7.1000000000000004E-3</v>
      </c>
      <c r="F25" s="145">
        <f t="shared" si="5"/>
        <v>-86165.13554100263</v>
      </c>
      <c r="G25" s="145">
        <f t="shared" si="3"/>
        <v>-611.77246234111874</v>
      </c>
      <c r="H25" s="145">
        <f t="shared" si="2"/>
        <v>-86776.908003343749</v>
      </c>
      <c r="I25" s="341">
        <f t="shared" si="1"/>
        <v>16</v>
      </c>
      <c r="J25" s="341"/>
    </row>
    <row r="26" spans="1:10" x14ac:dyDescent="0.25">
      <c r="A26" s="341">
        <f t="shared" si="0"/>
        <v>17</v>
      </c>
      <c r="B26" s="32" t="s">
        <v>1337</v>
      </c>
      <c r="C26" s="491" t="str">
        <f t="shared" si="4"/>
        <v>2023</v>
      </c>
      <c r="D26" s="153"/>
      <c r="E26" s="152">
        <f>'True-Up'!J33</f>
        <v>6.8999999999999999E-3</v>
      </c>
      <c r="F26" s="145">
        <f t="shared" si="5"/>
        <v>-86776.908003343749</v>
      </c>
      <c r="G26" s="145">
        <f t="shared" si="3"/>
        <v>-598.7606652230719</v>
      </c>
      <c r="H26" s="145">
        <f t="shared" si="2"/>
        <v>-87375.668668566825</v>
      </c>
      <c r="I26" s="341">
        <f t="shared" si="1"/>
        <v>17</v>
      </c>
      <c r="J26" s="341"/>
    </row>
    <row r="27" spans="1:10" x14ac:dyDescent="0.25">
      <c r="A27" s="341">
        <f t="shared" si="0"/>
        <v>18</v>
      </c>
      <c r="B27" s="1059" t="s">
        <v>1338</v>
      </c>
      <c r="C27" s="1060" t="str">
        <f t="shared" si="4"/>
        <v>2023</v>
      </c>
      <c r="D27" s="1065"/>
      <c r="E27" s="1066">
        <f>'True-Up'!J34</f>
        <v>7.1000000000000004E-3</v>
      </c>
      <c r="F27" s="1061">
        <f t="shared" si="5"/>
        <v>-87375.668668566825</v>
      </c>
      <c r="G27" s="1061">
        <f t="shared" si="3"/>
        <v>-620.3672475468245</v>
      </c>
      <c r="H27" s="1061">
        <f t="shared" si="2"/>
        <v>-87996.035916113644</v>
      </c>
      <c r="I27" s="341">
        <f t="shared" si="1"/>
        <v>18</v>
      </c>
      <c r="J27" s="341"/>
    </row>
    <row r="28" spans="1:10" ht="16.5" thickBot="1" x14ac:dyDescent="0.3">
      <c r="A28" s="341">
        <f t="shared" si="0"/>
        <v>19</v>
      </c>
      <c r="B28" s="32"/>
      <c r="C28" s="491"/>
      <c r="D28" s="153"/>
      <c r="E28" s="154"/>
      <c r="F28" s="155"/>
      <c r="G28" s="156">
        <f>SUM(G16:G27)</f>
        <v>-6395.7663512494964</v>
      </c>
      <c r="H28" s="155"/>
      <c r="I28" s="341">
        <f t="shared" si="1"/>
        <v>19</v>
      </c>
      <c r="J28" s="341"/>
    </row>
    <row r="29" spans="1:10" ht="16.5" thickTop="1" x14ac:dyDescent="0.25">
      <c r="B29" s="32"/>
      <c r="C29" s="491"/>
      <c r="D29" s="153"/>
      <c r="E29" s="154"/>
      <c r="F29" s="155"/>
      <c r="G29" s="155"/>
      <c r="H29" s="155"/>
      <c r="J29" s="341"/>
    </row>
    <row r="30" spans="1:10" x14ac:dyDescent="0.25">
      <c r="B30" s="32"/>
      <c r="C30" s="491"/>
      <c r="D30" s="160"/>
      <c r="E30" s="153"/>
      <c r="F30" s="488"/>
      <c r="G30" s="154"/>
      <c r="H30" s="494"/>
      <c r="I30" s="583"/>
      <c r="J30" s="494"/>
    </row>
    <row r="31" spans="1:10" ht="18.75" x14ac:dyDescent="0.25">
      <c r="A31" s="253">
        <v>1</v>
      </c>
      <c r="B31" s="32" t="s">
        <v>1365</v>
      </c>
      <c r="C31" s="491"/>
      <c r="D31" s="160"/>
      <c r="E31" s="153"/>
      <c r="F31" s="488"/>
      <c r="G31" s="154"/>
      <c r="H31" s="494"/>
      <c r="I31" s="583"/>
      <c r="J31" s="494"/>
    </row>
    <row r="32" spans="1:10" ht="18.75" x14ac:dyDescent="0.25">
      <c r="A32" s="479">
        <v>2</v>
      </c>
      <c r="B32" s="32" t="s">
        <v>1305</v>
      </c>
      <c r="C32" s="491"/>
      <c r="D32" s="160"/>
      <c r="E32" s="153"/>
      <c r="F32" s="488"/>
      <c r="G32" s="154"/>
      <c r="H32" s="494"/>
      <c r="I32" s="583"/>
      <c r="J32" s="494"/>
    </row>
    <row r="33" spans="1:10" ht="18.75" x14ac:dyDescent="0.25">
      <c r="A33" s="253">
        <v>3</v>
      </c>
      <c r="B33" s="5" t="s">
        <v>1366</v>
      </c>
      <c r="C33" s="491"/>
      <c r="D33" s="160"/>
      <c r="E33" s="153"/>
      <c r="F33" s="488"/>
      <c r="G33" s="154"/>
      <c r="H33" s="494"/>
      <c r="I33" s="583"/>
      <c r="J33" s="494"/>
    </row>
    <row r="34" spans="1:10" ht="18.75" x14ac:dyDescent="0.25">
      <c r="A34" s="253">
        <v>4</v>
      </c>
      <c r="B34" s="5" t="s">
        <v>1367</v>
      </c>
    </row>
    <row r="35" spans="1:10" x14ac:dyDescent="0.25">
      <c r="B35" s="5" t="s">
        <v>1368</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customProperties>
    <customPr name="_pios_id" r:id="rId2"/>
  </customPropertie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workbookViewId="0"/>
  </sheetViews>
  <sheetFormatPr defaultColWidth="9.28515625" defaultRowHeight="15.75" x14ac:dyDescent="0.25"/>
  <cols>
    <col min="1" max="1" width="5.28515625" style="5" customWidth="1"/>
    <col min="2" max="3" width="21.42578125" style="5" customWidth="1"/>
    <col min="4" max="9" width="22" style="5" customWidth="1"/>
    <col min="10" max="10" width="5.28515625" style="341" customWidth="1"/>
    <col min="11" max="11" width="14" style="5" customWidth="1"/>
    <col min="12" max="12" width="13.28515625" style="5" customWidth="1"/>
    <col min="13" max="13" width="12.7109375" style="5" customWidth="1"/>
    <col min="14" max="14" width="13.5703125" style="5" customWidth="1"/>
    <col min="15" max="15" width="12.5703125" style="5" customWidth="1"/>
    <col min="16" max="16384" width="9.28515625" style="5"/>
  </cols>
  <sheetData>
    <row r="1" spans="1:10" x14ac:dyDescent="0.25">
      <c r="A1" s="483"/>
      <c r="B1" s="340"/>
      <c r="C1" s="465"/>
      <c r="D1" s="495"/>
      <c r="E1" s="496"/>
      <c r="F1" s="497"/>
      <c r="G1" s="498"/>
      <c r="H1" s="499"/>
      <c r="I1" s="499"/>
      <c r="J1" s="500"/>
    </row>
    <row r="2" spans="1:10" x14ac:dyDescent="0.25">
      <c r="B2" s="1296" t="s">
        <v>0</v>
      </c>
      <c r="C2" s="1296"/>
      <c r="D2" s="1296"/>
      <c r="E2" s="1296"/>
      <c r="F2" s="1296"/>
      <c r="G2" s="1296"/>
      <c r="H2" s="1296"/>
      <c r="I2" s="1296"/>
      <c r="J2" s="483"/>
    </row>
    <row r="3" spans="1:10" x14ac:dyDescent="0.25">
      <c r="B3" s="1340" t="str">
        <f>'Interest TU BP'!B3</f>
        <v>TO6-Cycle 1 Interest True-Up Adjustment</v>
      </c>
      <c r="C3" s="1340"/>
      <c r="D3" s="1340"/>
      <c r="E3" s="1340"/>
      <c r="F3" s="1340"/>
      <c r="G3" s="1340"/>
      <c r="H3" s="1340"/>
      <c r="I3" s="1340"/>
      <c r="J3" s="483"/>
    </row>
    <row r="4" spans="1:10" x14ac:dyDescent="0.25">
      <c r="B4" s="1340" t="str">
        <f>'True-Up'!B4</f>
        <v>For 12-Month True-Up Period January 1, 2023 Through December 31, 2023</v>
      </c>
      <c r="C4" s="1340"/>
      <c r="D4" s="1340"/>
      <c r="E4" s="1340"/>
      <c r="F4" s="1340"/>
      <c r="G4" s="1340"/>
      <c r="H4" s="1340"/>
      <c r="I4" s="1340"/>
      <c r="J4" s="483"/>
    </row>
    <row r="5" spans="1:10" x14ac:dyDescent="0.25">
      <c r="B5" s="1318" t="s">
        <v>4</v>
      </c>
      <c r="C5" s="1318"/>
      <c r="D5" s="1318"/>
      <c r="E5" s="1318"/>
      <c r="F5" s="1318"/>
      <c r="G5" s="1318"/>
      <c r="H5" s="1318"/>
      <c r="I5" s="1318"/>
      <c r="J5" s="483"/>
    </row>
    <row r="6" spans="1:10" x14ac:dyDescent="0.25">
      <c r="A6" s="483"/>
      <c r="B6" s="483"/>
      <c r="C6" s="483"/>
      <c r="D6" s="483"/>
      <c r="E6" s="483"/>
      <c r="F6" s="483"/>
      <c r="G6" s="483"/>
      <c r="H6" s="483"/>
      <c r="I6" s="483"/>
      <c r="J6" s="483"/>
    </row>
    <row r="7" spans="1:10" x14ac:dyDescent="0.25">
      <c r="A7" s="4" t="s">
        <v>5</v>
      </c>
      <c r="B7" s="32"/>
      <c r="C7" s="491"/>
      <c r="D7" s="160"/>
      <c r="E7" s="153"/>
      <c r="F7" s="488"/>
      <c r="G7" s="154"/>
      <c r="H7" s="494"/>
      <c r="I7" s="494"/>
      <c r="J7" s="4" t="s">
        <v>5</v>
      </c>
    </row>
    <row r="8" spans="1:10" x14ac:dyDescent="0.25">
      <c r="A8" s="4" t="s">
        <v>6</v>
      </c>
      <c r="B8" s="32"/>
      <c r="C8" s="491"/>
      <c r="D8" s="160"/>
      <c r="E8" s="153"/>
      <c r="F8" s="488"/>
      <c r="G8" s="154"/>
      <c r="H8" s="494"/>
      <c r="I8" s="494"/>
      <c r="J8" s="4" t="s">
        <v>6</v>
      </c>
    </row>
    <row r="9" spans="1:10" x14ac:dyDescent="0.25">
      <c r="B9" s="32"/>
      <c r="C9" s="491"/>
      <c r="D9" s="160"/>
      <c r="E9" s="153"/>
      <c r="F9" s="488"/>
      <c r="G9" s="154"/>
      <c r="H9" s="494"/>
      <c r="I9" s="494"/>
    </row>
    <row r="10" spans="1:10" x14ac:dyDescent="0.25">
      <c r="A10" s="341">
        <v>1</v>
      </c>
      <c r="C10" s="490" t="s">
        <v>1139</v>
      </c>
      <c r="D10" s="490" t="s">
        <v>1140</v>
      </c>
      <c r="E10" s="490" t="s">
        <v>1141</v>
      </c>
      <c r="F10" s="490" t="s">
        <v>1142</v>
      </c>
      <c r="G10" s="490" t="s">
        <v>1143</v>
      </c>
      <c r="H10" s="490" t="s">
        <v>1144</v>
      </c>
      <c r="I10" s="490" t="s">
        <v>1145</v>
      </c>
      <c r="J10" s="341">
        <f>A10</f>
        <v>1</v>
      </c>
    </row>
    <row r="11" spans="1:10" x14ac:dyDescent="0.25">
      <c r="A11" s="341">
        <f>A10+1</f>
        <v>2</v>
      </c>
      <c r="C11" s="490"/>
      <c r="D11" s="4"/>
      <c r="E11" s="4" t="s">
        <v>1355</v>
      </c>
      <c r="F11" s="4" t="s">
        <v>1356</v>
      </c>
      <c r="G11" s="34" t="s">
        <v>1369</v>
      </c>
      <c r="H11" s="34" t="s">
        <v>1370</v>
      </c>
      <c r="I11" s="34" t="s">
        <v>1371</v>
      </c>
      <c r="J11" s="341">
        <f>J10+1</f>
        <v>2</v>
      </c>
    </row>
    <row r="12" spans="1:10" x14ac:dyDescent="0.25">
      <c r="A12" s="341">
        <f t="shared" ref="A12:A32" si="0">A11+1</f>
        <v>3</v>
      </c>
      <c r="C12" s="490"/>
      <c r="D12" s="4"/>
      <c r="E12" s="4"/>
      <c r="F12" s="483"/>
      <c r="I12" s="490"/>
      <c r="J12" s="341">
        <f t="shared" ref="J12:J32" si="1">J11+1</f>
        <v>3</v>
      </c>
    </row>
    <row r="13" spans="1:10" x14ac:dyDescent="0.25">
      <c r="A13" s="341">
        <f t="shared" si="0"/>
        <v>4</v>
      </c>
      <c r="B13" s="32"/>
      <c r="C13" s="491"/>
      <c r="D13" s="218" t="s">
        <v>1271</v>
      </c>
      <c r="E13" s="500" t="s">
        <v>255</v>
      </c>
      <c r="F13" s="483"/>
      <c r="I13" s="262" t="s">
        <v>255</v>
      </c>
      <c r="J13" s="341">
        <f t="shared" si="1"/>
        <v>4</v>
      </c>
    </row>
    <row r="14" spans="1:10" x14ac:dyDescent="0.25">
      <c r="A14" s="341">
        <f t="shared" si="0"/>
        <v>5</v>
      </c>
      <c r="C14" s="491"/>
      <c r="D14" s="218" t="s">
        <v>1278</v>
      </c>
      <c r="E14" s="500" t="s">
        <v>1372</v>
      </c>
      <c r="F14" s="483"/>
      <c r="I14" s="262" t="s">
        <v>1373</v>
      </c>
      <c r="J14" s="341">
        <f t="shared" si="1"/>
        <v>5</v>
      </c>
    </row>
    <row r="15" spans="1:10" ht="18.75" x14ac:dyDescent="0.25">
      <c r="A15" s="341">
        <f t="shared" si="0"/>
        <v>6</v>
      </c>
      <c r="B15" s="254" t="s">
        <v>255</v>
      </c>
      <c r="C15" s="254" t="s">
        <v>1280</v>
      </c>
      <c r="D15" s="254" t="s">
        <v>1374</v>
      </c>
      <c r="E15" s="501" t="s">
        <v>336</v>
      </c>
      <c r="F15" s="502" t="s">
        <v>1375</v>
      </c>
      <c r="G15" s="254" t="s">
        <v>1376</v>
      </c>
      <c r="H15" s="254" t="s">
        <v>1278</v>
      </c>
      <c r="I15" s="490" t="s">
        <v>336</v>
      </c>
      <c r="J15" s="341">
        <f t="shared" si="1"/>
        <v>6</v>
      </c>
    </row>
    <row r="16" spans="1:10" x14ac:dyDescent="0.25">
      <c r="A16" s="341">
        <f t="shared" si="0"/>
        <v>7</v>
      </c>
      <c r="B16" s="32" t="s">
        <v>1288</v>
      </c>
      <c r="C16" s="491">
        <f>IFERROR(('True-Up'!C23+1),"xxxx")</f>
        <v>2024</v>
      </c>
      <c r="D16" s="152">
        <f>AVERAGE('True-Up'!J23:J34)</f>
        <v>6.3083333333333333E-3</v>
      </c>
      <c r="E16" s="157">
        <f>'Interest TU BP'!H27</f>
        <v>-87996.035916113644</v>
      </c>
      <c r="F16" s="142">
        <f>IFERROR(-E16/(((1+D16)^12-1)/(D16*(1+D16)^12)),0)</f>
        <v>7637.1529062276923</v>
      </c>
      <c r="G16" s="142">
        <f>-(F16+H16)</f>
        <v>-7082.0445796568756</v>
      </c>
      <c r="H16" s="142">
        <f>E16*D16</f>
        <v>-555.10832657081687</v>
      </c>
      <c r="I16" s="158">
        <f>E16-G16</f>
        <v>-80913.991336456762</v>
      </c>
      <c r="J16" s="341">
        <f t="shared" si="1"/>
        <v>7</v>
      </c>
    </row>
    <row r="17" spans="1:13" x14ac:dyDescent="0.25">
      <c r="A17" s="341">
        <f t="shared" si="0"/>
        <v>8</v>
      </c>
      <c r="B17" s="32" t="s">
        <v>1289</v>
      </c>
      <c r="C17" s="491">
        <f>$C$16</f>
        <v>2024</v>
      </c>
      <c r="D17" s="154">
        <f t="shared" ref="D17:D27" si="2">$D$16</f>
        <v>6.3083333333333333E-3</v>
      </c>
      <c r="E17" s="145">
        <f>I16</f>
        <v>-80913.991336456762</v>
      </c>
      <c r="F17" s="116">
        <f>IFERROR(-E16/(((1+D16)^12-1)/(D16*(1+D16)^12)),0)</f>
        <v>7637.1529062276923</v>
      </c>
      <c r="G17" s="116">
        <f t="shared" ref="G17:G27" si="3">-(F17+H17)</f>
        <v>-7126.7204775468772</v>
      </c>
      <c r="H17" s="116">
        <f>E17*D17</f>
        <v>-510.43242868081472</v>
      </c>
      <c r="I17" s="159">
        <f>E17-G17</f>
        <v>-73787.270858909891</v>
      </c>
      <c r="J17" s="341">
        <f t="shared" si="1"/>
        <v>8</v>
      </c>
      <c r="L17" s="493"/>
    </row>
    <row r="18" spans="1:13" x14ac:dyDescent="0.25">
      <c r="A18" s="341">
        <f t="shared" si="0"/>
        <v>9</v>
      </c>
      <c r="B18" s="32" t="s">
        <v>1330</v>
      </c>
      <c r="C18" s="491">
        <f t="shared" ref="C18:C27" si="4">$C$16</f>
        <v>2024</v>
      </c>
      <c r="D18" s="154">
        <f t="shared" si="2"/>
        <v>6.3083333333333333E-3</v>
      </c>
      <c r="E18" s="145">
        <f t="shared" ref="E18:E27" si="5">I17</f>
        <v>-73787.270858909891</v>
      </c>
      <c r="F18" s="116">
        <f>IFERROR(-E16/(((1+D16)^12-1)/(D16*(1+D16)^12)),0)</f>
        <v>7637.1529062276923</v>
      </c>
      <c r="G18" s="116">
        <f t="shared" si="3"/>
        <v>-7171.6782058927356</v>
      </c>
      <c r="H18" s="116">
        <f t="shared" ref="H18:H27" si="6">E18*D18</f>
        <v>-465.47470033495654</v>
      </c>
      <c r="I18" s="159">
        <f t="shared" ref="I18:I26" si="7">E18-G18</f>
        <v>-66615.592653017156</v>
      </c>
      <c r="J18" s="341">
        <f t="shared" si="1"/>
        <v>9</v>
      </c>
    </row>
    <row r="19" spans="1:13" x14ac:dyDescent="0.25">
      <c r="A19" s="341">
        <f t="shared" si="0"/>
        <v>10</v>
      </c>
      <c r="B19" s="32" t="s">
        <v>1331</v>
      </c>
      <c r="C19" s="491">
        <f t="shared" si="4"/>
        <v>2024</v>
      </c>
      <c r="D19" s="154">
        <f t="shared" si="2"/>
        <v>6.3083333333333333E-3</v>
      </c>
      <c r="E19" s="145">
        <f t="shared" si="5"/>
        <v>-66615.592653017156</v>
      </c>
      <c r="F19" s="116">
        <f>IFERROR(-E16/(((1+D16)^12-1)/(D16*(1+D16)^12)),0)</f>
        <v>7637.1529062276923</v>
      </c>
      <c r="G19" s="116">
        <f t="shared" si="3"/>
        <v>-7216.9195425749094</v>
      </c>
      <c r="H19" s="116">
        <f t="shared" si="6"/>
        <v>-420.23336365278323</v>
      </c>
      <c r="I19" s="159">
        <f t="shared" si="7"/>
        <v>-59398.673110442251</v>
      </c>
      <c r="J19" s="341">
        <f t="shared" si="1"/>
        <v>10</v>
      </c>
    </row>
    <row r="20" spans="1:13" x14ac:dyDescent="0.25">
      <c r="A20" s="341">
        <f t="shared" si="0"/>
        <v>11</v>
      </c>
      <c r="B20" s="32" t="s">
        <v>263</v>
      </c>
      <c r="C20" s="491">
        <f t="shared" si="4"/>
        <v>2024</v>
      </c>
      <c r="D20" s="154">
        <f t="shared" si="2"/>
        <v>6.3083333333333333E-3</v>
      </c>
      <c r="E20" s="145">
        <f t="shared" si="5"/>
        <v>-59398.673110442251</v>
      </c>
      <c r="F20" s="116">
        <f>IFERROR(-E16/(((1+D16)^12-1)/(D16*(1+D16)^12)),0)</f>
        <v>7637.1529062276923</v>
      </c>
      <c r="G20" s="116">
        <f t="shared" si="3"/>
        <v>-7262.4462766893193</v>
      </c>
      <c r="H20" s="116">
        <f t="shared" si="6"/>
        <v>-374.70662953837319</v>
      </c>
      <c r="I20" s="159">
        <f t="shared" si="7"/>
        <v>-52136.226833752931</v>
      </c>
      <c r="J20" s="341">
        <f t="shared" si="1"/>
        <v>11</v>
      </c>
    </row>
    <row r="21" spans="1:13" x14ac:dyDescent="0.25">
      <c r="A21" s="341">
        <f t="shared" si="0"/>
        <v>12</v>
      </c>
      <c r="B21" s="32" t="s">
        <v>1332</v>
      </c>
      <c r="C21" s="491">
        <f t="shared" si="4"/>
        <v>2024</v>
      </c>
      <c r="D21" s="154">
        <f t="shared" si="2"/>
        <v>6.3083333333333333E-3</v>
      </c>
      <c r="E21" s="145">
        <f t="shared" si="5"/>
        <v>-52136.226833752931</v>
      </c>
      <c r="F21" s="116">
        <f>IFERROR(-E16/(((1+D16)^12-1)/(D16*(1+D16)^12)),0)</f>
        <v>7637.1529062276923</v>
      </c>
      <c r="G21" s="116">
        <f t="shared" si="3"/>
        <v>-7308.2602086181005</v>
      </c>
      <c r="H21" s="116">
        <f t="shared" si="6"/>
        <v>-328.89269760959138</v>
      </c>
      <c r="I21" s="159">
        <f t="shared" si="7"/>
        <v>-44827.966625134832</v>
      </c>
      <c r="J21" s="341">
        <f t="shared" si="1"/>
        <v>12</v>
      </c>
    </row>
    <row r="22" spans="1:13" x14ac:dyDescent="0.25">
      <c r="A22" s="341">
        <f t="shared" si="0"/>
        <v>13</v>
      </c>
      <c r="B22" s="32" t="s">
        <v>1333</v>
      </c>
      <c r="C22" s="491">
        <f t="shared" si="4"/>
        <v>2024</v>
      </c>
      <c r="D22" s="154">
        <f t="shared" si="2"/>
        <v>6.3083333333333333E-3</v>
      </c>
      <c r="E22" s="145">
        <f t="shared" si="5"/>
        <v>-44827.966625134832</v>
      </c>
      <c r="F22" s="116">
        <f>IFERROR(-E16/(((1+D16)^12-1)/(D16*(1+D16)^12)),0)</f>
        <v>7637.1529062276923</v>
      </c>
      <c r="G22" s="116">
        <f t="shared" si="3"/>
        <v>-7354.3631501008003</v>
      </c>
      <c r="H22" s="116">
        <f t="shared" si="6"/>
        <v>-282.78975612689226</v>
      </c>
      <c r="I22" s="159">
        <f t="shared" si="7"/>
        <v>-37473.603475034033</v>
      </c>
      <c r="J22" s="341">
        <f t="shared" si="1"/>
        <v>13</v>
      </c>
    </row>
    <row r="23" spans="1:13" x14ac:dyDescent="0.25">
      <c r="A23" s="341">
        <f t="shared" si="0"/>
        <v>14</v>
      </c>
      <c r="B23" s="32" t="s">
        <v>1334</v>
      </c>
      <c r="C23" s="491">
        <f t="shared" si="4"/>
        <v>2024</v>
      </c>
      <c r="D23" s="154">
        <f t="shared" si="2"/>
        <v>6.3083333333333333E-3</v>
      </c>
      <c r="E23" s="145">
        <f t="shared" si="5"/>
        <v>-37473.603475034033</v>
      </c>
      <c r="F23" s="116">
        <f>IFERROR(-E16/(((1+D16)^12-1)/(D16*(1+D16)^12)),0)</f>
        <v>7637.1529062276923</v>
      </c>
      <c r="G23" s="116">
        <f t="shared" si="3"/>
        <v>-7400.7569243060188</v>
      </c>
      <c r="H23" s="116">
        <f t="shared" si="6"/>
        <v>-236.39598192167301</v>
      </c>
      <c r="I23" s="159">
        <f t="shared" si="7"/>
        <v>-30072.846550728013</v>
      </c>
      <c r="J23" s="341">
        <f t="shared" si="1"/>
        <v>14</v>
      </c>
    </row>
    <row r="24" spans="1:13" x14ac:dyDescent="0.25">
      <c r="A24" s="341">
        <f t="shared" si="0"/>
        <v>15</v>
      </c>
      <c r="B24" s="32" t="s">
        <v>1335</v>
      </c>
      <c r="C24" s="491">
        <f t="shared" si="4"/>
        <v>2024</v>
      </c>
      <c r="D24" s="154">
        <f t="shared" si="2"/>
        <v>6.3083333333333333E-3</v>
      </c>
      <c r="E24" s="145">
        <f t="shared" si="5"/>
        <v>-30072.846550728013</v>
      </c>
      <c r="F24" s="116">
        <f>IFERROR(-E16/(((1+D16)^12-1)/(D16*(1+D16)^12)),0)</f>
        <v>7637.1529062276923</v>
      </c>
      <c r="G24" s="116">
        <f t="shared" si="3"/>
        <v>-7447.4433659035167</v>
      </c>
      <c r="H24" s="116">
        <f t="shared" si="6"/>
        <v>-189.70954032417589</v>
      </c>
      <c r="I24" s="159">
        <f t="shared" si="7"/>
        <v>-22625.403184824496</v>
      </c>
      <c r="J24" s="341">
        <f t="shared" si="1"/>
        <v>15</v>
      </c>
      <c r="K24" s="489"/>
    </row>
    <row r="25" spans="1:13" x14ac:dyDescent="0.25">
      <c r="A25" s="341">
        <f t="shared" si="0"/>
        <v>16</v>
      </c>
      <c r="B25" s="32" t="s">
        <v>1336</v>
      </c>
      <c r="C25" s="491">
        <f t="shared" si="4"/>
        <v>2024</v>
      </c>
      <c r="D25" s="154">
        <f t="shared" si="2"/>
        <v>6.3083333333333333E-3</v>
      </c>
      <c r="E25" s="145">
        <f t="shared" si="5"/>
        <v>-22625.403184824496</v>
      </c>
      <c r="F25" s="116">
        <f>IFERROR(-E16/(((1+D16)^12-1)/(D16*(1+D16)^12)),0)</f>
        <v>7637.1529062276923</v>
      </c>
      <c r="G25" s="116">
        <f t="shared" si="3"/>
        <v>-7494.4243211367575</v>
      </c>
      <c r="H25" s="116">
        <f t="shared" si="6"/>
        <v>-142.72858509093453</v>
      </c>
      <c r="I25" s="159">
        <f t="shared" si="7"/>
        <v>-15130.978863687738</v>
      </c>
      <c r="J25" s="341">
        <f t="shared" si="1"/>
        <v>16</v>
      </c>
      <c r="K25" s="489"/>
      <c r="M25" s="154"/>
    </row>
    <row r="26" spans="1:13" x14ac:dyDescent="0.25">
      <c r="A26" s="341">
        <f t="shared" si="0"/>
        <v>17</v>
      </c>
      <c r="B26" s="32" t="s">
        <v>1337</v>
      </c>
      <c r="C26" s="491">
        <f t="shared" si="4"/>
        <v>2024</v>
      </c>
      <c r="D26" s="154">
        <f t="shared" si="2"/>
        <v>6.3083333333333333E-3</v>
      </c>
      <c r="E26" s="145">
        <f t="shared" si="5"/>
        <v>-15130.978863687738</v>
      </c>
      <c r="F26" s="116">
        <f>IFERROR(-E16/(((1+D16)^12-1)/(D16*(1+D16)^12)),0)</f>
        <v>7637.1529062276923</v>
      </c>
      <c r="G26" s="116">
        <f t="shared" si="3"/>
        <v>-7541.7016478959285</v>
      </c>
      <c r="H26" s="116">
        <f t="shared" si="6"/>
        <v>-95.451258331763484</v>
      </c>
      <c r="I26" s="159">
        <f t="shared" si="7"/>
        <v>-7589.2772157918098</v>
      </c>
      <c r="J26" s="341">
        <f t="shared" si="1"/>
        <v>17</v>
      </c>
      <c r="K26" s="489"/>
    </row>
    <row r="27" spans="1:13" x14ac:dyDescent="0.25">
      <c r="A27" s="341">
        <f t="shared" si="0"/>
        <v>18</v>
      </c>
      <c r="B27" s="1059" t="s">
        <v>1338</v>
      </c>
      <c r="C27" s="1060">
        <f t="shared" si="4"/>
        <v>2024</v>
      </c>
      <c r="D27" s="1067">
        <f t="shared" si="2"/>
        <v>6.3083333333333333E-3</v>
      </c>
      <c r="E27" s="1061">
        <f t="shared" si="5"/>
        <v>-7589.2772157918098</v>
      </c>
      <c r="F27" s="1062">
        <f>IFERROR(-E16/(((1+D16)^12-1)/(D16*(1+D16)^12)),0)</f>
        <v>7637.1529062276923</v>
      </c>
      <c r="G27" s="1062">
        <f t="shared" si="3"/>
        <v>-7589.277215791406</v>
      </c>
      <c r="H27" s="1062">
        <f t="shared" si="6"/>
        <v>-47.875690436286668</v>
      </c>
      <c r="I27" s="1068">
        <f>E27-G27</f>
        <v>-4.0381564758718014E-10</v>
      </c>
      <c r="J27" s="341">
        <f t="shared" si="1"/>
        <v>18</v>
      </c>
    </row>
    <row r="28" spans="1:13" ht="16.5" thickBot="1" x14ac:dyDescent="0.3">
      <c r="A28" s="341">
        <f t="shared" si="0"/>
        <v>19</v>
      </c>
      <c r="B28" s="32"/>
      <c r="C28" s="491"/>
      <c r="D28" s="160"/>
      <c r="E28" s="161"/>
      <c r="F28" s="162"/>
      <c r="H28" s="147">
        <f>SUM(H16:H27)</f>
        <v>-3649.7989586190629</v>
      </c>
      <c r="I28" s="162"/>
      <c r="J28" s="341">
        <f t="shared" si="1"/>
        <v>19</v>
      </c>
    </row>
    <row r="29" spans="1:13" ht="16.5" thickTop="1" x14ac:dyDescent="0.25">
      <c r="A29" s="341">
        <f t="shared" si="0"/>
        <v>20</v>
      </c>
      <c r="B29" s="32"/>
      <c r="C29" s="491"/>
      <c r="D29" s="161"/>
      <c r="E29" s="162"/>
      <c r="F29" s="162"/>
      <c r="G29" s="162"/>
      <c r="H29" s="155"/>
      <c r="I29" s="155"/>
      <c r="J29" s="341">
        <f t="shared" si="1"/>
        <v>20</v>
      </c>
      <c r="K29" s="162"/>
    </row>
    <row r="30" spans="1:13" x14ac:dyDescent="0.25">
      <c r="A30" s="341">
        <f t="shared" si="0"/>
        <v>21</v>
      </c>
      <c r="B30" s="5" t="s">
        <v>1377</v>
      </c>
      <c r="D30" s="140">
        <f>'True-Up'!M34</f>
        <v>-8527.3914643811295</v>
      </c>
      <c r="E30" s="503" t="s">
        <v>1378</v>
      </c>
      <c r="F30" s="504"/>
      <c r="G30" s="504"/>
      <c r="J30" s="341">
        <f t="shared" si="1"/>
        <v>21</v>
      </c>
    </row>
    <row r="31" spans="1:13" x14ac:dyDescent="0.25">
      <c r="A31" s="341">
        <f t="shared" si="0"/>
        <v>22</v>
      </c>
      <c r="B31" s="5" t="s">
        <v>1379</v>
      </c>
      <c r="D31" s="1069">
        <f>'Interest TU BP'!G28+'Interest TU CY'!H28</f>
        <v>-10045.56530986856</v>
      </c>
      <c r="E31" s="505" t="s">
        <v>1380</v>
      </c>
      <c r="F31" s="504"/>
      <c r="G31" s="504"/>
      <c r="J31" s="341">
        <f t="shared" si="1"/>
        <v>22</v>
      </c>
    </row>
    <row r="32" spans="1:13" x14ac:dyDescent="0.25">
      <c r="A32" s="341">
        <f t="shared" si="0"/>
        <v>23</v>
      </c>
      <c r="B32" s="5" t="s">
        <v>177</v>
      </c>
      <c r="D32" s="35">
        <f>D30+D31</f>
        <v>-18572.956774249687</v>
      </c>
      <c r="F32" s="504"/>
      <c r="G32" s="504"/>
      <c r="J32" s="341">
        <f t="shared" si="1"/>
        <v>23</v>
      </c>
    </row>
    <row r="33" spans="1:2" x14ac:dyDescent="0.25">
      <c r="A33" s="341"/>
    </row>
    <row r="34" spans="1:2" x14ac:dyDescent="0.25">
      <c r="A34" s="341"/>
    </row>
    <row r="35" spans="1:2" ht="18.75" x14ac:dyDescent="0.25">
      <c r="A35" s="253">
        <v>1</v>
      </c>
      <c r="B35" s="5" t="s">
        <v>1381</v>
      </c>
    </row>
    <row r="36" spans="1:2" ht="18.75" x14ac:dyDescent="0.25">
      <c r="A36" s="253">
        <v>2</v>
      </c>
      <c r="B36" s="5" t="s">
        <v>1382</v>
      </c>
    </row>
    <row r="37" spans="1:2" ht="18.75" x14ac:dyDescent="0.25">
      <c r="A37" s="253"/>
      <c r="B37" s="5" t="s">
        <v>1383</v>
      </c>
    </row>
    <row r="38" spans="1:2" ht="18.75" x14ac:dyDescent="0.25">
      <c r="A38" s="253">
        <v>3</v>
      </c>
      <c r="B38" s="5" t="s">
        <v>1384</v>
      </c>
    </row>
    <row r="39" spans="1:2" x14ac:dyDescent="0.25">
      <c r="B39" s="5" t="s">
        <v>1385</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customProperties>
    <customPr name="_pios_id" r:id="rId2"/>
  </customPropertie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zoomScale="70" zoomScaleNormal="70" workbookViewId="0">
      <selection activeCell="H39" sqref="H39"/>
    </sheetView>
  </sheetViews>
  <sheetFormatPr defaultColWidth="9.28515625" defaultRowHeight="15.75" x14ac:dyDescent="0.25"/>
  <cols>
    <col min="1" max="1" width="5.28515625" style="1" customWidth="1"/>
    <col min="2" max="2" width="76.7109375" style="1" customWidth="1"/>
    <col min="3" max="3" width="2.28515625" style="1" customWidth="1"/>
    <col min="4" max="6" width="31.7109375" style="168" customWidth="1"/>
    <col min="7" max="7" width="5.28515625" style="1" customWidth="1"/>
    <col min="8" max="16384" width="9.28515625" style="1"/>
  </cols>
  <sheetData>
    <row r="2" spans="1:7" x14ac:dyDescent="0.25">
      <c r="B2" s="1294" t="s">
        <v>0</v>
      </c>
      <c r="C2" s="1294"/>
      <c r="D2" s="1294"/>
      <c r="E2" s="1294"/>
      <c r="F2" s="1294"/>
      <c r="G2" s="31"/>
    </row>
    <row r="3" spans="1:7" x14ac:dyDescent="0.25">
      <c r="B3" s="1294" t="s">
        <v>1386</v>
      </c>
      <c r="C3" s="1294"/>
      <c r="D3" s="1294"/>
      <c r="E3" s="1294"/>
      <c r="F3" s="1294"/>
      <c r="G3" s="31"/>
    </row>
    <row r="4" spans="1:7" x14ac:dyDescent="0.25">
      <c r="B4" s="1294" t="s">
        <v>1484</v>
      </c>
      <c r="C4" s="1294"/>
      <c r="D4" s="1294"/>
      <c r="E4" s="1294"/>
      <c r="F4" s="1294"/>
      <c r="G4" s="31"/>
    </row>
    <row r="5" spans="1:7" x14ac:dyDescent="0.25">
      <c r="B5" s="1299" t="s">
        <v>4</v>
      </c>
      <c r="C5" s="1299"/>
      <c r="D5" s="1299"/>
      <c r="E5" s="1299"/>
      <c r="F5" s="1299"/>
      <c r="G5" s="31"/>
    </row>
    <row r="6" spans="1:7" x14ac:dyDescent="0.25">
      <c r="B6" s="262"/>
      <c r="C6" s="262"/>
      <c r="D6" s="4"/>
      <c r="E6" s="4"/>
      <c r="F6" s="218"/>
      <c r="G6" s="31"/>
    </row>
    <row r="7" spans="1:7" ht="16.5" thickBot="1" x14ac:dyDescent="0.3">
      <c r="B7" s="218"/>
      <c r="C7" s="218"/>
      <c r="D7" s="218" t="s">
        <v>1387</v>
      </c>
      <c r="E7" s="218" t="s">
        <v>185</v>
      </c>
      <c r="F7" s="218" t="s">
        <v>1388</v>
      </c>
    </row>
    <row r="8" spans="1:7" s="248" customFormat="1" x14ac:dyDescent="0.25">
      <c r="A8" s="4" t="s">
        <v>5</v>
      </c>
      <c r="B8" s="508"/>
      <c r="C8" s="456"/>
      <c r="D8" s="509" t="s">
        <v>1389</v>
      </c>
      <c r="E8" s="510" t="s">
        <v>1390</v>
      </c>
      <c r="F8" s="511" t="s">
        <v>1391</v>
      </c>
      <c r="G8" s="4" t="s">
        <v>5</v>
      </c>
    </row>
    <row r="9" spans="1:7" s="248" customFormat="1" ht="16.5" thickBot="1" x14ac:dyDescent="0.3">
      <c r="A9" s="4" t="s">
        <v>6</v>
      </c>
      <c r="B9" s="512" t="s">
        <v>1392</v>
      </c>
      <c r="C9" s="891"/>
      <c r="D9" s="513" t="s">
        <v>177</v>
      </c>
      <c r="E9" s="1070" t="s">
        <v>1393</v>
      </c>
      <c r="F9" s="514" t="s">
        <v>1394</v>
      </c>
      <c r="G9" s="4" t="s">
        <v>6</v>
      </c>
    </row>
    <row r="10" spans="1:7" x14ac:dyDescent="0.25">
      <c r="B10" s="515"/>
      <c r="D10" s="167"/>
      <c r="F10" s="167"/>
    </row>
    <row r="11" spans="1:7" x14ac:dyDescent="0.25">
      <c r="A11" s="4">
        <v>1</v>
      </c>
      <c r="B11" s="516" t="s">
        <v>1519</v>
      </c>
      <c r="D11" s="163">
        <f>E11+F11</f>
        <v>120319.05171999999</v>
      </c>
      <c r="E11" s="163">
        <v>47040.401676202702</v>
      </c>
      <c r="F11" s="673">
        <v>73278.650043797286</v>
      </c>
      <c r="G11" s="4">
        <f>A11</f>
        <v>1</v>
      </c>
    </row>
    <row r="12" spans="1:7" x14ac:dyDescent="0.25">
      <c r="A12" s="4">
        <f>A11+1</f>
        <v>2</v>
      </c>
      <c r="B12" s="516" t="s">
        <v>1520</v>
      </c>
      <c r="D12" s="164">
        <f t="shared" ref="D12:D32" si="0">E12+F12</f>
        <v>231455.75004000004</v>
      </c>
      <c r="E12" s="6">
        <v>231455.75004000004</v>
      </c>
      <c r="F12" s="164">
        <v>0</v>
      </c>
      <c r="G12" s="4">
        <f>G11+1</f>
        <v>2</v>
      </c>
    </row>
    <row r="13" spans="1:7" x14ac:dyDescent="0.25">
      <c r="A13" s="4">
        <f t="shared" ref="A13:A18" si="1">A12+1</f>
        <v>3</v>
      </c>
      <c r="B13" s="516" t="s">
        <v>1521</v>
      </c>
      <c r="D13" s="164">
        <f t="shared" si="0"/>
        <v>59410.912830000001</v>
      </c>
      <c r="E13" s="6">
        <v>9006.8877699999939</v>
      </c>
      <c r="F13" s="164">
        <v>50404.025060000007</v>
      </c>
      <c r="G13" s="4">
        <f t="shared" ref="G13:G19" si="2">G12+1</f>
        <v>3</v>
      </c>
    </row>
    <row r="14" spans="1:7" x14ac:dyDescent="0.25">
      <c r="A14" s="4">
        <f t="shared" si="1"/>
        <v>4</v>
      </c>
      <c r="B14" s="516" t="s">
        <v>1522</v>
      </c>
      <c r="D14" s="164">
        <f t="shared" si="0"/>
        <v>38295.002849999997</v>
      </c>
      <c r="E14" s="6">
        <v>20704.355125163016</v>
      </c>
      <c r="F14" s="164">
        <v>17590.647724836981</v>
      </c>
      <c r="G14" s="4">
        <f t="shared" si="2"/>
        <v>4</v>
      </c>
    </row>
    <row r="15" spans="1:7" x14ac:dyDescent="0.25">
      <c r="A15" s="4">
        <f t="shared" si="1"/>
        <v>5</v>
      </c>
      <c r="B15" s="516" t="s">
        <v>1523</v>
      </c>
      <c r="D15" s="164">
        <f t="shared" si="0"/>
        <v>267791.19254999998</v>
      </c>
      <c r="E15" s="6">
        <v>7500.1800839469779</v>
      </c>
      <c r="F15" s="164">
        <v>260291.01246605298</v>
      </c>
      <c r="G15" s="4">
        <f t="shared" si="2"/>
        <v>5</v>
      </c>
    </row>
    <row r="16" spans="1:7" x14ac:dyDescent="0.25">
      <c r="A16" s="4">
        <f t="shared" si="1"/>
        <v>6</v>
      </c>
      <c r="B16" s="516" t="s">
        <v>1524</v>
      </c>
      <c r="D16" s="164">
        <f t="shared" si="0"/>
        <v>231633.55212999991</v>
      </c>
      <c r="E16" s="6">
        <v>22327.626623187458</v>
      </c>
      <c r="F16" s="164">
        <v>209305.92550681246</v>
      </c>
      <c r="G16" s="4">
        <f t="shared" si="2"/>
        <v>6</v>
      </c>
    </row>
    <row r="17" spans="1:7" x14ac:dyDescent="0.25">
      <c r="A17" s="4">
        <f t="shared" si="1"/>
        <v>7</v>
      </c>
      <c r="B17" s="516" t="s">
        <v>1525</v>
      </c>
      <c r="D17" s="164">
        <f t="shared" si="0"/>
        <v>85088.203368248069</v>
      </c>
      <c r="E17" s="6">
        <v>28406.337630906688</v>
      </c>
      <c r="F17" s="164">
        <v>56681.865737341381</v>
      </c>
      <c r="G17" s="4">
        <f t="shared" si="2"/>
        <v>7</v>
      </c>
    </row>
    <row r="18" spans="1:7" x14ac:dyDescent="0.25">
      <c r="A18" s="4">
        <f t="shared" si="1"/>
        <v>8</v>
      </c>
      <c r="B18" s="516" t="s">
        <v>1526</v>
      </c>
      <c r="D18" s="164">
        <f t="shared" si="0"/>
        <v>22785.928099999997</v>
      </c>
      <c r="E18" s="6">
        <v>0</v>
      </c>
      <c r="F18" s="164">
        <v>22785.928099999997</v>
      </c>
      <c r="G18" s="4">
        <f t="shared" si="2"/>
        <v>8</v>
      </c>
    </row>
    <row r="19" spans="1:7" x14ac:dyDescent="0.25">
      <c r="A19" s="4">
        <f t="shared" ref="A19:A32" si="3">A18+1</f>
        <v>9</v>
      </c>
      <c r="B19" s="517" t="s">
        <v>1527</v>
      </c>
      <c r="C19" s="518"/>
      <c r="D19" s="164">
        <f>E19+F19</f>
        <v>12682.362810000001</v>
      </c>
      <c r="E19" s="6">
        <v>0</v>
      </c>
      <c r="F19" s="164">
        <v>12682.362810000001</v>
      </c>
      <c r="G19" s="4">
        <f t="shared" si="2"/>
        <v>9</v>
      </c>
    </row>
    <row r="20" spans="1:7" x14ac:dyDescent="0.25">
      <c r="A20" s="4">
        <f t="shared" si="3"/>
        <v>10</v>
      </c>
      <c r="B20" s="516" t="s">
        <v>1528</v>
      </c>
      <c r="D20" s="164">
        <f t="shared" si="0"/>
        <v>15205.503480000001</v>
      </c>
      <c r="E20" s="6">
        <v>0</v>
      </c>
      <c r="F20" s="164">
        <v>15205.503480000001</v>
      </c>
      <c r="G20" s="4">
        <f t="shared" ref="G20:G32" si="4">G19+1</f>
        <v>10</v>
      </c>
    </row>
    <row r="21" spans="1:7" x14ac:dyDescent="0.25">
      <c r="A21" s="4">
        <f t="shared" si="3"/>
        <v>11</v>
      </c>
      <c r="B21" s="517" t="s">
        <v>1529</v>
      </c>
      <c r="C21" s="518"/>
      <c r="D21" s="164">
        <f t="shared" si="0"/>
        <v>47103.941870000002</v>
      </c>
      <c r="E21" s="6">
        <v>0</v>
      </c>
      <c r="F21" s="164">
        <v>47103.941870000002</v>
      </c>
      <c r="G21" s="4">
        <f t="shared" si="4"/>
        <v>11</v>
      </c>
    </row>
    <row r="22" spans="1:7" x14ac:dyDescent="0.25">
      <c r="A22" s="4">
        <f t="shared" si="3"/>
        <v>12</v>
      </c>
      <c r="B22" s="517" t="s">
        <v>1530</v>
      </c>
      <c r="C22" s="518"/>
      <c r="D22" s="164">
        <f t="shared" si="0"/>
        <v>19571.430899999992</v>
      </c>
      <c r="E22" s="6">
        <v>12512.868015123528</v>
      </c>
      <c r="F22" s="164">
        <v>7058.5628848764636</v>
      </c>
      <c r="G22" s="4">
        <f t="shared" si="4"/>
        <v>12</v>
      </c>
    </row>
    <row r="23" spans="1:7" x14ac:dyDescent="0.25">
      <c r="A23" s="4">
        <f t="shared" si="3"/>
        <v>13</v>
      </c>
      <c r="B23" s="517" t="s">
        <v>1531</v>
      </c>
      <c r="C23" s="518"/>
      <c r="D23" s="164">
        <f t="shared" si="0"/>
        <v>23351.986460000007</v>
      </c>
      <c r="E23" s="6">
        <v>23.775786968979943</v>
      </c>
      <c r="F23" s="164">
        <v>23328.210673031026</v>
      </c>
      <c r="G23" s="4">
        <f t="shared" si="4"/>
        <v>13</v>
      </c>
    </row>
    <row r="24" spans="1:7" x14ac:dyDescent="0.25">
      <c r="A24" s="4">
        <f t="shared" si="3"/>
        <v>14</v>
      </c>
      <c r="B24" s="516" t="s">
        <v>1532</v>
      </c>
      <c r="D24" s="164">
        <f t="shared" si="0"/>
        <v>2822.3125149999996</v>
      </c>
      <c r="E24" s="6">
        <v>2269.0169849999997</v>
      </c>
      <c r="F24" s="164">
        <v>553.29552999999999</v>
      </c>
      <c r="G24" s="4">
        <f t="shared" si="4"/>
        <v>14</v>
      </c>
    </row>
    <row r="25" spans="1:7" x14ac:dyDescent="0.25">
      <c r="A25" s="4">
        <f t="shared" si="3"/>
        <v>15</v>
      </c>
      <c r="B25" s="517" t="s">
        <v>1533</v>
      </c>
      <c r="C25" s="518"/>
      <c r="D25" s="164">
        <f t="shared" si="0"/>
        <v>28950.187130000006</v>
      </c>
      <c r="E25" s="6">
        <v>0</v>
      </c>
      <c r="F25" s="164">
        <v>28950.187130000006</v>
      </c>
      <c r="G25" s="4">
        <f t="shared" si="4"/>
        <v>15</v>
      </c>
    </row>
    <row r="26" spans="1:7" x14ac:dyDescent="0.25">
      <c r="A26" s="4">
        <f t="shared" si="3"/>
        <v>16</v>
      </c>
      <c r="B26" s="516" t="s">
        <v>1534</v>
      </c>
      <c r="D26" s="164">
        <f t="shared" si="0"/>
        <v>11480.972740000003</v>
      </c>
      <c r="E26" s="6">
        <v>0</v>
      </c>
      <c r="F26" s="164">
        <v>11480.972740000003</v>
      </c>
      <c r="G26" s="4">
        <f t="shared" si="4"/>
        <v>16</v>
      </c>
    </row>
    <row r="27" spans="1:7" x14ac:dyDescent="0.25">
      <c r="A27" s="4">
        <f t="shared" si="3"/>
        <v>17</v>
      </c>
      <c r="B27" s="516" t="s">
        <v>1535</v>
      </c>
      <c r="D27" s="164">
        <f t="shared" si="0"/>
        <v>76076.578229999985</v>
      </c>
      <c r="E27" s="6">
        <v>26637.134499999989</v>
      </c>
      <c r="F27" s="164">
        <v>49439.443729999999</v>
      </c>
      <c r="G27" s="4">
        <f t="shared" si="4"/>
        <v>17</v>
      </c>
    </row>
    <row r="28" spans="1:7" x14ac:dyDescent="0.25">
      <c r="A28" s="4">
        <f t="shared" si="3"/>
        <v>18</v>
      </c>
      <c r="B28" s="517" t="s">
        <v>1536</v>
      </c>
      <c r="C28" s="518"/>
      <c r="D28" s="164">
        <f t="shared" si="0"/>
        <v>220661.06507499999</v>
      </c>
      <c r="E28" s="6">
        <v>64517.753202254804</v>
      </c>
      <c r="F28" s="164">
        <v>156143.31187274519</v>
      </c>
      <c r="G28" s="4">
        <f t="shared" si="4"/>
        <v>18</v>
      </c>
    </row>
    <row r="29" spans="1:7" x14ac:dyDescent="0.25">
      <c r="A29" s="4">
        <f t="shared" si="3"/>
        <v>19</v>
      </c>
      <c r="B29" s="517" t="s">
        <v>1537</v>
      </c>
      <c r="C29" s="518"/>
      <c r="D29" s="164">
        <f t="shared" si="0"/>
        <v>140844.42959999997</v>
      </c>
      <c r="E29" s="6">
        <v>766.50379582083656</v>
      </c>
      <c r="F29" s="164">
        <v>140077.92580417913</v>
      </c>
      <c r="G29" s="4">
        <f t="shared" si="4"/>
        <v>19</v>
      </c>
    </row>
    <row r="30" spans="1:7" x14ac:dyDescent="0.25">
      <c r="A30" s="4">
        <f t="shared" si="3"/>
        <v>20</v>
      </c>
      <c r="B30" s="519" t="s">
        <v>1538</v>
      </c>
      <c r="C30" s="340"/>
      <c r="D30" s="164">
        <f t="shared" si="0"/>
        <v>76558.115669999999</v>
      </c>
      <c r="E30" s="6">
        <v>37357.097153955736</v>
      </c>
      <c r="F30" s="164">
        <v>39201.018516044271</v>
      </c>
      <c r="G30" s="4">
        <f t="shared" si="4"/>
        <v>20</v>
      </c>
    </row>
    <row r="31" spans="1:7" x14ac:dyDescent="0.25">
      <c r="A31" s="4">
        <f t="shared" si="3"/>
        <v>21</v>
      </c>
      <c r="B31" s="519" t="s">
        <v>1539</v>
      </c>
      <c r="C31" s="340"/>
      <c r="D31" s="164">
        <f t="shared" si="0"/>
        <v>244337.97505999991</v>
      </c>
      <c r="E31" s="6">
        <v>0</v>
      </c>
      <c r="F31" s="164">
        <v>244337.97505999991</v>
      </c>
      <c r="G31" s="4">
        <f t="shared" si="4"/>
        <v>21</v>
      </c>
    </row>
    <row r="32" spans="1:7" x14ac:dyDescent="0.25">
      <c r="A32" s="4">
        <f t="shared" si="3"/>
        <v>22</v>
      </c>
      <c r="B32" s="519" t="s">
        <v>1540</v>
      </c>
      <c r="C32" s="340"/>
      <c r="D32" s="164">
        <f t="shared" si="0"/>
        <v>95570.578890000092</v>
      </c>
      <c r="E32" s="6">
        <v>47221.981492863059</v>
      </c>
      <c r="F32" s="164">
        <v>48348.597397137026</v>
      </c>
      <c r="G32" s="4">
        <f t="shared" si="4"/>
        <v>22</v>
      </c>
    </row>
    <row r="33" spans="1:11" x14ac:dyDescent="0.25">
      <c r="A33" s="4">
        <f>A32+1</f>
        <v>23</v>
      </c>
      <c r="B33" s="519" t="s">
        <v>1541</v>
      </c>
      <c r="C33" s="340"/>
      <c r="D33" s="164">
        <f>E33+F33</f>
        <v>142199.22138999996</v>
      </c>
      <c r="E33" s="6">
        <v>81199.647809775546</v>
      </c>
      <c r="F33" s="164">
        <v>60999.573580224423</v>
      </c>
      <c r="G33" s="4">
        <f>G32+1</f>
        <v>23</v>
      </c>
    </row>
    <row r="34" spans="1:11" x14ac:dyDescent="0.25">
      <c r="A34" s="4">
        <f t="shared" ref="A34:A47" si="5">A33+1</f>
        <v>24</v>
      </c>
      <c r="B34" s="519" t="s">
        <v>1542</v>
      </c>
      <c r="C34" s="340"/>
      <c r="D34" s="164">
        <f>E34+F34</f>
        <v>692441.70126647269</v>
      </c>
      <c r="E34" s="6">
        <v>692441.70126647269</v>
      </c>
      <c r="F34" s="164">
        <v>0</v>
      </c>
      <c r="G34" s="4">
        <f t="shared" ref="G34:G47" si="6">G33+1</f>
        <v>24</v>
      </c>
    </row>
    <row r="35" spans="1:11" ht="16.5" thickBot="1" x14ac:dyDescent="0.3">
      <c r="A35" s="4">
        <f t="shared" si="5"/>
        <v>25</v>
      </c>
      <c r="B35" s="515"/>
      <c r="D35" s="165"/>
      <c r="E35" s="1071"/>
      <c r="F35" s="165"/>
      <c r="G35" s="4">
        <f t="shared" si="6"/>
        <v>25</v>
      </c>
    </row>
    <row r="36" spans="1:11" x14ac:dyDescent="0.25">
      <c r="A36" s="4">
        <f t="shared" si="5"/>
        <v>26</v>
      </c>
      <c r="B36" s="515" t="s">
        <v>1395</v>
      </c>
      <c r="D36" s="166">
        <f>SUM(D11:D34)</f>
        <v>2906637.9566747206</v>
      </c>
      <c r="E36" s="43">
        <f>SUM(E11:E34)</f>
        <v>1331389.0189576419</v>
      </c>
      <c r="F36" s="166">
        <f>SUM(F11:F34)</f>
        <v>1575248.9377170785</v>
      </c>
      <c r="G36" s="4">
        <f t="shared" si="6"/>
        <v>26</v>
      </c>
    </row>
    <row r="37" spans="1:11" x14ac:dyDescent="0.25">
      <c r="A37" s="4">
        <f t="shared" si="5"/>
        <v>27</v>
      </c>
      <c r="B37" s="515"/>
      <c r="D37" s="167"/>
      <c r="F37" s="167"/>
      <c r="G37" s="4">
        <f t="shared" si="6"/>
        <v>27</v>
      </c>
    </row>
    <row r="38" spans="1:11" s="31" customFormat="1" ht="18.75" x14ac:dyDescent="0.25">
      <c r="A38" s="4">
        <f t="shared" si="5"/>
        <v>28</v>
      </c>
      <c r="B38" s="516" t="s">
        <v>1396</v>
      </c>
      <c r="D38" s="164">
        <f>SUM(E38:F38)</f>
        <v>4713989.7320100013</v>
      </c>
      <c r="E38" s="6">
        <v>2502420.1478883005</v>
      </c>
      <c r="F38" s="164">
        <v>2211569.5841217004</v>
      </c>
      <c r="G38" s="4">
        <f t="shared" si="6"/>
        <v>28</v>
      </c>
      <c r="I38" s="6"/>
    </row>
    <row r="39" spans="1:11" s="31" customFormat="1" x14ac:dyDescent="0.25">
      <c r="A39" s="4">
        <f t="shared" si="5"/>
        <v>29</v>
      </c>
      <c r="B39" s="516"/>
      <c r="D39" s="164"/>
      <c r="E39" s="6"/>
      <c r="F39" s="164"/>
      <c r="G39" s="4">
        <f t="shared" si="6"/>
        <v>29</v>
      </c>
    </row>
    <row r="40" spans="1:11" s="31" customFormat="1" x14ac:dyDescent="0.25">
      <c r="A40" s="4">
        <f t="shared" si="5"/>
        <v>30</v>
      </c>
      <c r="B40" s="516" t="s">
        <v>1397</v>
      </c>
      <c r="D40" s="164">
        <v>611771.96979999996</v>
      </c>
      <c r="E40" s="164">
        <f>D40*E44</f>
        <v>307772.15232823492</v>
      </c>
      <c r="F40" s="164">
        <f>D40*F44</f>
        <v>303999.81747176498</v>
      </c>
      <c r="G40" s="4">
        <f t="shared" si="6"/>
        <v>30</v>
      </c>
    </row>
    <row r="41" spans="1:11" ht="16.5" thickBot="1" x14ac:dyDescent="0.3">
      <c r="A41" s="4">
        <f t="shared" si="5"/>
        <v>31</v>
      </c>
      <c r="B41" s="515"/>
      <c r="D41" s="165"/>
      <c r="E41" s="165"/>
      <c r="F41" s="165"/>
      <c r="G41" s="4">
        <f t="shared" si="6"/>
        <v>31</v>
      </c>
    </row>
    <row r="42" spans="1:11" ht="18.75" x14ac:dyDescent="0.25">
      <c r="A42" s="4">
        <f t="shared" si="5"/>
        <v>32</v>
      </c>
      <c r="B42" s="515" t="s">
        <v>1398</v>
      </c>
      <c r="C42" s="266">
        <v>1</v>
      </c>
      <c r="D42" s="166">
        <f>SUM(D36:D40)</f>
        <v>8232399.6584847225</v>
      </c>
      <c r="E42" s="43">
        <f>SUM(E36:E40)</f>
        <v>4141581.3191741775</v>
      </c>
      <c r="F42" s="166">
        <f>SUM(F36:F40)</f>
        <v>4090818.3393105436</v>
      </c>
      <c r="G42" s="4">
        <f t="shared" si="6"/>
        <v>32</v>
      </c>
    </row>
    <row r="43" spans="1:11" x14ac:dyDescent="0.25">
      <c r="A43" s="4">
        <f t="shared" si="5"/>
        <v>33</v>
      </c>
      <c r="B43" s="515"/>
      <c r="D43" s="167"/>
      <c r="E43" s="167"/>
      <c r="F43" s="169"/>
      <c r="G43" s="4">
        <f t="shared" si="6"/>
        <v>33</v>
      </c>
    </row>
    <row r="44" spans="1:11" x14ac:dyDescent="0.25">
      <c r="A44" s="4">
        <f t="shared" si="5"/>
        <v>34</v>
      </c>
      <c r="B44" s="515" t="s">
        <v>1399</v>
      </c>
      <c r="D44" s="170">
        <f>+E44+F44</f>
        <v>0.99999999999999989</v>
      </c>
      <c r="E44" s="170">
        <f>IFERROR((E36+E38)/(D36+D38),0)</f>
        <v>0.50308312168805569</v>
      </c>
      <c r="F44" s="171">
        <f>IFERROR((F36+F38)/(D36+D38),0)</f>
        <v>0.4969168783119442</v>
      </c>
      <c r="G44" s="4">
        <f t="shared" si="6"/>
        <v>34</v>
      </c>
    </row>
    <row r="45" spans="1:11" x14ac:dyDescent="0.25">
      <c r="A45" s="4">
        <f t="shared" si="5"/>
        <v>35</v>
      </c>
      <c r="B45" s="515"/>
      <c r="D45" s="170"/>
      <c r="E45" s="170"/>
      <c r="F45" s="171"/>
      <c r="G45" s="4">
        <f t="shared" si="6"/>
        <v>35</v>
      </c>
    </row>
    <row r="46" spans="1:11" x14ac:dyDescent="0.25">
      <c r="A46" s="4">
        <f t="shared" si="5"/>
        <v>36</v>
      </c>
      <c r="B46" s="515"/>
      <c r="D46" s="170"/>
      <c r="E46" s="1097" t="s">
        <v>1509</v>
      </c>
      <c r="F46" s="1098" t="s">
        <v>1510</v>
      </c>
      <c r="G46" s="4">
        <f t="shared" si="6"/>
        <v>36</v>
      </c>
      <c r="I46"/>
      <c r="J46"/>
      <c r="K46"/>
    </row>
    <row r="47" spans="1:11" ht="16.5" thickBot="1" x14ac:dyDescent="0.3">
      <c r="A47" s="4">
        <f t="shared" si="5"/>
        <v>37</v>
      </c>
      <c r="B47" s="520"/>
      <c r="C47" s="1072"/>
      <c r="D47" s="521"/>
      <c r="E47" s="521"/>
      <c r="F47" s="522"/>
      <c r="G47" s="4">
        <f t="shared" si="6"/>
        <v>37</v>
      </c>
    </row>
    <row r="49" spans="1:5" x14ac:dyDescent="0.25">
      <c r="E49" s="523"/>
    </row>
    <row r="50" spans="1:5" ht="18.75" x14ac:dyDescent="0.25">
      <c r="A50" s="253">
        <v>1</v>
      </c>
      <c r="B50" s="31" t="s">
        <v>1508</v>
      </c>
      <c r="C50" s="31"/>
    </row>
    <row r="51" spans="1:5" ht="18.75" x14ac:dyDescent="0.25">
      <c r="A51" s="253">
        <v>2</v>
      </c>
      <c r="B51" s="31" t="s">
        <v>1400</v>
      </c>
    </row>
    <row r="52" spans="1:5" x14ac:dyDescent="0.25">
      <c r="B52" s="31" t="s">
        <v>1401</v>
      </c>
    </row>
  </sheetData>
  <mergeCells count="4">
    <mergeCell ref="B2:F2"/>
    <mergeCell ref="B3:F3"/>
    <mergeCell ref="B4:F4"/>
    <mergeCell ref="B5:F5"/>
  </mergeCells>
  <printOptions horizontalCentered="1"/>
  <pageMargins left="0.5" right="0.5" top="0.5" bottom="0.5" header="0.25" footer="0.25"/>
  <pageSetup scale="67" orientation="landscape" r:id="rId1"/>
  <headerFooter scaleWithDoc="0">
    <oddFooter>&amp;C&amp;"Times New Roman,Regular"&amp;10Summary of HV/LV Plant Allocation Study</oddFooter>
  </headerFooter>
  <customProperties>
    <customPr name="_pios_id" r:id="rId2"/>
  </customPropertie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Normal="100" workbookViewId="0">
      <selection activeCell="G29" sqref="G29"/>
    </sheetView>
  </sheetViews>
  <sheetFormatPr defaultColWidth="8.7109375" defaultRowHeight="15.75" x14ac:dyDescent="0.25"/>
  <cols>
    <col min="1" max="1" width="5.28515625" style="341" customWidth="1"/>
    <col min="2" max="2" width="82.5703125" style="5" customWidth="1"/>
    <col min="3" max="5" width="15.7109375" style="5" customWidth="1"/>
    <col min="6" max="6" width="3.28515625" style="5" customWidth="1"/>
    <col min="7" max="9" width="15.7109375" style="5" customWidth="1"/>
    <col min="10" max="10" width="34.7109375" style="5" customWidth="1"/>
    <col min="11" max="11" width="5.28515625" style="341" customWidth="1"/>
    <col min="12" max="16384" width="8.7109375" style="5"/>
  </cols>
  <sheetData>
    <row r="2" spans="1:11" ht="15.75" customHeight="1" x14ac:dyDescent="0.25">
      <c r="B2" s="1294" t="s">
        <v>0</v>
      </c>
      <c r="C2" s="1294"/>
      <c r="D2" s="1294"/>
      <c r="E2" s="1294"/>
      <c r="F2" s="1294"/>
      <c r="G2" s="1294"/>
      <c r="H2" s="1294"/>
      <c r="I2" s="1294"/>
      <c r="J2" s="1294"/>
      <c r="K2" s="218"/>
    </row>
    <row r="3" spans="1:11" ht="15.75" customHeight="1" x14ac:dyDescent="0.25">
      <c r="B3" s="1294" t="s">
        <v>1402</v>
      </c>
      <c r="C3" s="1294"/>
      <c r="D3" s="1294"/>
      <c r="E3" s="1294"/>
      <c r="F3" s="1294"/>
      <c r="G3" s="1294"/>
      <c r="H3" s="1294"/>
      <c r="I3" s="1294"/>
      <c r="J3" s="1294"/>
      <c r="K3" s="218"/>
    </row>
    <row r="4" spans="1:11" ht="15.75" customHeight="1" x14ac:dyDescent="0.25">
      <c r="B4" s="1298" t="s">
        <v>1485</v>
      </c>
      <c r="C4" s="1298"/>
      <c r="D4" s="1298"/>
      <c r="E4" s="1298"/>
      <c r="F4" s="1298"/>
      <c r="G4" s="1298"/>
      <c r="H4" s="1298"/>
      <c r="I4" s="1298"/>
      <c r="J4" s="1298"/>
      <c r="K4" s="218"/>
    </row>
    <row r="5" spans="1:11" x14ac:dyDescent="0.25">
      <c r="B5" s="1341">
        <v>-1000</v>
      </c>
      <c r="C5" s="1341"/>
      <c r="D5" s="1341"/>
      <c r="E5" s="1341"/>
      <c r="F5" s="1341"/>
      <c r="G5" s="1341"/>
      <c r="H5" s="1341"/>
      <c r="I5" s="1341"/>
      <c r="J5" s="1341"/>
      <c r="K5" s="577"/>
    </row>
    <row r="6" spans="1:11" x14ac:dyDescent="0.25">
      <c r="A6" s="4"/>
      <c r="B6" s="524"/>
      <c r="C6" s="31"/>
      <c r="D6" s="31"/>
      <c r="E6" s="31"/>
      <c r="F6" s="31"/>
      <c r="G6" s="31"/>
      <c r="H6" s="31"/>
      <c r="I6" s="31"/>
      <c r="J6" s="31"/>
      <c r="K6" s="4"/>
    </row>
    <row r="7" spans="1:11" x14ac:dyDescent="0.25">
      <c r="A7" s="218"/>
      <c r="B7" s="927"/>
      <c r="C7" s="928" t="s">
        <v>184</v>
      </c>
      <c r="D7" s="928" t="s">
        <v>185</v>
      </c>
      <c r="E7" s="928" t="s">
        <v>682</v>
      </c>
      <c r="F7" s="927"/>
      <c r="G7" s="928" t="s">
        <v>937</v>
      </c>
      <c r="H7" s="928" t="s">
        <v>938</v>
      </c>
      <c r="I7" s="928" t="s">
        <v>1403</v>
      </c>
      <c r="J7" s="927"/>
      <c r="K7" s="218"/>
    </row>
    <row r="8" spans="1:11" x14ac:dyDescent="0.25">
      <c r="A8" s="4" t="s">
        <v>5</v>
      </c>
      <c r="B8" s="1073"/>
      <c r="C8" s="1046" t="s">
        <v>1404</v>
      </c>
      <c r="D8" s="1046" t="s">
        <v>1404</v>
      </c>
      <c r="E8" s="946" t="s">
        <v>1405</v>
      </c>
      <c r="F8" s="927"/>
      <c r="G8" s="1046" t="s">
        <v>657</v>
      </c>
      <c r="H8" s="1046" t="s">
        <v>657</v>
      </c>
      <c r="I8" s="1046" t="s">
        <v>1032</v>
      </c>
      <c r="J8" s="295"/>
      <c r="K8" s="4" t="s">
        <v>5</v>
      </c>
    </row>
    <row r="9" spans="1:11" x14ac:dyDescent="0.25">
      <c r="A9" s="4" t="s">
        <v>6</v>
      </c>
      <c r="B9" s="525"/>
      <c r="C9" s="301" t="s">
        <v>1406</v>
      </c>
      <c r="D9" s="275" t="s">
        <v>1407</v>
      </c>
      <c r="E9" s="275" t="s">
        <v>177</v>
      </c>
      <c r="F9" s="117"/>
      <c r="G9" s="301" t="s">
        <v>1408</v>
      </c>
      <c r="H9" s="301" t="s">
        <v>1409</v>
      </c>
      <c r="I9" s="301" t="s">
        <v>177</v>
      </c>
      <c r="J9" s="301" t="s">
        <v>8</v>
      </c>
      <c r="K9" s="4" t="s">
        <v>6</v>
      </c>
    </row>
    <row r="10" spans="1:11" x14ac:dyDescent="0.25">
      <c r="A10" s="4"/>
      <c r="B10" s="526" t="s">
        <v>1410</v>
      </c>
      <c r="C10" s="936"/>
      <c r="D10" s="935"/>
      <c r="E10" s="935"/>
      <c r="F10" s="234"/>
      <c r="G10" s="936"/>
      <c r="H10" s="936"/>
      <c r="I10" s="65"/>
      <c r="J10" s="65"/>
      <c r="K10" s="4"/>
    </row>
    <row r="11" spans="1:11" x14ac:dyDescent="0.25">
      <c r="A11" s="4">
        <v>1</v>
      </c>
      <c r="B11" s="527" t="s">
        <v>1411</v>
      </c>
      <c r="C11" s="674">
        <f>'ET Forecast Capital Additions'!C35</f>
        <v>200090</v>
      </c>
      <c r="D11" s="674">
        <f>'ET Forecast Capital Additions'!D35</f>
        <v>511484</v>
      </c>
      <c r="E11" s="232">
        <f>C11+D11</f>
        <v>711574</v>
      </c>
      <c r="F11" s="4"/>
      <c r="G11" s="674">
        <f>'ET Forecast Capital Additions'!M35</f>
        <v>168252.5580042559</v>
      </c>
      <c r="H11" s="674">
        <f>'ET Forecast Capital Additions'!N35</f>
        <v>358424.29656862945</v>
      </c>
      <c r="I11" s="58">
        <f>G11+H11</f>
        <v>526676.85457288532</v>
      </c>
      <c r="J11" s="64" t="s">
        <v>1412</v>
      </c>
      <c r="K11" s="4">
        <f>A11</f>
        <v>1</v>
      </c>
    </row>
    <row r="12" spans="1:11" x14ac:dyDescent="0.25">
      <c r="A12" s="4">
        <f t="shared" ref="A12:A29" si="0">A11+1</f>
        <v>2</v>
      </c>
      <c r="B12" s="527"/>
      <c r="C12" s="232"/>
      <c r="D12" s="232"/>
      <c r="E12" s="232"/>
      <c r="F12" s="232"/>
      <c r="G12" s="232"/>
      <c r="H12" s="232"/>
      <c r="I12" s="58"/>
      <c r="J12" s="64"/>
      <c r="K12" s="4">
        <f t="shared" ref="K12:K29" si="1">K11+1</f>
        <v>2</v>
      </c>
    </row>
    <row r="13" spans="1:11" x14ac:dyDescent="0.25">
      <c r="A13" s="4">
        <f t="shared" si="0"/>
        <v>3</v>
      </c>
      <c r="B13" s="332" t="s">
        <v>1413</v>
      </c>
      <c r="C13" s="575">
        <f>'General &amp; Common Plant Addition'!C35</f>
        <v>7716</v>
      </c>
      <c r="D13" s="575">
        <f>'General &amp; Common Plant Addition'!D35</f>
        <v>8152</v>
      </c>
      <c r="E13" s="94">
        <f>C13+D13</f>
        <v>15868</v>
      </c>
      <c r="F13" s="4"/>
      <c r="G13" s="575">
        <f>'General &amp; Common Plant Addition'!M35</f>
        <v>5236.8538827496168</v>
      </c>
      <c r="H13" s="575">
        <f>'General &amp; Common Plant Addition'!N35</f>
        <v>5532.6409962681064</v>
      </c>
      <c r="I13" s="53">
        <f>G13+H13</f>
        <v>10769.494879017722</v>
      </c>
      <c r="J13" s="64" t="s">
        <v>1355</v>
      </c>
      <c r="K13" s="4">
        <f t="shared" si="1"/>
        <v>3</v>
      </c>
    </row>
    <row r="14" spans="1:11" x14ac:dyDescent="0.25">
      <c r="A14" s="4">
        <f t="shared" si="0"/>
        <v>4</v>
      </c>
      <c r="B14" s="527"/>
      <c r="C14" s="233"/>
      <c r="D14" s="233"/>
      <c r="E14" s="233"/>
      <c r="F14" s="232"/>
      <c r="G14" s="232"/>
      <c r="H14" s="232"/>
      <c r="I14" s="58"/>
      <c r="J14" s="64"/>
      <c r="K14" s="4">
        <f t="shared" si="1"/>
        <v>4</v>
      </c>
    </row>
    <row r="15" spans="1:11" x14ac:dyDescent="0.25">
      <c r="A15" s="4">
        <f t="shared" si="0"/>
        <v>5</v>
      </c>
      <c r="B15" s="527" t="s">
        <v>1414</v>
      </c>
      <c r="C15" s="232">
        <f>SUM(C11:C13)</f>
        <v>207806</v>
      </c>
      <c r="D15" s="232">
        <f>SUM(D11:D13)</f>
        <v>519636</v>
      </c>
      <c r="E15" s="232">
        <f>SUM(E11:E13)</f>
        <v>727442</v>
      </c>
      <c r="F15" s="4"/>
      <c r="G15" s="232">
        <f>SUM(G11:G13)</f>
        <v>173489.41188700552</v>
      </c>
      <c r="H15" s="232">
        <f>SUM(H11:H13)</f>
        <v>363956.93756489758</v>
      </c>
      <c r="I15" s="232">
        <f>SUM(I11:I13)</f>
        <v>537446.34945190302</v>
      </c>
      <c r="J15" s="64" t="s">
        <v>818</v>
      </c>
      <c r="K15" s="4">
        <f t="shared" si="1"/>
        <v>5</v>
      </c>
    </row>
    <row r="16" spans="1:11" x14ac:dyDescent="0.25">
      <c r="A16" s="4">
        <f t="shared" si="0"/>
        <v>6</v>
      </c>
      <c r="B16" s="527"/>
      <c r="C16" s="233"/>
      <c r="D16" s="233"/>
      <c r="E16" s="233"/>
      <c r="F16" s="232"/>
      <c r="G16" s="232"/>
      <c r="H16" s="232"/>
      <c r="I16" s="58"/>
      <c r="J16" s="64"/>
      <c r="K16" s="4">
        <f t="shared" si="1"/>
        <v>6</v>
      </c>
    </row>
    <row r="17" spans="1:11" x14ac:dyDescent="0.25">
      <c r="A17" s="4">
        <f t="shared" si="0"/>
        <v>7</v>
      </c>
      <c r="B17" s="526" t="s">
        <v>1415</v>
      </c>
      <c r="C17" s="233"/>
      <c r="D17" s="233"/>
      <c r="E17" s="233"/>
      <c r="F17" s="232"/>
      <c r="G17" s="232"/>
      <c r="H17" s="232"/>
      <c r="I17" s="58"/>
      <c r="J17" s="64"/>
      <c r="K17" s="4">
        <f t="shared" si="1"/>
        <v>7</v>
      </c>
    </row>
    <row r="18" spans="1:11" x14ac:dyDescent="0.25">
      <c r="A18" s="4">
        <f t="shared" si="0"/>
        <v>8</v>
      </c>
      <c r="B18" s="527" t="s">
        <v>1416</v>
      </c>
      <c r="C18" s="674">
        <f>'Incentive Transmission Plant'!C35</f>
        <v>0</v>
      </c>
      <c r="D18" s="674">
        <f>'Incentive Transmission Plant'!D35</f>
        <v>0</v>
      </c>
      <c r="E18" s="232">
        <f>C18+D18</f>
        <v>0</v>
      </c>
      <c r="F18" s="232"/>
      <c r="G18" s="674">
        <f>'Incentive Transmission Plant'!M35</f>
        <v>0</v>
      </c>
      <c r="H18" s="674">
        <f>'Incentive Transmission Plant'!N35</f>
        <v>0</v>
      </c>
      <c r="I18" s="58">
        <f>G18+H18</f>
        <v>0</v>
      </c>
      <c r="J18" s="64" t="s">
        <v>1356</v>
      </c>
      <c r="K18" s="4">
        <f t="shared" si="1"/>
        <v>8</v>
      </c>
    </row>
    <row r="19" spans="1:11" x14ac:dyDescent="0.25">
      <c r="A19" s="4">
        <f t="shared" si="0"/>
        <v>9</v>
      </c>
      <c r="B19" s="527"/>
      <c r="C19" s="233"/>
      <c r="D19" s="233"/>
      <c r="E19" s="233"/>
      <c r="F19" s="232"/>
      <c r="G19" s="232"/>
      <c r="H19" s="232"/>
      <c r="I19" s="58"/>
      <c r="J19" s="64"/>
      <c r="K19" s="4">
        <f t="shared" si="1"/>
        <v>9</v>
      </c>
    </row>
    <row r="20" spans="1:11" ht="31.5" x14ac:dyDescent="0.25">
      <c r="A20" s="4">
        <f t="shared" si="0"/>
        <v>10</v>
      </c>
      <c r="B20" s="527" t="s">
        <v>1417</v>
      </c>
      <c r="C20" s="675">
        <f>'Incentive CWIP-A'!C36</f>
        <v>0</v>
      </c>
      <c r="D20" s="675">
        <f>'Incentive CWIP-A'!D36</f>
        <v>0</v>
      </c>
      <c r="E20" s="233">
        <f>C20+D20</f>
        <v>0</v>
      </c>
      <c r="F20" s="232"/>
      <c r="G20" s="675">
        <f>'Incentive CWIP-A'!M36</f>
        <v>0</v>
      </c>
      <c r="H20" s="675">
        <f>'Incentive CWIP-A'!N36</f>
        <v>0</v>
      </c>
      <c r="I20" s="52">
        <f>G20+H20</f>
        <v>0</v>
      </c>
      <c r="J20" s="64" t="s">
        <v>1357</v>
      </c>
      <c r="K20" s="4">
        <f t="shared" si="1"/>
        <v>10</v>
      </c>
    </row>
    <row r="21" spans="1:11" x14ac:dyDescent="0.25">
      <c r="A21" s="4">
        <f t="shared" si="0"/>
        <v>11</v>
      </c>
      <c r="B21" s="527"/>
      <c r="C21" s="233"/>
      <c r="D21" s="233"/>
      <c r="E21" s="233"/>
      <c r="F21" s="232"/>
      <c r="G21" s="232"/>
      <c r="H21" s="232"/>
      <c r="I21" s="58"/>
      <c r="J21" s="64"/>
      <c r="K21" s="4">
        <f t="shared" si="1"/>
        <v>11</v>
      </c>
    </row>
    <row r="22" spans="1:11" ht="31.5" x14ac:dyDescent="0.25">
      <c r="A22" s="4">
        <f t="shared" si="0"/>
        <v>12</v>
      </c>
      <c r="B22" s="527" t="s">
        <v>1418</v>
      </c>
      <c r="C22" s="575">
        <f>'Incentive CWIP-B'!C36</f>
        <v>0</v>
      </c>
      <c r="D22" s="575">
        <f>'Incentive CWIP-B'!D36</f>
        <v>0</v>
      </c>
      <c r="E22" s="94">
        <f>C22+D22</f>
        <v>0</v>
      </c>
      <c r="F22" s="232"/>
      <c r="G22" s="575">
        <f>'Incentive CWIP-B'!M36</f>
        <v>0</v>
      </c>
      <c r="H22" s="575">
        <f>'Incentive CWIP-B'!N36</f>
        <v>0</v>
      </c>
      <c r="I22" s="53">
        <f>G22+H22</f>
        <v>0</v>
      </c>
      <c r="J22" s="64" t="s">
        <v>1419</v>
      </c>
      <c r="K22" s="4">
        <f t="shared" si="1"/>
        <v>12</v>
      </c>
    </row>
    <row r="23" spans="1:11" x14ac:dyDescent="0.25">
      <c r="A23" s="4">
        <f t="shared" si="0"/>
        <v>13</v>
      </c>
      <c r="B23" s="527"/>
      <c r="C23" s="233"/>
      <c r="D23" s="233"/>
      <c r="E23" s="233"/>
      <c r="F23" s="232"/>
      <c r="G23" s="232"/>
      <c r="H23" s="232"/>
      <c r="I23" s="58"/>
      <c r="J23" s="64"/>
      <c r="K23" s="4">
        <f t="shared" si="1"/>
        <v>13</v>
      </c>
    </row>
    <row r="24" spans="1:11" x14ac:dyDescent="0.25">
      <c r="A24" s="4">
        <f t="shared" si="0"/>
        <v>14</v>
      </c>
      <c r="B24" s="527" t="s">
        <v>1420</v>
      </c>
      <c r="C24" s="172">
        <f>SUM(C18:C22)</f>
        <v>0</v>
      </c>
      <c r="D24" s="172">
        <f>SUM(D18:D22)</f>
        <v>0</v>
      </c>
      <c r="E24" s="172">
        <f>SUM(E18:E22)</f>
        <v>0</v>
      </c>
      <c r="F24" s="232"/>
      <c r="G24" s="172">
        <f>SUM(G18:G22)</f>
        <v>0</v>
      </c>
      <c r="H24" s="172">
        <f>SUM(H18:H22)</f>
        <v>0</v>
      </c>
      <c r="I24" s="172">
        <f>SUM(I18:I22)</f>
        <v>0</v>
      </c>
      <c r="J24" s="64" t="s">
        <v>1421</v>
      </c>
      <c r="K24" s="4">
        <f t="shared" si="1"/>
        <v>14</v>
      </c>
    </row>
    <row r="25" spans="1:11" x14ac:dyDescent="0.25">
      <c r="A25" s="4">
        <f t="shared" si="0"/>
        <v>15</v>
      </c>
      <c r="B25" s="527"/>
      <c r="C25" s="233"/>
      <c r="D25" s="233"/>
      <c r="E25" s="233"/>
      <c r="F25" s="232"/>
      <c r="G25" s="232"/>
      <c r="H25" s="232"/>
      <c r="I25" s="58"/>
      <c r="J25" s="65"/>
      <c r="K25" s="4">
        <f t="shared" si="1"/>
        <v>15</v>
      </c>
    </row>
    <row r="26" spans="1:11" ht="16.5" thickBot="1" x14ac:dyDescent="0.3">
      <c r="A26" s="4">
        <f t="shared" si="0"/>
        <v>16</v>
      </c>
      <c r="B26" s="528" t="s">
        <v>177</v>
      </c>
      <c r="C26" s="173">
        <f>C15+C24</f>
        <v>207806</v>
      </c>
      <c r="D26" s="173">
        <f>D15+D24</f>
        <v>519636</v>
      </c>
      <c r="E26" s="173">
        <f>E15+E24</f>
        <v>727442</v>
      </c>
      <c r="F26" s="4"/>
      <c r="G26" s="173">
        <f>G15+G24</f>
        <v>173489.41188700552</v>
      </c>
      <c r="H26" s="173">
        <f>H15+H24</f>
        <v>363956.93756489758</v>
      </c>
      <c r="I26" s="173">
        <f>I15+I24</f>
        <v>537446.34945190302</v>
      </c>
      <c r="J26" s="64" t="s">
        <v>1422</v>
      </c>
      <c r="K26" s="4">
        <f t="shared" si="1"/>
        <v>16</v>
      </c>
    </row>
    <row r="27" spans="1:11" ht="16.5" thickTop="1" x14ac:dyDescent="0.25">
      <c r="A27" s="4">
        <f t="shared" si="0"/>
        <v>17</v>
      </c>
      <c r="B27" s="528"/>
      <c r="C27" s="233"/>
      <c r="D27" s="233"/>
      <c r="E27" s="233"/>
      <c r="F27" s="232"/>
      <c r="G27" s="232"/>
      <c r="H27" s="232"/>
      <c r="I27" s="58"/>
      <c r="J27" s="64"/>
      <c r="K27" s="4">
        <f t="shared" si="1"/>
        <v>17</v>
      </c>
    </row>
    <row r="28" spans="1:11" ht="31.5" x14ac:dyDescent="0.25">
      <c r="A28" s="4">
        <f t="shared" si="0"/>
        <v>18</v>
      </c>
      <c r="B28" s="527"/>
      <c r="C28" s="233"/>
      <c r="D28" s="233"/>
      <c r="E28" s="233"/>
      <c r="F28" s="232"/>
      <c r="G28" s="232"/>
      <c r="H28" s="232"/>
      <c r="I28" s="58"/>
      <c r="J28" s="1074" t="s">
        <v>1423</v>
      </c>
      <c r="K28" s="4">
        <f t="shared" si="1"/>
        <v>18</v>
      </c>
    </row>
    <row r="29" spans="1:11" ht="16.5" thickBot="1" x14ac:dyDescent="0.3">
      <c r="A29" s="4">
        <f t="shared" si="0"/>
        <v>19</v>
      </c>
      <c r="B29" s="528" t="s">
        <v>1424</v>
      </c>
      <c r="C29" s="233"/>
      <c r="D29" s="233"/>
      <c r="E29" s="233"/>
      <c r="F29" s="4"/>
      <c r="G29" s="174">
        <f>IFERROR(G26/I26,0)</f>
        <v>0.32280321945424506</v>
      </c>
      <c r="H29" s="174">
        <f>IFERROR(H26/I26,0)</f>
        <v>0.67719678054575516</v>
      </c>
      <c r="I29" s="174">
        <f>G29+H29</f>
        <v>1.0000000000000002</v>
      </c>
      <c r="J29" s="1074" t="s">
        <v>1425</v>
      </c>
      <c r="K29" s="4">
        <f t="shared" si="1"/>
        <v>19</v>
      </c>
    </row>
    <row r="30" spans="1:11" ht="16.5" thickTop="1" x14ac:dyDescent="0.25">
      <c r="A30" s="4">
        <v>20</v>
      </c>
      <c r="B30" s="529"/>
      <c r="C30" s="285"/>
      <c r="D30" s="285"/>
      <c r="E30" s="285"/>
      <c r="F30" s="285"/>
      <c r="G30" s="275"/>
      <c r="H30" s="275"/>
      <c r="I30" s="115"/>
      <c r="J30" s="115"/>
      <c r="K30" s="4">
        <v>20</v>
      </c>
    </row>
    <row r="31" spans="1:11" x14ac:dyDescent="0.25">
      <c r="A31" s="4"/>
      <c r="B31" s="31"/>
      <c r="C31" s="31"/>
      <c r="D31" s="31"/>
      <c r="E31" s="31"/>
      <c r="F31" s="31"/>
      <c r="G31" s="31"/>
      <c r="H31" s="31"/>
      <c r="I31" s="31"/>
      <c r="J31" s="31"/>
      <c r="K31" s="4"/>
    </row>
    <row r="32" spans="1:11" x14ac:dyDescent="0.25">
      <c r="A32" s="4"/>
      <c r="B32" s="31"/>
      <c r="C32" s="31"/>
      <c r="D32" s="31"/>
      <c r="E32" s="31"/>
      <c r="F32" s="31"/>
      <c r="G32" s="31"/>
      <c r="H32" s="31"/>
      <c r="I32" s="31"/>
      <c r="J32" s="31"/>
      <c r="K32" s="4"/>
    </row>
    <row r="33" spans="1:11" ht="18.75" x14ac:dyDescent="0.25">
      <c r="A33" s="266">
        <v>1</v>
      </c>
      <c r="B33" s="31" t="s">
        <v>1426</v>
      </c>
      <c r="C33" s="31"/>
      <c r="D33" s="31"/>
      <c r="E33" s="31"/>
      <c r="F33" s="31"/>
      <c r="G33" s="31"/>
      <c r="H33" s="31"/>
      <c r="I33" s="31"/>
      <c r="J33" s="31"/>
      <c r="K33" s="4"/>
    </row>
    <row r="34" spans="1:11" ht="18.75" x14ac:dyDescent="0.25">
      <c r="A34" s="266">
        <v>2</v>
      </c>
      <c r="B34" s="31" t="s">
        <v>1427</v>
      </c>
      <c r="C34" s="31"/>
      <c r="D34" s="31"/>
      <c r="E34" s="31"/>
      <c r="F34" s="31"/>
      <c r="G34" s="31"/>
      <c r="H34" s="31"/>
      <c r="I34" s="31"/>
      <c r="J34" s="31"/>
      <c r="K34" s="4"/>
    </row>
    <row r="35" spans="1:11" ht="18.75" x14ac:dyDescent="0.25">
      <c r="A35" s="266">
        <v>3</v>
      </c>
      <c r="B35" s="31" t="s">
        <v>1428</v>
      </c>
      <c r="C35" s="31"/>
      <c r="D35" s="31"/>
      <c r="E35" s="31"/>
      <c r="F35" s="31"/>
      <c r="G35" s="31"/>
      <c r="H35" s="31"/>
      <c r="I35" s="31"/>
      <c r="J35" s="31"/>
      <c r="K35" s="4"/>
    </row>
    <row r="36" spans="1:11" ht="18.75" x14ac:dyDescent="0.25">
      <c r="A36" s="266">
        <v>4</v>
      </c>
      <c r="B36" s="31" t="s">
        <v>1429</v>
      </c>
      <c r="C36" s="31"/>
      <c r="D36" s="31"/>
      <c r="E36" s="31"/>
      <c r="F36" s="31"/>
      <c r="G36" s="31"/>
      <c r="H36" s="31"/>
      <c r="I36" s="31"/>
      <c r="J36" s="31"/>
      <c r="K36" s="4"/>
    </row>
    <row r="37" spans="1:11" ht="18.75" x14ac:dyDescent="0.25">
      <c r="A37" s="266">
        <v>5</v>
      </c>
      <c r="B37" s="31" t="s">
        <v>1430</v>
      </c>
      <c r="C37" s="31"/>
      <c r="D37" s="31"/>
      <c r="E37" s="31"/>
      <c r="F37" s="31"/>
      <c r="G37" s="31"/>
      <c r="H37" s="31"/>
      <c r="I37" s="31"/>
      <c r="J37" s="31"/>
      <c r="K37" s="4"/>
    </row>
    <row r="38" spans="1:11" x14ac:dyDescent="0.25">
      <c r="A38" s="218"/>
      <c r="B38" s="1"/>
      <c r="C38" s="31"/>
      <c r="D38" s="31"/>
      <c r="E38" s="31"/>
      <c r="F38" s="31"/>
      <c r="G38" s="31"/>
      <c r="H38" s="31"/>
      <c r="I38" s="31"/>
      <c r="J38" s="31"/>
      <c r="K38" s="4"/>
    </row>
    <row r="39" spans="1:11" x14ac:dyDescent="0.25">
      <c r="A39" s="4"/>
      <c r="B39" s="31"/>
      <c r="C39" s="31"/>
      <c r="D39" s="31"/>
      <c r="E39" s="31"/>
      <c r="F39" s="31"/>
      <c r="G39" s="31"/>
      <c r="H39" s="31"/>
      <c r="I39" s="31"/>
      <c r="J39" s="31"/>
      <c r="K39" s="4"/>
    </row>
    <row r="40" spans="1:11" x14ac:dyDescent="0.25">
      <c r="A40" s="4"/>
      <c r="B40" s="31"/>
      <c r="C40" s="31"/>
      <c r="D40" s="31"/>
      <c r="E40" s="31"/>
      <c r="F40" s="31"/>
      <c r="G40" s="31"/>
      <c r="H40" s="31"/>
      <c r="I40" s="31"/>
      <c r="J40" s="31"/>
      <c r="K40" s="4"/>
    </row>
  </sheetData>
  <mergeCells count="4">
    <mergeCell ref="B2:J2"/>
    <mergeCell ref="B3:J3"/>
    <mergeCell ref="B4:J4"/>
    <mergeCell ref="B5:J5"/>
  </mergeCells>
  <printOptions horizontalCentered="1"/>
  <pageMargins left="0.5" right="0.5" top="0.5" bottom="0.5" header="0.25" footer="0.25"/>
  <pageSetup scale="57" orientation="landscape" r:id="rId1"/>
  <headerFooter scaleWithDoc="0">
    <oddFooter>&amp;C&amp;"Times New Roman,Regular"&amp;10Summary of HV/LV Splits for Forecast Plant Additions</oddFooter>
  </headerFooter>
  <customProperties>
    <customPr name="_pios_id" r:id="rId2"/>
  </customPropertie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Normal="100" workbookViewId="0"/>
  </sheetViews>
  <sheetFormatPr defaultColWidth="8.7109375" defaultRowHeight="15.75" x14ac:dyDescent="0.25"/>
  <cols>
    <col min="1" max="1" width="5.28515625" style="4" customWidth="1"/>
    <col min="2" max="2" width="8.5703125" style="5" customWidth="1"/>
    <col min="3" max="5" width="15.7109375" style="5" customWidth="1"/>
    <col min="6" max="11" width="15.5703125" style="5" customWidth="1"/>
    <col min="12" max="12" width="11.28515625" style="5" customWidth="1"/>
    <col min="13" max="15" width="15.5703125" style="5" customWidth="1"/>
    <col min="16" max="16" width="5.28515625" style="4" customWidth="1"/>
    <col min="17" max="16384" width="8.7109375" style="5"/>
  </cols>
  <sheetData>
    <row r="1" spans="1:29" x14ac:dyDescent="0.25">
      <c r="B1" s="31"/>
      <c r="C1" s="255"/>
      <c r="D1" s="31"/>
      <c r="E1" s="31"/>
      <c r="F1" s="31"/>
      <c r="G1" s="31"/>
      <c r="H1" s="31"/>
      <c r="I1" s="31"/>
      <c r="J1" s="31"/>
      <c r="K1" s="31"/>
      <c r="L1" s="31"/>
      <c r="M1" s="31"/>
      <c r="N1" s="31"/>
      <c r="O1" s="31"/>
      <c r="Q1" s="31"/>
      <c r="R1" s="31"/>
      <c r="S1" s="31"/>
      <c r="T1" s="31"/>
      <c r="U1" s="31"/>
      <c r="V1" s="31"/>
      <c r="W1" s="31"/>
      <c r="X1" s="31"/>
      <c r="Y1" s="31"/>
      <c r="Z1" s="31"/>
      <c r="AA1" s="31"/>
      <c r="AB1" s="31"/>
      <c r="AC1" s="31"/>
    </row>
    <row r="2" spans="1:29" x14ac:dyDescent="0.25">
      <c r="B2" s="1294" t="s">
        <v>0</v>
      </c>
      <c r="C2" s="1294"/>
      <c r="D2" s="1294"/>
      <c r="E2" s="1294"/>
      <c r="F2" s="1294"/>
      <c r="G2" s="1294"/>
      <c r="H2" s="1294"/>
      <c r="I2" s="1294"/>
      <c r="J2" s="1294"/>
      <c r="K2" s="1294"/>
      <c r="L2" s="1294"/>
      <c r="M2" s="1294"/>
      <c r="N2" s="1294"/>
      <c r="O2" s="1294"/>
      <c r="Q2" s="31"/>
      <c r="R2" s="31"/>
      <c r="S2" s="31"/>
      <c r="T2" s="31"/>
      <c r="U2" s="31"/>
      <c r="V2" s="31"/>
      <c r="W2" s="31"/>
      <c r="X2" s="31"/>
      <c r="Y2" s="31"/>
      <c r="Z2" s="31"/>
      <c r="AA2" s="31"/>
      <c r="AB2" s="31"/>
      <c r="AC2" s="31"/>
    </row>
    <row r="3" spans="1:29" x14ac:dyDescent="0.25">
      <c r="B3" s="1294" t="s">
        <v>1431</v>
      </c>
      <c r="C3" s="1294"/>
      <c r="D3" s="1294"/>
      <c r="E3" s="1294"/>
      <c r="F3" s="1294"/>
      <c r="G3" s="1294"/>
      <c r="H3" s="1294"/>
      <c r="I3" s="1294"/>
      <c r="J3" s="1294"/>
      <c r="K3" s="1294"/>
      <c r="L3" s="1294"/>
      <c r="M3" s="1294"/>
      <c r="N3" s="1294"/>
      <c r="O3" s="1294"/>
      <c r="Q3" s="31"/>
      <c r="R3" s="31"/>
      <c r="S3" s="31"/>
      <c r="T3" s="31"/>
      <c r="U3" s="31"/>
      <c r="V3" s="31"/>
      <c r="W3" s="31"/>
      <c r="X3" s="31"/>
      <c r="Y3" s="31"/>
      <c r="Z3" s="31"/>
      <c r="AA3" s="31"/>
      <c r="AB3" s="31"/>
      <c r="AC3" s="31"/>
    </row>
    <row r="4" spans="1:29" x14ac:dyDescent="0.25">
      <c r="B4" s="1300" t="str">
        <f>'Summary of HV-LV Splits'!B4</f>
        <v>24-Month Forecast Period (January 1, 2024 - December 31, 2025)</v>
      </c>
      <c r="C4" s="1300"/>
      <c r="D4" s="1300"/>
      <c r="E4" s="1300"/>
      <c r="F4" s="1300"/>
      <c r="G4" s="1300"/>
      <c r="H4" s="1300"/>
      <c r="I4" s="1300"/>
      <c r="J4" s="1300"/>
      <c r="K4" s="1300"/>
      <c r="L4" s="1300"/>
      <c r="M4" s="1300"/>
      <c r="N4" s="1300"/>
      <c r="O4" s="1300"/>
      <c r="Q4" s="31"/>
      <c r="R4" s="31"/>
      <c r="S4" s="31"/>
      <c r="T4" s="31"/>
      <c r="U4" s="31"/>
      <c r="V4" s="31"/>
      <c r="W4" s="31"/>
      <c r="X4" s="31"/>
      <c r="Y4" s="31"/>
      <c r="Z4" s="31"/>
      <c r="AA4" s="31"/>
      <c r="AB4" s="31"/>
      <c r="AC4" s="31"/>
    </row>
    <row r="5" spans="1:29" x14ac:dyDescent="0.25">
      <c r="B5" s="1294" t="s">
        <v>1432</v>
      </c>
      <c r="C5" s="1294"/>
      <c r="D5" s="1294"/>
      <c r="E5" s="1294"/>
      <c r="F5" s="1294"/>
      <c r="G5" s="1294"/>
      <c r="H5" s="1294"/>
      <c r="I5" s="1294"/>
      <c r="J5" s="1294"/>
      <c r="K5" s="1294"/>
      <c r="L5" s="1294"/>
      <c r="M5" s="1294"/>
      <c r="N5" s="1294"/>
      <c r="O5" s="1294"/>
      <c r="Q5" s="31"/>
      <c r="R5" s="31"/>
      <c r="S5" s="31"/>
      <c r="T5" s="31"/>
      <c r="U5" s="31"/>
      <c r="V5" s="31"/>
      <c r="W5" s="31"/>
      <c r="X5" s="31"/>
      <c r="Y5" s="31"/>
      <c r="Z5" s="31"/>
      <c r="AA5" s="31"/>
      <c r="AB5" s="31"/>
      <c r="AC5" s="31"/>
    </row>
    <row r="6" spans="1:29" x14ac:dyDescent="0.25">
      <c r="B6" s="1325">
        <v>-1000</v>
      </c>
      <c r="C6" s="1325"/>
      <c r="D6" s="1325"/>
      <c r="E6" s="1325"/>
      <c r="F6" s="1325"/>
      <c r="G6" s="1325"/>
      <c r="H6" s="1325"/>
      <c r="I6" s="1325"/>
      <c r="J6" s="1325"/>
      <c r="K6" s="1325"/>
      <c r="L6" s="1325"/>
      <c r="M6" s="1325"/>
      <c r="N6" s="1325"/>
      <c r="O6" s="1325"/>
      <c r="Q6" s="31"/>
      <c r="R6" s="31"/>
      <c r="S6" s="31"/>
      <c r="T6" s="31"/>
      <c r="U6" s="31"/>
      <c r="V6" s="31"/>
      <c r="W6" s="31"/>
      <c r="X6" s="31"/>
      <c r="Y6" s="31"/>
      <c r="Z6" s="31"/>
      <c r="AA6" s="31"/>
      <c r="AB6" s="31"/>
      <c r="AC6" s="31"/>
    </row>
    <row r="7" spans="1:29" ht="16.5" thickBot="1" x14ac:dyDescent="0.3">
      <c r="B7" s="31"/>
      <c r="C7" s="31"/>
      <c r="D7" s="31"/>
      <c r="E7" s="31"/>
      <c r="F7" s="31"/>
      <c r="G7" s="31"/>
      <c r="H7" s="31"/>
      <c r="I7" s="31"/>
      <c r="J7" s="31"/>
      <c r="K7" s="31"/>
      <c r="L7" s="31"/>
      <c r="M7" s="31"/>
      <c r="N7" s="31"/>
      <c r="O7" s="31"/>
      <c r="Q7" s="31"/>
      <c r="R7" s="31"/>
      <c r="S7" s="31"/>
      <c r="T7" s="31"/>
      <c r="U7" s="31"/>
      <c r="V7" s="31"/>
      <c r="W7" s="31"/>
      <c r="X7" s="31"/>
      <c r="Y7" s="31"/>
      <c r="Z7" s="31"/>
      <c r="AA7" s="31"/>
      <c r="AB7" s="31"/>
      <c r="AC7" s="31"/>
    </row>
    <row r="8" spans="1:29" ht="18.75" x14ac:dyDescent="0.25">
      <c r="A8" s="4" t="s">
        <v>5</v>
      </c>
      <c r="B8" s="231"/>
      <c r="C8" s="1342" t="s">
        <v>1433</v>
      </c>
      <c r="D8" s="1343"/>
      <c r="E8" s="1344"/>
      <c r="F8" s="226" t="s">
        <v>1434</v>
      </c>
      <c r="G8" s="227"/>
      <c r="H8" s="228"/>
      <c r="I8" s="229" t="s">
        <v>1435</v>
      </c>
      <c r="J8" s="227"/>
      <c r="K8" s="230"/>
      <c r="L8" s="231" t="s">
        <v>1436</v>
      </c>
      <c r="M8" s="229" t="s">
        <v>1437</v>
      </c>
      <c r="N8" s="227"/>
      <c r="O8" s="228"/>
      <c r="P8" s="4" t="s">
        <v>5</v>
      </c>
      <c r="Q8" s="1"/>
      <c r="R8" s="1"/>
      <c r="S8" s="1"/>
      <c r="T8" s="1"/>
      <c r="U8" s="1"/>
      <c r="V8" s="1"/>
      <c r="W8" s="1"/>
      <c r="X8" s="1"/>
      <c r="Y8" s="1"/>
      <c r="Z8" s="1"/>
      <c r="AA8" s="1"/>
      <c r="AB8" s="1"/>
      <c r="AC8" s="1"/>
    </row>
    <row r="9" spans="1:29" ht="16.5" thickBot="1" x14ac:dyDescent="0.3">
      <c r="A9" s="4" t="s">
        <v>6</v>
      </c>
      <c r="B9" s="530" t="s">
        <v>1438</v>
      </c>
      <c r="C9" s="531" t="s">
        <v>1406</v>
      </c>
      <c r="D9" s="532" t="s">
        <v>1407</v>
      </c>
      <c r="E9" s="533" t="s">
        <v>177</v>
      </c>
      <c r="F9" s="531" t="s">
        <v>1406</v>
      </c>
      <c r="G9" s="532" t="s">
        <v>1407</v>
      </c>
      <c r="H9" s="534" t="s">
        <v>177</v>
      </c>
      <c r="I9" s="535" t="s">
        <v>1406</v>
      </c>
      <c r="J9" s="532" t="s">
        <v>1407</v>
      </c>
      <c r="K9" s="533" t="s">
        <v>177</v>
      </c>
      <c r="L9" s="530" t="s">
        <v>1439</v>
      </c>
      <c r="M9" s="535" t="s">
        <v>1406</v>
      </c>
      <c r="N9" s="532" t="s">
        <v>1407</v>
      </c>
      <c r="O9" s="534" t="s">
        <v>177</v>
      </c>
      <c r="P9" s="4" t="s">
        <v>6</v>
      </c>
      <c r="Q9" s="1"/>
      <c r="R9" s="1"/>
      <c r="S9" s="1"/>
      <c r="T9" s="1"/>
      <c r="U9" s="1"/>
      <c r="V9" s="1"/>
      <c r="W9" s="1"/>
      <c r="X9" s="1"/>
      <c r="Y9" s="1"/>
      <c r="Z9" s="1"/>
      <c r="AA9" s="1"/>
      <c r="AB9" s="1"/>
      <c r="AC9" s="1"/>
    </row>
    <row r="10" spans="1:29" x14ac:dyDescent="0.25">
      <c r="A10" s="218"/>
      <c r="B10" s="536"/>
      <c r="C10" s="537"/>
      <c r="D10" s="458"/>
      <c r="E10" s="218"/>
      <c r="F10" s="538"/>
      <c r="G10" s="458"/>
      <c r="H10" s="539"/>
      <c r="I10" s="218"/>
      <c r="J10" s="458"/>
      <c r="K10" s="218"/>
      <c r="L10" s="536"/>
      <c r="M10" s="218"/>
      <c r="N10" s="458"/>
      <c r="O10" s="539"/>
      <c r="P10" s="218"/>
      <c r="Q10" s="1"/>
      <c r="R10" s="1"/>
      <c r="S10" s="1"/>
      <c r="T10" s="1"/>
      <c r="U10" s="1"/>
      <c r="V10" s="1"/>
      <c r="W10" s="1"/>
      <c r="X10" s="1"/>
      <c r="Y10" s="1"/>
      <c r="Z10" s="1"/>
      <c r="AA10" s="1"/>
      <c r="AB10" s="1"/>
      <c r="AC10" s="1"/>
    </row>
    <row r="11" spans="1:29" x14ac:dyDescent="0.25">
      <c r="A11" s="4">
        <v>1</v>
      </c>
      <c r="B11" s="540">
        <v>45313</v>
      </c>
      <c r="C11" s="175">
        <v>3584</v>
      </c>
      <c r="D11" s="674">
        <v>18770</v>
      </c>
      <c r="E11" s="593">
        <f>C11+D11</f>
        <v>22354</v>
      </c>
      <c r="F11" s="58">
        <f>C11*$H$41</f>
        <v>7.611982512456307</v>
      </c>
      <c r="G11" s="232">
        <f t="shared" ref="G11:G34" si="0">D11*$H$41</f>
        <v>39.865209754130824</v>
      </c>
      <c r="H11" s="120">
        <f>F11+G11</f>
        <v>47.477192266587132</v>
      </c>
      <c r="I11" s="176">
        <f t="shared" ref="I11:I34" si="1">C11-F11</f>
        <v>3576.3880174875435</v>
      </c>
      <c r="J11" s="232">
        <f t="shared" ref="J11:J34" si="2">D11-G11</f>
        <v>18730.134790245869</v>
      </c>
      <c r="K11" s="120">
        <f t="shared" ref="K11:K34" si="3">I11+J11</f>
        <v>22306.522807733414</v>
      </c>
      <c r="L11" s="241">
        <v>1</v>
      </c>
      <c r="M11" s="58">
        <f t="shared" ref="M11:M34" si="4">I11*$L11</f>
        <v>3576.3880174875435</v>
      </c>
      <c r="N11" s="232">
        <f t="shared" ref="N11:N34" si="5">J11*$L11</f>
        <v>18730.134790245869</v>
      </c>
      <c r="O11" s="593">
        <f t="shared" ref="O11:O34" si="6">M11+N11</f>
        <v>22306.522807733414</v>
      </c>
      <c r="P11" s="4">
        <f>A11</f>
        <v>1</v>
      </c>
      <c r="Q11" s="1"/>
      <c r="R11" s="31"/>
      <c r="S11" s="31"/>
      <c r="T11" s="31"/>
      <c r="U11" s="31"/>
      <c r="V11" s="31"/>
      <c r="W11" s="31"/>
      <c r="X11" s="31"/>
      <c r="Y11" s="31"/>
      <c r="Z11" s="31"/>
      <c r="AA11" s="31"/>
      <c r="AB11" s="31"/>
      <c r="AC11" s="31"/>
    </row>
    <row r="12" spans="1:29" x14ac:dyDescent="0.25">
      <c r="A12" s="4">
        <f t="shared" ref="A12:A49" si="7">A11+1</f>
        <v>2</v>
      </c>
      <c r="B12" s="540">
        <v>45344</v>
      </c>
      <c r="C12" s="177">
        <v>12403</v>
      </c>
      <c r="D12" s="675">
        <v>6601</v>
      </c>
      <c r="E12" s="125">
        <f>C12+D12</f>
        <v>19004</v>
      </c>
      <c r="F12" s="178">
        <f t="shared" ref="F12:F34" si="8">C12*$H$41</f>
        <v>26.342471847655016</v>
      </c>
      <c r="G12" s="233">
        <f t="shared" si="0"/>
        <v>14.019725603996674</v>
      </c>
      <c r="H12" s="574">
        <f>F12+G12</f>
        <v>40.362197451651689</v>
      </c>
      <c r="I12" s="52">
        <f t="shared" si="1"/>
        <v>12376.657528152346</v>
      </c>
      <c r="J12" s="233">
        <f t="shared" si="2"/>
        <v>6586.9802743960036</v>
      </c>
      <c r="K12" s="125">
        <f t="shared" si="3"/>
        <v>18963.63780254835</v>
      </c>
      <c r="L12" s="241">
        <v>1</v>
      </c>
      <c r="M12" s="52">
        <f t="shared" si="4"/>
        <v>12376.657528152346</v>
      </c>
      <c r="N12" s="233">
        <f t="shared" si="5"/>
        <v>6586.9802743960036</v>
      </c>
      <c r="O12" s="574">
        <f t="shared" si="6"/>
        <v>18963.63780254835</v>
      </c>
      <c r="P12" s="4">
        <f t="shared" ref="P12:P49" si="9">P11+1</f>
        <v>2</v>
      </c>
      <c r="Q12" s="31"/>
      <c r="R12" s="31"/>
      <c r="S12" s="31"/>
      <c r="T12" s="31"/>
      <c r="U12" s="31"/>
      <c r="V12" s="31"/>
      <c r="W12" s="31"/>
      <c r="X12" s="31"/>
      <c r="Y12" s="31"/>
      <c r="Z12" s="31"/>
      <c r="AA12" s="31"/>
      <c r="AB12" s="31"/>
      <c r="AC12" s="31"/>
    </row>
    <row r="13" spans="1:29" x14ac:dyDescent="0.25">
      <c r="A13" s="4">
        <f t="shared" si="7"/>
        <v>3</v>
      </c>
      <c r="B13" s="540">
        <v>45373</v>
      </c>
      <c r="C13" s="177">
        <v>33931</v>
      </c>
      <c r="D13" s="675">
        <v>6191</v>
      </c>
      <c r="E13" s="125">
        <f t="shared" ref="E13:E33" si="10">C13+D13</f>
        <v>40122</v>
      </c>
      <c r="F13" s="178">
        <f t="shared" si="8"/>
        <v>72.065340019574478</v>
      </c>
      <c r="G13" s="233">
        <f>D13*$H$41</f>
        <v>13.148935193810546</v>
      </c>
      <c r="H13" s="574">
        <f t="shared" ref="H13:H34" si="11">F13+G13</f>
        <v>85.214275213385022</v>
      </c>
      <c r="I13" s="52">
        <f t="shared" si="1"/>
        <v>33858.934659980427</v>
      </c>
      <c r="J13" s="233">
        <f t="shared" si="2"/>
        <v>6177.8510648061892</v>
      </c>
      <c r="K13" s="125">
        <f t="shared" si="3"/>
        <v>40036.78572478662</v>
      </c>
      <c r="L13" s="241">
        <v>1</v>
      </c>
      <c r="M13" s="52">
        <f t="shared" si="4"/>
        <v>33858.934659980427</v>
      </c>
      <c r="N13" s="233">
        <f t="shared" si="5"/>
        <v>6177.8510648061892</v>
      </c>
      <c r="O13" s="574">
        <f t="shared" si="6"/>
        <v>40036.78572478662</v>
      </c>
      <c r="P13" s="4">
        <f t="shared" si="9"/>
        <v>3</v>
      </c>
      <c r="Q13" s="31"/>
      <c r="R13" s="31"/>
      <c r="S13" s="31"/>
      <c r="T13" s="31"/>
      <c r="U13" s="31"/>
      <c r="V13" s="31"/>
      <c r="W13" s="31"/>
      <c r="X13" s="31"/>
      <c r="Y13" s="31"/>
      <c r="Z13" s="31"/>
      <c r="AA13" s="31"/>
      <c r="AB13" s="31"/>
      <c r="AC13" s="31"/>
    </row>
    <row r="14" spans="1:29" ht="16.5" thickBot="1" x14ac:dyDescent="0.3">
      <c r="A14" s="4">
        <f t="shared" si="7"/>
        <v>4</v>
      </c>
      <c r="B14" s="541">
        <v>45404</v>
      </c>
      <c r="C14" s="179">
        <v>19231</v>
      </c>
      <c r="D14" s="675">
        <v>6456</v>
      </c>
      <c r="E14" s="180">
        <f t="shared" si="10"/>
        <v>25687</v>
      </c>
      <c r="F14" s="181">
        <f t="shared" si="8"/>
        <v>40.844317995827915</v>
      </c>
      <c r="G14" s="182">
        <f t="shared" si="0"/>
        <v>13.711763141857677</v>
      </c>
      <c r="H14" s="183">
        <f t="shared" si="11"/>
        <v>54.556081137685595</v>
      </c>
      <c r="I14" s="184">
        <f t="shared" si="1"/>
        <v>19190.155682004173</v>
      </c>
      <c r="J14" s="182">
        <f t="shared" si="2"/>
        <v>6442.2882368581422</v>
      </c>
      <c r="K14" s="180">
        <f t="shared" si="3"/>
        <v>25632.443918862315</v>
      </c>
      <c r="L14" s="245">
        <v>1</v>
      </c>
      <c r="M14" s="182">
        <f t="shared" si="4"/>
        <v>19190.155682004173</v>
      </c>
      <c r="N14" s="182">
        <f t="shared" si="5"/>
        <v>6442.2882368581422</v>
      </c>
      <c r="O14" s="183">
        <f t="shared" si="6"/>
        <v>25632.443918862315</v>
      </c>
      <c r="P14" s="4">
        <f t="shared" si="9"/>
        <v>4</v>
      </c>
      <c r="Q14" s="31"/>
      <c r="R14" s="31"/>
      <c r="S14" s="31"/>
      <c r="T14" s="31"/>
      <c r="U14" s="31"/>
      <c r="V14" s="31"/>
      <c r="W14" s="31"/>
      <c r="X14" s="31"/>
      <c r="Y14" s="31"/>
      <c r="Z14" s="31"/>
      <c r="AA14" s="31"/>
      <c r="AB14" s="31"/>
      <c r="AC14" s="31"/>
    </row>
    <row r="15" spans="1:29" x14ac:dyDescent="0.25">
      <c r="A15" s="4">
        <f t="shared" si="7"/>
        <v>5</v>
      </c>
      <c r="B15" s="540">
        <v>45434</v>
      </c>
      <c r="C15" s="177">
        <v>28862</v>
      </c>
      <c r="D15" s="185">
        <v>48291</v>
      </c>
      <c r="E15" s="123">
        <f t="shared" si="10"/>
        <v>77153</v>
      </c>
      <c r="F15" s="186">
        <f t="shared" si="8"/>
        <v>61.299397119005</v>
      </c>
      <c r="G15" s="129">
        <f t="shared" si="0"/>
        <v>102.56424316658133</v>
      </c>
      <c r="H15" s="124">
        <f t="shared" si="11"/>
        <v>163.86364028558634</v>
      </c>
      <c r="I15" s="187">
        <f t="shared" si="1"/>
        <v>28800.700602880996</v>
      </c>
      <c r="J15" s="129">
        <f t="shared" si="2"/>
        <v>48188.435756833416</v>
      </c>
      <c r="K15" s="123">
        <f t="shared" si="3"/>
        <v>76989.136359714408</v>
      </c>
      <c r="L15" s="246">
        <v>1</v>
      </c>
      <c r="M15" s="52">
        <f t="shared" si="4"/>
        <v>28800.700602880996</v>
      </c>
      <c r="N15" s="129">
        <f t="shared" si="5"/>
        <v>48188.435756833416</v>
      </c>
      <c r="O15" s="124">
        <f t="shared" si="6"/>
        <v>76989.136359714408</v>
      </c>
      <c r="P15" s="4">
        <f t="shared" si="9"/>
        <v>5</v>
      </c>
      <c r="Q15" s="31"/>
      <c r="R15" s="31"/>
      <c r="S15" s="31"/>
      <c r="T15" s="31"/>
      <c r="U15" s="31"/>
      <c r="V15" s="31"/>
      <c r="W15" s="31"/>
      <c r="X15" s="31"/>
      <c r="Y15" s="31"/>
      <c r="Z15" s="31"/>
      <c r="AA15" s="31"/>
      <c r="AB15" s="31"/>
      <c r="AC15" s="31"/>
    </row>
    <row r="16" spans="1:29" x14ac:dyDescent="0.25">
      <c r="A16" s="4">
        <f t="shared" si="7"/>
        <v>6</v>
      </c>
      <c r="B16" s="540">
        <v>45465</v>
      </c>
      <c r="C16" s="177">
        <v>7855</v>
      </c>
      <c r="D16" s="675">
        <v>18509</v>
      </c>
      <c r="E16" s="125">
        <f t="shared" si="10"/>
        <v>26364</v>
      </c>
      <c r="F16" s="178">
        <f t="shared" si="8"/>
        <v>16.683069931736689</v>
      </c>
      <c r="G16" s="233">
        <f t="shared" si="0"/>
        <v>39.310877322280632</v>
      </c>
      <c r="H16" s="574">
        <f t="shared" si="11"/>
        <v>55.993947254017321</v>
      </c>
      <c r="I16" s="52">
        <f t="shared" si="1"/>
        <v>7838.316930068263</v>
      </c>
      <c r="J16" s="233">
        <f t="shared" si="2"/>
        <v>18469.689122677719</v>
      </c>
      <c r="K16" s="125">
        <f t="shared" si="3"/>
        <v>26308.006052745983</v>
      </c>
      <c r="L16" s="241">
        <v>1</v>
      </c>
      <c r="M16" s="52">
        <f t="shared" si="4"/>
        <v>7838.316930068263</v>
      </c>
      <c r="N16" s="233">
        <f t="shared" si="5"/>
        <v>18469.689122677719</v>
      </c>
      <c r="O16" s="574">
        <f t="shared" si="6"/>
        <v>26308.006052745983</v>
      </c>
      <c r="P16" s="4">
        <f t="shared" si="9"/>
        <v>6</v>
      </c>
      <c r="Q16" s="31"/>
      <c r="R16" s="31"/>
      <c r="S16" s="31"/>
      <c r="T16" s="31"/>
      <c r="U16" s="31"/>
      <c r="V16" s="31"/>
      <c r="W16" s="31"/>
      <c r="X16" s="31"/>
      <c r="Y16" s="31"/>
      <c r="Z16" s="31"/>
      <c r="AA16" s="31"/>
      <c r="AB16" s="31"/>
      <c r="AC16" s="31"/>
    </row>
    <row r="17" spans="1:29" x14ac:dyDescent="0.25">
      <c r="A17" s="4">
        <f t="shared" si="7"/>
        <v>7</v>
      </c>
      <c r="B17" s="540">
        <v>45495</v>
      </c>
      <c r="C17" s="177">
        <v>2302</v>
      </c>
      <c r="D17" s="675">
        <v>11764</v>
      </c>
      <c r="E17" s="125">
        <f t="shared" si="10"/>
        <v>14066</v>
      </c>
      <c r="F17" s="178">
        <f t="shared" si="8"/>
        <v>4.8891695713377281</v>
      </c>
      <c r="G17" s="233">
        <f t="shared" si="0"/>
        <v>24.985313135194197</v>
      </c>
      <c r="H17" s="574">
        <f t="shared" si="11"/>
        <v>29.874482706531925</v>
      </c>
      <c r="I17" s="52">
        <f t="shared" si="1"/>
        <v>2297.1108304286622</v>
      </c>
      <c r="J17" s="233">
        <f t="shared" si="2"/>
        <v>11739.014686864806</v>
      </c>
      <c r="K17" s="125">
        <f t="shared" si="3"/>
        <v>14036.125517293469</v>
      </c>
      <c r="L17" s="241">
        <v>1</v>
      </c>
      <c r="M17" s="52">
        <f t="shared" si="4"/>
        <v>2297.1108304286622</v>
      </c>
      <c r="N17" s="233">
        <f t="shared" si="5"/>
        <v>11739.014686864806</v>
      </c>
      <c r="O17" s="574">
        <f t="shared" si="6"/>
        <v>14036.125517293469</v>
      </c>
      <c r="P17" s="4">
        <f t="shared" si="9"/>
        <v>7</v>
      </c>
      <c r="Q17" s="31"/>
      <c r="R17" s="31"/>
      <c r="S17" s="31"/>
      <c r="T17" s="31"/>
      <c r="U17" s="31"/>
      <c r="V17" s="31"/>
      <c r="W17" s="31"/>
      <c r="X17" s="31"/>
      <c r="Y17" s="31"/>
      <c r="Z17" s="31"/>
      <c r="AA17" s="31"/>
      <c r="AB17" s="31"/>
      <c r="AC17" s="31"/>
    </row>
    <row r="18" spans="1:29" ht="16.5" thickBot="1" x14ac:dyDescent="0.3">
      <c r="A18" s="4">
        <f t="shared" si="7"/>
        <v>8</v>
      </c>
      <c r="B18" s="541">
        <v>45526</v>
      </c>
      <c r="C18" s="179">
        <v>6231</v>
      </c>
      <c r="D18" s="675">
        <v>2926</v>
      </c>
      <c r="E18" s="180">
        <f t="shared" si="10"/>
        <v>9157</v>
      </c>
      <c r="F18" s="181">
        <f t="shared" si="8"/>
        <v>13.233890355779923</v>
      </c>
      <c r="G18" s="182">
        <f t="shared" si="0"/>
        <v>6.2144700980600316</v>
      </c>
      <c r="H18" s="183">
        <f t="shared" si="11"/>
        <v>19.448360453839953</v>
      </c>
      <c r="I18" s="184">
        <f t="shared" si="1"/>
        <v>6217.7661096442198</v>
      </c>
      <c r="J18" s="182">
        <f t="shared" si="2"/>
        <v>2919.7855299019398</v>
      </c>
      <c r="K18" s="180">
        <f t="shared" si="3"/>
        <v>9137.55163954616</v>
      </c>
      <c r="L18" s="245">
        <v>1</v>
      </c>
      <c r="M18" s="182">
        <f t="shared" si="4"/>
        <v>6217.7661096442198</v>
      </c>
      <c r="N18" s="182">
        <f t="shared" si="5"/>
        <v>2919.7855299019398</v>
      </c>
      <c r="O18" s="183">
        <f t="shared" si="6"/>
        <v>9137.55163954616</v>
      </c>
      <c r="P18" s="4">
        <f t="shared" si="9"/>
        <v>8</v>
      </c>
      <c r="Q18" s="31"/>
      <c r="R18" s="31"/>
      <c r="S18" s="31"/>
      <c r="T18" s="31"/>
      <c r="U18" s="31"/>
      <c r="V18" s="31"/>
      <c r="W18" s="31"/>
      <c r="X18" s="31"/>
      <c r="Y18" s="31"/>
      <c r="Z18" s="31"/>
      <c r="AA18" s="31"/>
      <c r="AB18" s="31"/>
      <c r="AC18" s="31"/>
    </row>
    <row r="19" spans="1:29" x14ac:dyDescent="0.25">
      <c r="A19" s="4">
        <f t="shared" si="7"/>
        <v>9</v>
      </c>
      <c r="B19" s="540">
        <v>45557</v>
      </c>
      <c r="C19" s="177">
        <v>2971</v>
      </c>
      <c r="D19" s="185">
        <v>10888</v>
      </c>
      <c r="E19" s="123">
        <f t="shared" si="10"/>
        <v>13859</v>
      </c>
      <c r="F19" s="186">
        <f t="shared" si="8"/>
        <v>6.3100446552755827</v>
      </c>
      <c r="G19" s="129">
        <f t="shared" si="0"/>
        <v>23.124795088064808</v>
      </c>
      <c r="H19" s="124">
        <f t="shared" si="11"/>
        <v>29.43483974334039</v>
      </c>
      <c r="I19" s="187">
        <f t="shared" si="1"/>
        <v>2964.6899553447242</v>
      </c>
      <c r="J19" s="129">
        <f t="shared" si="2"/>
        <v>10864.875204911936</v>
      </c>
      <c r="K19" s="123">
        <f t="shared" si="3"/>
        <v>13829.56516025666</v>
      </c>
      <c r="L19" s="246">
        <v>1</v>
      </c>
      <c r="M19" s="52">
        <f t="shared" si="4"/>
        <v>2964.6899553447242</v>
      </c>
      <c r="N19" s="129">
        <f t="shared" si="5"/>
        <v>10864.875204911936</v>
      </c>
      <c r="O19" s="124">
        <f t="shared" si="6"/>
        <v>13829.56516025666</v>
      </c>
      <c r="P19" s="4">
        <f t="shared" si="9"/>
        <v>9</v>
      </c>
      <c r="Q19" s="31"/>
      <c r="R19" s="31"/>
      <c r="S19" s="31"/>
      <c r="T19" s="31"/>
      <c r="U19" s="31"/>
      <c r="V19" s="31"/>
      <c r="W19" s="31"/>
      <c r="X19" s="31"/>
      <c r="Y19" s="31"/>
      <c r="Z19" s="31"/>
      <c r="AA19" s="31"/>
      <c r="AB19" s="31"/>
      <c r="AC19" s="31"/>
    </row>
    <row r="20" spans="1:29" x14ac:dyDescent="0.25">
      <c r="A20" s="4">
        <f t="shared" si="7"/>
        <v>10</v>
      </c>
      <c r="B20" s="540">
        <v>45587</v>
      </c>
      <c r="C20" s="177">
        <v>5283</v>
      </c>
      <c r="D20" s="675">
        <v>11128</v>
      </c>
      <c r="E20" s="125">
        <f t="shared" si="10"/>
        <v>16411</v>
      </c>
      <c r="F20" s="178">
        <f t="shared" si="8"/>
        <v>11.220453017105656</v>
      </c>
      <c r="G20" s="233">
        <f t="shared" si="0"/>
        <v>23.634526059881079</v>
      </c>
      <c r="H20" s="574">
        <f t="shared" si="11"/>
        <v>34.854979076986737</v>
      </c>
      <c r="I20" s="52">
        <f t="shared" si="1"/>
        <v>5271.7795469828943</v>
      </c>
      <c r="J20" s="233">
        <f t="shared" si="2"/>
        <v>11104.365473940119</v>
      </c>
      <c r="K20" s="125">
        <f t="shared" si="3"/>
        <v>16376.145020923013</v>
      </c>
      <c r="L20" s="241">
        <v>1</v>
      </c>
      <c r="M20" s="52">
        <f t="shared" si="4"/>
        <v>5271.7795469828943</v>
      </c>
      <c r="N20" s="233">
        <f t="shared" si="5"/>
        <v>11104.365473940119</v>
      </c>
      <c r="O20" s="574">
        <f t="shared" si="6"/>
        <v>16376.145020923013</v>
      </c>
      <c r="P20" s="4">
        <f t="shared" si="9"/>
        <v>10</v>
      </c>
      <c r="Q20" s="31"/>
      <c r="R20" s="31"/>
      <c r="S20" s="31"/>
      <c r="T20" s="31"/>
      <c r="U20" s="31"/>
      <c r="V20" s="31"/>
      <c r="W20" s="31"/>
      <c r="X20" s="31"/>
      <c r="Y20" s="31"/>
      <c r="Z20" s="31"/>
      <c r="AA20" s="31"/>
      <c r="AB20" s="31"/>
      <c r="AC20" s="31"/>
    </row>
    <row r="21" spans="1:29" x14ac:dyDescent="0.25">
      <c r="A21" s="4">
        <f t="shared" si="7"/>
        <v>11</v>
      </c>
      <c r="B21" s="540">
        <v>45618</v>
      </c>
      <c r="C21" s="177">
        <v>4675</v>
      </c>
      <c r="D21" s="675">
        <v>19626</v>
      </c>
      <c r="E21" s="6">
        <f t="shared" si="10"/>
        <v>24301</v>
      </c>
      <c r="F21" s="178">
        <f t="shared" si="8"/>
        <v>9.9291345551711032</v>
      </c>
      <c r="G21" s="233">
        <f t="shared" si="0"/>
        <v>41.683250220275525</v>
      </c>
      <c r="H21" s="128">
        <f t="shared" si="11"/>
        <v>51.612384775446628</v>
      </c>
      <c r="I21" s="52">
        <f t="shared" si="1"/>
        <v>4665.070865444829</v>
      </c>
      <c r="J21" s="233">
        <f t="shared" si="2"/>
        <v>19584.316749779726</v>
      </c>
      <c r="K21" s="6">
        <f t="shared" si="3"/>
        <v>24249.387615224554</v>
      </c>
      <c r="L21" s="241">
        <v>1</v>
      </c>
      <c r="M21" s="52">
        <f t="shared" si="4"/>
        <v>4665.070865444829</v>
      </c>
      <c r="N21" s="233">
        <f t="shared" si="5"/>
        <v>19584.316749779726</v>
      </c>
      <c r="O21" s="128">
        <f t="shared" si="6"/>
        <v>24249.387615224554</v>
      </c>
      <c r="P21" s="4">
        <f t="shared" si="9"/>
        <v>11</v>
      </c>
      <c r="Q21" s="31"/>
      <c r="R21" s="31"/>
      <c r="S21" s="31"/>
      <c r="T21" s="31"/>
      <c r="U21" s="31"/>
      <c r="V21" s="31"/>
      <c r="W21" s="31"/>
      <c r="X21" s="31"/>
      <c r="Y21" s="31"/>
      <c r="Z21" s="31"/>
      <c r="AA21" s="31"/>
      <c r="AB21" s="31"/>
      <c r="AC21" s="31"/>
    </row>
    <row r="22" spans="1:29" ht="16.5" thickBot="1" x14ac:dyDescent="0.3">
      <c r="A22" s="4">
        <f t="shared" si="7"/>
        <v>12</v>
      </c>
      <c r="B22" s="540">
        <v>45648</v>
      </c>
      <c r="C22" s="179">
        <v>7659</v>
      </c>
      <c r="D22" s="675">
        <v>58172</v>
      </c>
      <c r="E22" s="180">
        <f t="shared" si="10"/>
        <v>65831</v>
      </c>
      <c r="F22" s="181">
        <f t="shared" si="8"/>
        <v>16.266789638086735</v>
      </c>
      <c r="G22" s="182">
        <f t="shared" si="0"/>
        <v>123.55029205206705</v>
      </c>
      <c r="H22" s="183">
        <f t="shared" si="11"/>
        <v>139.81708169015377</v>
      </c>
      <c r="I22" s="184">
        <f t="shared" si="1"/>
        <v>7642.7332103619128</v>
      </c>
      <c r="J22" s="182">
        <f t="shared" si="2"/>
        <v>58048.449707947933</v>
      </c>
      <c r="K22" s="180">
        <f t="shared" si="3"/>
        <v>65691.182918309845</v>
      </c>
      <c r="L22" s="245">
        <v>1</v>
      </c>
      <c r="M22" s="182">
        <f t="shared" si="4"/>
        <v>7642.7332103619128</v>
      </c>
      <c r="N22" s="182">
        <f t="shared" si="5"/>
        <v>58048.449707947933</v>
      </c>
      <c r="O22" s="183">
        <f t="shared" si="6"/>
        <v>65691.182918309845</v>
      </c>
      <c r="P22" s="4">
        <f t="shared" si="9"/>
        <v>12</v>
      </c>
      <c r="Q22" s="31"/>
      <c r="R22" s="31"/>
      <c r="S22" s="31"/>
      <c r="T22" s="31"/>
      <c r="U22" s="31"/>
      <c r="V22" s="31"/>
      <c r="W22" s="31"/>
      <c r="X22" s="31"/>
      <c r="Y22" s="31"/>
      <c r="Z22" s="31"/>
      <c r="AA22" s="31"/>
      <c r="AB22" s="31"/>
      <c r="AC22" s="31"/>
    </row>
    <row r="23" spans="1:29" x14ac:dyDescent="0.25">
      <c r="A23" s="4">
        <f t="shared" si="7"/>
        <v>13</v>
      </c>
      <c r="B23" s="676">
        <v>45679</v>
      </c>
      <c r="C23" s="177">
        <v>5590</v>
      </c>
      <c r="D23" s="185">
        <v>13180</v>
      </c>
      <c r="E23" s="123">
        <f t="shared" si="10"/>
        <v>18770</v>
      </c>
      <c r="F23" s="186">
        <f t="shared" si="8"/>
        <v>11.872483885220635</v>
      </c>
      <c r="G23" s="129">
        <f t="shared" si="0"/>
        <v>27.992725868910192</v>
      </c>
      <c r="H23" s="124">
        <f t="shared" si="11"/>
        <v>39.865209754130831</v>
      </c>
      <c r="I23" s="187">
        <f t="shared" si="1"/>
        <v>5578.1275161147796</v>
      </c>
      <c r="J23" s="129">
        <f t="shared" si="2"/>
        <v>13152.007274131091</v>
      </c>
      <c r="K23" s="123">
        <f t="shared" si="3"/>
        <v>18730.134790245869</v>
      </c>
      <c r="L23" s="246">
        <v>1</v>
      </c>
      <c r="M23" s="52">
        <f t="shared" si="4"/>
        <v>5578.1275161147796</v>
      </c>
      <c r="N23" s="129">
        <f t="shared" si="5"/>
        <v>13152.007274131091</v>
      </c>
      <c r="O23" s="124">
        <f t="shared" si="6"/>
        <v>18730.134790245869</v>
      </c>
      <c r="P23" s="4">
        <f t="shared" si="9"/>
        <v>13</v>
      </c>
      <c r="Q23" s="31"/>
      <c r="R23" s="31"/>
      <c r="S23" s="31"/>
      <c r="T23" s="31"/>
      <c r="U23" s="31"/>
      <c r="V23" s="31"/>
      <c r="W23" s="31"/>
      <c r="X23" s="31"/>
      <c r="Y23" s="31"/>
      <c r="Z23" s="31"/>
      <c r="AA23" s="31"/>
      <c r="AB23" s="31"/>
      <c r="AC23" s="31"/>
    </row>
    <row r="24" spans="1:29" x14ac:dyDescent="0.25">
      <c r="A24" s="4">
        <f t="shared" si="7"/>
        <v>14</v>
      </c>
      <c r="B24" s="677">
        <v>45710</v>
      </c>
      <c r="C24" s="177">
        <v>4528</v>
      </c>
      <c r="D24" s="675">
        <v>23282</v>
      </c>
      <c r="E24" s="125">
        <f t="shared" si="10"/>
        <v>27810</v>
      </c>
      <c r="F24" s="178">
        <f t="shared" si="8"/>
        <v>9.6169243349336373</v>
      </c>
      <c r="G24" s="233">
        <f t="shared" si="0"/>
        <v>49.448152024276716</v>
      </c>
      <c r="H24" s="574">
        <f t="shared" si="11"/>
        <v>59.065076359210352</v>
      </c>
      <c r="I24" s="52">
        <f t="shared" si="1"/>
        <v>4518.3830756650659</v>
      </c>
      <c r="J24" s="233">
        <f t="shared" si="2"/>
        <v>23232.551847975723</v>
      </c>
      <c r="K24" s="125">
        <f t="shared" si="3"/>
        <v>27750.934923640787</v>
      </c>
      <c r="L24" s="241">
        <v>0.91666666666666663</v>
      </c>
      <c r="M24" s="52">
        <f t="shared" si="4"/>
        <v>4141.8511526929769</v>
      </c>
      <c r="N24" s="233">
        <f t="shared" si="5"/>
        <v>21296.505860644411</v>
      </c>
      <c r="O24" s="574">
        <f t="shared" si="6"/>
        <v>25438.357013337387</v>
      </c>
      <c r="P24" s="4">
        <f t="shared" si="9"/>
        <v>14</v>
      </c>
      <c r="Q24" s="31"/>
      <c r="R24" s="31"/>
      <c r="S24" s="31"/>
      <c r="T24" s="31"/>
      <c r="U24" s="31"/>
      <c r="V24" s="31"/>
      <c r="W24" s="31"/>
      <c r="X24" s="31"/>
      <c r="Y24" s="31"/>
      <c r="Z24" s="31"/>
      <c r="AA24" s="31"/>
      <c r="AB24" s="31"/>
      <c r="AC24" s="31"/>
    </row>
    <row r="25" spans="1:29" x14ac:dyDescent="0.25">
      <c r="A25" s="4">
        <f t="shared" si="7"/>
        <v>15</v>
      </c>
      <c r="B25" s="677">
        <v>45738</v>
      </c>
      <c r="C25" s="177">
        <v>11572</v>
      </c>
      <c r="D25" s="675">
        <v>15073</v>
      </c>
      <c r="E25" s="125">
        <f t="shared" si="10"/>
        <v>26645</v>
      </c>
      <c r="F25" s="178">
        <f t="shared" si="8"/>
        <v>24.57752835774118</v>
      </c>
      <c r="G25" s="233">
        <f t="shared" si="0"/>
        <v>32.013228909111028</v>
      </c>
      <c r="H25" s="574">
        <f t="shared" si="11"/>
        <v>56.590757266852208</v>
      </c>
      <c r="I25" s="52">
        <f t="shared" si="1"/>
        <v>11547.42247164226</v>
      </c>
      <c r="J25" s="233">
        <f t="shared" si="2"/>
        <v>15040.986771090889</v>
      </c>
      <c r="K25" s="125">
        <f t="shared" si="3"/>
        <v>26588.409242733149</v>
      </c>
      <c r="L25" s="241">
        <v>0.83333333333333337</v>
      </c>
      <c r="M25" s="52">
        <f t="shared" si="4"/>
        <v>9622.8520597018833</v>
      </c>
      <c r="N25" s="233">
        <f t="shared" si="5"/>
        <v>12534.155642575741</v>
      </c>
      <c r="O25" s="574">
        <f t="shared" si="6"/>
        <v>22157.007702277624</v>
      </c>
      <c r="P25" s="4">
        <f t="shared" si="9"/>
        <v>15</v>
      </c>
      <c r="Q25" s="31"/>
      <c r="R25" s="31"/>
      <c r="S25" s="31"/>
      <c r="T25" s="31"/>
      <c r="U25" s="31"/>
      <c r="V25" s="31"/>
      <c r="W25" s="31"/>
      <c r="X25" s="31"/>
      <c r="Y25" s="31"/>
      <c r="Z25" s="31"/>
      <c r="AA25" s="31"/>
      <c r="AB25" s="31"/>
      <c r="AC25" s="31"/>
    </row>
    <row r="26" spans="1:29" ht="16.5" thickBot="1" x14ac:dyDescent="0.3">
      <c r="A26" s="4">
        <f t="shared" si="7"/>
        <v>16</v>
      </c>
      <c r="B26" s="678">
        <v>45769</v>
      </c>
      <c r="C26" s="179">
        <v>2581</v>
      </c>
      <c r="D26" s="675">
        <v>24040</v>
      </c>
      <c r="E26" s="180">
        <f t="shared" si="10"/>
        <v>26621</v>
      </c>
      <c r="F26" s="181">
        <f t="shared" si="8"/>
        <v>5.4817318260741432</v>
      </c>
      <c r="G26" s="182">
        <f t="shared" si="0"/>
        <v>51.058052343596437</v>
      </c>
      <c r="H26" s="183">
        <f t="shared" si="11"/>
        <v>56.539784169670583</v>
      </c>
      <c r="I26" s="184">
        <f t="shared" si="1"/>
        <v>2575.5182681739257</v>
      </c>
      <c r="J26" s="182">
        <f t="shared" si="2"/>
        <v>23988.941947656403</v>
      </c>
      <c r="K26" s="180">
        <f t="shared" si="3"/>
        <v>26564.460215830328</v>
      </c>
      <c r="L26" s="245">
        <v>0.75</v>
      </c>
      <c r="M26" s="182">
        <f t="shared" si="4"/>
        <v>1931.6387011304441</v>
      </c>
      <c r="N26" s="182">
        <f t="shared" si="5"/>
        <v>17991.706460742302</v>
      </c>
      <c r="O26" s="183">
        <f t="shared" si="6"/>
        <v>19923.345161872745</v>
      </c>
      <c r="P26" s="4">
        <f t="shared" si="9"/>
        <v>16</v>
      </c>
      <c r="Q26" s="31"/>
      <c r="R26" s="31"/>
      <c r="S26" s="31"/>
      <c r="T26" s="31"/>
      <c r="U26" s="31"/>
      <c r="V26" s="31"/>
      <c r="W26" s="31"/>
      <c r="X26" s="31"/>
      <c r="Y26" s="31"/>
      <c r="Z26" s="31"/>
      <c r="AA26" s="31"/>
      <c r="AB26" s="31"/>
      <c r="AC26" s="31"/>
    </row>
    <row r="27" spans="1:29" x14ac:dyDescent="0.25">
      <c r="A27" s="4">
        <f t="shared" si="7"/>
        <v>17</v>
      </c>
      <c r="B27" s="677">
        <v>45799</v>
      </c>
      <c r="C27" s="177">
        <v>5996</v>
      </c>
      <c r="D27" s="185">
        <v>14817</v>
      </c>
      <c r="E27" s="6">
        <f t="shared" si="10"/>
        <v>20813</v>
      </c>
      <c r="F27" s="186">
        <f t="shared" si="8"/>
        <v>12.734778779209826</v>
      </c>
      <c r="G27" s="129">
        <f t="shared" si="0"/>
        <v>31.469515872507003</v>
      </c>
      <c r="H27" s="128">
        <f t="shared" si="11"/>
        <v>44.204294651716829</v>
      </c>
      <c r="I27" s="187">
        <f t="shared" si="1"/>
        <v>5983.2652212207904</v>
      </c>
      <c r="J27" s="129">
        <f t="shared" si="2"/>
        <v>14785.530484127494</v>
      </c>
      <c r="K27" s="6">
        <f t="shared" si="3"/>
        <v>20768.795705348282</v>
      </c>
      <c r="L27" s="246">
        <v>0.66666666666666663</v>
      </c>
      <c r="M27" s="52">
        <f t="shared" si="4"/>
        <v>3988.84348081386</v>
      </c>
      <c r="N27" s="129">
        <f t="shared" si="5"/>
        <v>9857.0203227516613</v>
      </c>
      <c r="O27" s="128">
        <f t="shared" si="6"/>
        <v>13845.86380356552</v>
      </c>
      <c r="P27" s="4">
        <f t="shared" si="9"/>
        <v>17</v>
      </c>
      <c r="Q27" s="31"/>
      <c r="R27" s="31"/>
      <c r="S27" s="31"/>
      <c r="T27" s="31"/>
      <c r="U27" s="31"/>
      <c r="V27" s="31"/>
      <c r="W27" s="31"/>
      <c r="X27" s="31"/>
      <c r="Y27" s="31"/>
      <c r="Z27" s="31"/>
      <c r="AA27" s="31"/>
      <c r="AB27" s="31"/>
      <c r="AC27" s="31"/>
    </row>
    <row r="28" spans="1:29" x14ac:dyDescent="0.25">
      <c r="A28" s="4">
        <f t="shared" si="7"/>
        <v>18</v>
      </c>
      <c r="B28" s="677">
        <v>45830</v>
      </c>
      <c r="C28" s="177">
        <v>3358</v>
      </c>
      <c r="D28" s="675">
        <v>11124</v>
      </c>
      <c r="E28" s="125">
        <f t="shared" si="10"/>
        <v>14482</v>
      </c>
      <c r="F28" s="178">
        <f t="shared" si="8"/>
        <v>7.131985847329319</v>
      </c>
      <c r="G28" s="233">
        <f t="shared" si="0"/>
        <v>23.626030543684141</v>
      </c>
      <c r="H28" s="574">
        <f t="shared" si="11"/>
        <v>30.758016391013459</v>
      </c>
      <c r="I28" s="52">
        <f t="shared" si="1"/>
        <v>3350.8680141526706</v>
      </c>
      <c r="J28" s="233">
        <f t="shared" si="2"/>
        <v>11100.373969456316</v>
      </c>
      <c r="K28" s="125">
        <f t="shared" si="3"/>
        <v>14451.241983608987</v>
      </c>
      <c r="L28" s="241">
        <v>0.58333333333333337</v>
      </c>
      <c r="M28" s="52">
        <f t="shared" si="4"/>
        <v>1954.6730082557247</v>
      </c>
      <c r="N28" s="233">
        <f t="shared" si="5"/>
        <v>6475.218148849518</v>
      </c>
      <c r="O28" s="574">
        <f t="shared" si="6"/>
        <v>8429.8911571052431</v>
      </c>
      <c r="P28" s="4">
        <f t="shared" si="9"/>
        <v>18</v>
      </c>
      <c r="Q28" s="31"/>
      <c r="R28" s="31"/>
      <c r="S28" s="31"/>
      <c r="T28" s="31"/>
      <c r="U28" s="31"/>
      <c r="V28" s="31"/>
      <c r="W28" s="31"/>
      <c r="X28" s="31"/>
      <c r="Y28" s="31"/>
      <c r="Z28" s="31"/>
      <c r="AA28" s="31"/>
      <c r="AB28" s="31"/>
      <c r="AC28" s="31"/>
    </row>
    <row r="29" spans="1:29" x14ac:dyDescent="0.25">
      <c r="A29" s="4">
        <f t="shared" si="7"/>
        <v>19</v>
      </c>
      <c r="B29" s="677">
        <v>45860</v>
      </c>
      <c r="C29" s="177">
        <v>3296</v>
      </c>
      <c r="D29" s="675">
        <v>63579</v>
      </c>
      <c r="E29" s="125">
        <f t="shared" si="10"/>
        <v>66875</v>
      </c>
      <c r="F29" s="178">
        <f t="shared" si="8"/>
        <v>7.0003053462767824</v>
      </c>
      <c r="G29" s="233">
        <f t="shared" si="0"/>
        <v>135.03410607127776</v>
      </c>
      <c r="H29" s="574">
        <f t="shared" si="11"/>
        <v>142.03441141755454</v>
      </c>
      <c r="I29" s="52">
        <f t="shared" si="1"/>
        <v>3288.9996946537231</v>
      </c>
      <c r="J29" s="233">
        <f t="shared" si="2"/>
        <v>63443.965893928726</v>
      </c>
      <c r="K29" s="125">
        <f t="shared" si="3"/>
        <v>66732.965588582447</v>
      </c>
      <c r="L29" s="241">
        <v>0.5</v>
      </c>
      <c r="M29" s="52">
        <f t="shared" si="4"/>
        <v>1644.4998473268615</v>
      </c>
      <c r="N29" s="233">
        <f t="shared" si="5"/>
        <v>31721.982946964363</v>
      </c>
      <c r="O29" s="574">
        <f t="shared" si="6"/>
        <v>33366.482794291223</v>
      </c>
      <c r="P29" s="4">
        <f t="shared" si="9"/>
        <v>19</v>
      </c>
      <c r="Q29" s="31"/>
      <c r="R29" s="31"/>
      <c r="S29" s="31"/>
      <c r="T29" s="31"/>
      <c r="U29" s="31"/>
      <c r="V29" s="31"/>
      <c r="W29" s="31"/>
      <c r="X29" s="31"/>
      <c r="Y29" s="31"/>
      <c r="Z29" s="31"/>
      <c r="AA29" s="31"/>
      <c r="AB29" s="31"/>
      <c r="AC29" s="31"/>
    </row>
    <row r="30" spans="1:29" ht="16.5" thickBot="1" x14ac:dyDescent="0.3">
      <c r="A30" s="4">
        <f t="shared" si="7"/>
        <v>20</v>
      </c>
      <c r="B30" s="678">
        <v>45891</v>
      </c>
      <c r="C30" s="179">
        <v>3293</v>
      </c>
      <c r="D30" s="675">
        <v>10435</v>
      </c>
      <c r="E30" s="180">
        <f t="shared" si="10"/>
        <v>13728</v>
      </c>
      <c r="F30" s="181">
        <f t="shared" si="8"/>
        <v>6.9939337091290792</v>
      </c>
      <c r="G30" s="182">
        <f t="shared" si="0"/>
        <v>22.162677878761595</v>
      </c>
      <c r="H30" s="183">
        <f t="shared" si="11"/>
        <v>29.156611587890673</v>
      </c>
      <c r="I30" s="184">
        <f t="shared" si="1"/>
        <v>3286.0060662908709</v>
      </c>
      <c r="J30" s="182">
        <f t="shared" si="2"/>
        <v>10412.837322121239</v>
      </c>
      <c r="K30" s="180">
        <f t="shared" si="3"/>
        <v>13698.84338841211</v>
      </c>
      <c r="L30" s="245">
        <v>0.41666666666666669</v>
      </c>
      <c r="M30" s="182">
        <f t="shared" si="4"/>
        <v>1369.1691942878629</v>
      </c>
      <c r="N30" s="182">
        <f t="shared" si="5"/>
        <v>4338.6822175505167</v>
      </c>
      <c r="O30" s="183">
        <f t="shared" si="6"/>
        <v>5707.8514118383791</v>
      </c>
      <c r="P30" s="4">
        <f t="shared" si="9"/>
        <v>20</v>
      </c>
      <c r="Q30" s="31"/>
      <c r="R30" s="31"/>
      <c r="S30" s="31"/>
      <c r="T30" s="31"/>
      <c r="U30" s="31"/>
      <c r="V30" s="31"/>
      <c r="W30" s="31"/>
      <c r="X30" s="31"/>
      <c r="Y30" s="31"/>
      <c r="Z30" s="31"/>
      <c r="AA30" s="31"/>
      <c r="AB30" s="31"/>
      <c r="AC30" s="31"/>
    </row>
    <row r="31" spans="1:29" x14ac:dyDescent="0.25">
      <c r="A31" s="4">
        <f t="shared" si="7"/>
        <v>21</v>
      </c>
      <c r="B31" s="677">
        <v>45922</v>
      </c>
      <c r="C31" s="177">
        <v>3516</v>
      </c>
      <c r="D31" s="185">
        <v>40118</v>
      </c>
      <c r="E31" s="125">
        <f t="shared" si="10"/>
        <v>43634</v>
      </c>
      <c r="F31" s="186">
        <f t="shared" si="8"/>
        <v>7.467558737108364</v>
      </c>
      <c r="G31" s="129">
        <f t="shared" si="0"/>
        <v>85.205779697188092</v>
      </c>
      <c r="H31" s="574">
        <f>F31+G31</f>
        <v>92.673338434296454</v>
      </c>
      <c r="I31" s="187">
        <f t="shared" si="1"/>
        <v>3508.5324412628916</v>
      </c>
      <c r="J31" s="129">
        <f t="shared" si="2"/>
        <v>40032.794220302814</v>
      </c>
      <c r="K31" s="125">
        <f t="shared" si="3"/>
        <v>43541.326661565705</v>
      </c>
      <c r="L31" s="246">
        <v>0.33333333333333331</v>
      </c>
      <c r="M31" s="52">
        <f t="shared" si="4"/>
        <v>1169.510813754297</v>
      </c>
      <c r="N31" s="129">
        <f t="shared" si="5"/>
        <v>13344.264740100938</v>
      </c>
      <c r="O31" s="574">
        <f t="shared" si="6"/>
        <v>14513.775553855236</v>
      </c>
      <c r="P31" s="4">
        <f t="shared" si="9"/>
        <v>21</v>
      </c>
      <c r="Q31" s="31"/>
      <c r="R31" s="31"/>
      <c r="S31" s="31"/>
      <c r="T31" s="31"/>
      <c r="U31" s="31"/>
      <c r="V31" s="31"/>
      <c r="W31" s="31"/>
      <c r="X31" s="31"/>
      <c r="Y31" s="31"/>
      <c r="Z31" s="31"/>
      <c r="AA31" s="31"/>
      <c r="AB31" s="31"/>
      <c r="AC31" s="31"/>
    </row>
    <row r="32" spans="1:29" x14ac:dyDescent="0.25">
      <c r="A32" s="4">
        <f t="shared" si="7"/>
        <v>22</v>
      </c>
      <c r="B32" s="677">
        <v>45952</v>
      </c>
      <c r="C32" s="177">
        <v>1217</v>
      </c>
      <c r="D32" s="675">
        <v>10984</v>
      </c>
      <c r="E32" s="6">
        <f t="shared" si="10"/>
        <v>12201</v>
      </c>
      <c r="F32" s="178">
        <f t="shared" si="8"/>
        <v>2.5847608029183387</v>
      </c>
      <c r="G32" s="233">
        <f t="shared" si="0"/>
        <v>23.328687476791316</v>
      </c>
      <c r="H32" s="128">
        <f t="shared" si="11"/>
        <v>25.913448279709655</v>
      </c>
      <c r="I32" s="52">
        <f t="shared" si="1"/>
        <v>1214.4152391970817</v>
      </c>
      <c r="J32" s="233">
        <f t="shared" si="2"/>
        <v>10960.671312523209</v>
      </c>
      <c r="K32" s="6">
        <f t="shared" si="3"/>
        <v>12175.086551720291</v>
      </c>
      <c r="L32" s="241">
        <v>0.25</v>
      </c>
      <c r="M32" s="52">
        <f t="shared" si="4"/>
        <v>303.60380979927044</v>
      </c>
      <c r="N32" s="233">
        <f t="shared" si="5"/>
        <v>2740.1678281308023</v>
      </c>
      <c r="O32" s="128">
        <f t="shared" si="6"/>
        <v>3043.7716379300728</v>
      </c>
      <c r="P32" s="4">
        <f t="shared" si="9"/>
        <v>22</v>
      </c>
      <c r="Q32" s="31"/>
      <c r="R32" s="31"/>
      <c r="S32" s="31"/>
      <c r="T32" s="31"/>
      <c r="U32" s="31"/>
      <c r="V32" s="31"/>
      <c r="W32" s="31"/>
      <c r="X32" s="31"/>
      <c r="Y32" s="31"/>
      <c r="Z32" s="31"/>
      <c r="AA32" s="31"/>
      <c r="AB32" s="31"/>
      <c r="AC32" s="31"/>
    </row>
    <row r="33" spans="1:29" x14ac:dyDescent="0.25">
      <c r="A33" s="4">
        <f t="shared" si="7"/>
        <v>23</v>
      </c>
      <c r="B33" s="677">
        <v>45983</v>
      </c>
      <c r="C33" s="177">
        <v>2061</v>
      </c>
      <c r="D33" s="675">
        <v>8023</v>
      </c>
      <c r="E33" s="125">
        <f t="shared" si="10"/>
        <v>10084</v>
      </c>
      <c r="F33" s="178">
        <f t="shared" si="8"/>
        <v>4.3773147204722234</v>
      </c>
      <c r="G33" s="233">
        <f t="shared" si="0"/>
        <v>17.039881612008077</v>
      </c>
      <c r="H33" s="574">
        <f t="shared" si="11"/>
        <v>21.417196332480302</v>
      </c>
      <c r="I33" s="52">
        <f t="shared" si="1"/>
        <v>2056.6226852795276</v>
      </c>
      <c r="J33" s="233">
        <f t="shared" si="2"/>
        <v>8005.9601183879922</v>
      </c>
      <c r="K33" s="125">
        <f t="shared" si="3"/>
        <v>10062.582803667519</v>
      </c>
      <c r="L33" s="241">
        <v>0.16666666666666666</v>
      </c>
      <c r="M33" s="52">
        <f t="shared" si="4"/>
        <v>342.77044754658789</v>
      </c>
      <c r="N33" s="233">
        <f t="shared" si="5"/>
        <v>1334.3266863979986</v>
      </c>
      <c r="O33" s="574">
        <f t="shared" si="6"/>
        <v>1677.0971339445864</v>
      </c>
      <c r="P33" s="4">
        <f t="shared" si="9"/>
        <v>23</v>
      </c>
      <c r="Q33" s="31"/>
      <c r="R33" s="31"/>
      <c r="S33" s="31"/>
      <c r="T33" s="31"/>
      <c r="U33" s="31"/>
      <c r="V33" s="31"/>
      <c r="W33" s="31"/>
      <c r="X33" s="31"/>
      <c r="Y33" s="31"/>
      <c r="Z33" s="31"/>
      <c r="AA33" s="31"/>
      <c r="AB33" s="31"/>
      <c r="AC33" s="31"/>
    </row>
    <row r="34" spans="1:29" ht="16.5" thickBot="1" x14ac:dyDescent="0.3">
      <c r="A34" s="4">
        <f t="shared" si="7"/>
        <v>24</v>
      </c>
      <c r="B34" s="677">
        <v>46013</v>
      </c>
      <c r="C34" s="177">
        <v>18095</v>
      </c>
      <c r="D34" s="675">
        <v>57507</v>
      </c>
      <c r="E34" s="125">
        <f>C34+D34</f>
        <v>75602</v>
      </c>
      <c r="F34" s="181">
        <f t="shared" si="8"/>
        <v>38.431591395897563</v>
      </c>
      <c r="G34" s="182">
        <f t="shared" si="0"/>
        <v>122.13791248432612</v>
      </c>
      <c r="H34" s="574">
        <f t="shared" si="11"/>
        <v>160.56950388022369</v>
      </c>
      <c r="I34" s="184">
        <f t="shared" si="1"/>
        <v>18056.568408604104</v>
      </c>
      <c r="J34" s="182">
        <f t="shared" si="2"/>
        <v>57384.86208751567</v>
      </c>
      <c r="K34" s="125">
        <f t="shared" si="3"/>
        <v>75441.430496119778</v>
      </c>
      <c r="L34" s="241">
        <v>8.3333333333333329E-2</v>
      </c>
      <c r="M34" s="52">
        <f t="shared" si="4"/>
        <v>1504.714034050342</v>
      </c>
      <c r="N34" s="182">
        <f t="shared" si="5"/>
        <v>4782.0718406263059</v>
      </c>
      <c r="O34" s="574">
        <f t="shared" si="6"/>
        <v>6286.7858746766478</v>
      </c>
      <c r="P34" s="4">
        <f t="shared" si="9"/>
        <v>24</v>
      </c>
      <c r="Q34" s="31"/>
      <c r="R34" s="428"/>
      <c r="S34" s="31"/>
      <c r="T34" s="31"/>
      <c r="U34" s="31"/>
      <c r="V34" s="31"/>
      <c r="W34" s="31"/>
      <c r="X34" s="31"/>
      <c r="Y34" s="31"/>
      <c r="Z34" s="31"/>
      <c r="AA34" s="31"/>
      <c r="AB34" s="31"/>
      <c r="AC34" s="31"/>
    </row>
    <row r="35" spans="1:29" ht="16.5" thickBot="1" x14ac:dyDescent="0.3">
      <c r="A35" s="4">
        <f t="shared" si="7"/>
        <v>25</v>
      </c>
      <c r="B35" s="542" t="s">
        <v>177</v>
      </c>
      <c r="C35" s="188">
        <f t="shared" ref="C35:K35" si="12">SUM(C11:C34)</f>
        <v>200090</v>
      </c>
      <c r="D35" s="189">
        <f t="shared" si="12"/>
        <v>511484</v>
      </c>
      <c r="E35" s="190">
        <f t="shared" si="12"/>
        <v>711574</v>
      </c>
      <c r="F35" s="188">
        <f t="shared" si="12"/>
        <v>424.9669589613232</v>
      </c>
      <c r="G35" s="189">
        <f t="shared" si="12"/>
        <v>1086.3301516186386</v>
      </c>
      <c r="H35" s="191">
        <f t="shared" si="12"/>
        <v>1511.297110579962</v>
      </c>
      <c r="I35" s="192">
        <f t="shared" si="12"/>
        <v>199665.0330410387</v>
      </c>
      <c r="J35" s="189">
        <f t="shared" si="12"/>
        <v>510397.66984838137</v>
      </c>
      <c r="K35" s="190">
        <f t="shared" si="12"/>
        <v>710062.70288942009</v>
      </c>
      <c r="L35" s="193"/>
      <c r="M35" s="192">
        <f>SUM(M11:M34)</f>
        <v>168252.5580042559</v>
      </c>
      <c r="N35" s="189">
        <f>SUM(N11:N34)</f>
        <v>358424.29656862945</v>
      </c>
      <c r="O35" s="191">
        <f>SUM(O11:O34)</f>
        <v>526676.8545728852</v>
      </c>
      <c r="P35" s="4">
        <f t="shared" si="9"/>
        <v>25</v>
      </c>
      <c r="Q35" s="31"/>
      <c r="R35" s="31"/>
      <c r="S35" s="31"/>
      <c r="T35" s="31"/>
      <c r="U35" s="31"/>
      <c r="V35" s="31"/>
      <c r="W35" s="31"/>
      <c r="X35" s="31"/>
      <c r="Y35" s="31"/>
      <c r="Z35" s="31"/>
      <c r="AA35" s="31"/>
      <c r="AB35" s="31"/>
      <c r="AC35" s="31"/>
    </row>
    <row r="36" spans="1:29" x14ac:dyDescent="0.25">
      <c r="A36" s="4">
        <f>A35+1</f>
        <v>26</v>
      </c>
      <c r="B36" s="516"/>
      <c r="C36" s="6"/>
      <c r="D36" s="6"/>
      <c r="E36" s="543"/>
      <c r="F36" s="31"/>
      <c r="G36" s="31"/>
      <c r="H36" s="6"/>
      <c r="I36" s="31"/>
      <c r="J36" s="31"/>
      <c r="K36" s="6"/>
      <c r="L36" s="31"/>
      <c r="M36" s="31"/>
      <c r="N36" s="31"/>
      <c r="O36" s="128"/>
      <c r="P36" s="4">
        <f>P35+1</f>
        <v>26</v>
      </c>
      <c r="Q36" s="31"/>
      <c r="R36" s="31"/>
      <c r="S36" s="31"/>
      <c r="T36" s="31"/>
      <c r="U36" s="31"/>
      <c r="V36" s="31"/>
      <c r="W36" s="31"/>
      <c r="X36" s="31"/>
      <c r="Y36" s="31"/>
      <c r="Z36" s="31"/>
      <c r="AA36" s="31"/>
      <c r="AB36" s="31"/>
      <c r="AC36" s="31"/>
    </row>
    <row r="37" spans="1:29" s="414" customFormat="1" x14ac:dyDescent="0.25">
      <c r="A37" s="4">
        <f>A36+1</f>
        <v>27</v>
      </c>
      <c r="B37" s="544"/>
      <c r="E37" s="31" t="s">
        <v>1440</v>
      </c>
      <c r="F37" s="545"/>
      <c r="G37" s="545"/>
      <c r="H37" s="83">
        <v>17819.405999999999</v>
      </c>
      <c r="I37" s="194"/>
      <c r="J37" s="31" t="s">
        <v>1441</v>
      </c>
      <c r="K37" s="194"/>
      <c r="L37" s="194"/>
      <c r="M37" s="194"/>
      <c r="O37" s="546"/>
      <c r="P37" s="4">
        <f t="shared" ref="P37:P42" si="13">P36+1</f>
        <v>27</v>
      </c>
      <c r="Q37" s="31"/>
    </row>
    <row r="38" spans="1:29" s="414" customFormat="1" x14ac:dyDescent="0.25">
      <c r="A38" s="4">
        <f>A37+1</f>
        <v>28</v>
      </c>
      <c r="B38" s="544"/>
      <c r="E38" s="31"/>
      <c r="F38" s="545"/>
      <c r="G38" s="545"/>
      <c r="H38" s="6"/>
      <c r="I38" s="194"/>
      <c r="J38" s="31"/>
      <c r="K38" s="194"/>
      <c r="L38" s="194"/>
      <c r="M38" s="194"/>
      <c r="O38" s="546"/>
      <c r="P38" s="4">
        <f t="shared" si="13"/>
        <v>28</v>
      </c>
      <c r="Q38" s="31"/>
    </row>
    <row r="39" spans="1:29" s="414" customFormat="1" x14ac:dyDescent="0.25">
      <c r="A39" s="4">
        <f t="shared" ref="A39:A40" si="14">A38+1</f>
        <v>29</v>
      </c>
      <c r="B39" s="544"/>
      <c r="E39" s="31" t="s">
        <v>1442</v>
      </c>
      <c r="F39" s="545"/>
      <c r="G39" s="43"/>
      <c r="H39" s="679">
        <v>8390028.6160000004</v>
      </c>
      <c r="I39" s="194"/>
      <c r="J39" s="31" t="s">
        <v>1443</v>
      </c>
      <c r="K39" s="194"/>
      <c r="L39" s="194"/>
      <c r="M39" s="194"/>
      <c r="O39" s="546"/>
      <c r="P39" s="4">
        <f t="shared" si="13"/>
        <v>29</v>
      </c>
      <c r="Q39" s="31"/>
    </row>
    <row r="40" spans="1:29" s="414" customFormat="1" ht="16.5" thickBot="1" x14ac:dyDescent="0.3">
      <c r="A40" s="4">
        <f t="shared" si="14"/>
        <v>30</v>
      </c>
      <c r="B40" s="544"/>
      <c r="E40" s="545"/>
      <c r="F40" s="545"/>
      <c r="G40" s="545"/>
      <c r="H40" s="194"/>
      <c r="I40" s="194"/>
      <c r="J40" s="194"/>
      <c r="K40" s="194"/>
      <c r="L40" s="194"/>
      <c r="M40" s="194"/>
      <c r="O40" s="546"/>
      <c r="P40" s="4">
        <f t="shared" si="13"/>
        <v>30</v>
      </c>
    </row>
    <row r="41" spans="1:29" ht="16.5" thickBot="1" x14ac:dyDescent="0.3">
      <c r="A41" s="4">
        <f>A40+1</f>
        <v>31</v>
      </c>
      <c r="B41" s="516"/>
      <c r="C41" s="31"/>
      <c r="D41" s="31"/>
      <c r="E41" s="1" t="s">
        <v>1444</v>
      </c>
      <c r="F41" s="31"/>
      <c r="G41" s="31"/>
      <c r="H41" s="195">
        <f>IFERROR(H37/H39,0)</f>
        <v>2.1238790492344607E-3</v>
      </c>
      <c r="I41" s="31"/>
      <c r="J41" s="31" t="s">
        <v>1445</v>
      </c>
      <c r="K41" s="47"/>
      <c r="L41" s="31"/>
      <c r="M41" s="31"/>
      <c r="N41" s="31"/>
      <c r="O41" s="381"/>
      <c r="P41" s="4">
        <f t="shared" si="13"/>
        <v>31</v>
      </c>
      <c r="Q41" s="31"/>
      <c r="R41" s="414"/>
      <c r="S41" s="31"/>
      <c r="T41" s="31"/>
      <c r="U41" s="31"/>
      <c r="V41" s="31"/>
      <c r="W41" s="31"/>
      <c r="X41" s="31"/>
      <c r="Y41" s="31"/>
      <c r="Z41" s="31"/>
      <c r="AA41" s="31"/>
      <c r="AB41" s="31"/>
      <c r="AC41" s="31"/>
    </row>
    <row r="42" spans="1:29" ht="16.5" thickBot="1" x14ac:dyDescent="0.3">
      <c r="A42" s="4">
        <f t="shared" si="7"/>
        <v>32</v>
      </c>
      <c r="B42" s="547"/>
      <c r="C42" s="863"/>
      <c r="D42" s="863"/>
      <c r="E42" s="894"/>
      <c r="F42" s="863"/>
      <c r="G42" s="863"/>
      <c r="H42" s="1075"/>
      <c r="I42" s="863"/>
      <c r="J42" s="863"/>
      <c r="K42" s="863"/>
      <c r="L42" s="863"/>
      <c r="M42" s="863"/>
      <c r="N42" s="863"/>
      <c r="O42" s="196"/>
      <c r="P42" s="4">
        <f t="shared" si="13"/>
        <v>32</v>
      </c>
      <c r="Q42" s="414"/>
      <c r="R42" s="31"/>
      <c r="S42" s="31"/>
      <c r="T42" s="31"/>
      <c r="U42" s="31"/>
      <c r="V42" s="31"/>
      <c r="W42" s="31"/>
      <c r="X42" s="31"/>
      <c r="Y42" s="31"/>
      <c r="Z42" s="31"/>
      <c r="AA42" s="31"/>
      <c r="AB42" s="31"/>
      <c r="AC42" s="31"/>
    </row>
    <row r="43" spans="1:29" ht="16.5" thickBot="1" x14ac:dyDescent="0.3">
      <c r="A43" s="4">
        <f t="shared" si="7"/>
        <v>33</v>
      </c>
      <c r="B43" s="516"/>
      <c r="C43" s="31"/>
      <c r="D43" s="31"/>
      <c r="E43" s="6"/>
      <c r="F43" s="31"/>
      <c r="G43" s="31"/>
      <c r="H43" s="31"/>
      <c r="I43" s="31"/>
      <c r="J43" s="31"/>
      <c r="K43" s="6" t="s">
        <v>1</v>
      </c>
      <c r="L43" s="31"/>
      <c r="M43" s="47"/>
      <c r="N43" s="47"/>
      <c r="O43" s="548"/>
      <c r="P43" s="4">
        <f t="shared" si="9"/>
        <v>33</v>
      </c>
      <c r="Q43" s="414"/>
      <c r="R43" s="31"/>
      <c r="S43" s="31"/>
      <c r="T43" s="31"/>
      <c r="U43" s="31"/>
      <c r="V43" s="31"/>
      <c r="W43" s="31"/>
      <c r="X43" s="31"/>
      <c r="Y43" s="31"/>
      <c r="Z43" s="31"/>
      <c r="AA43" s="31"/>
      <c r="AB43" s="31"/>
      <c r="AC43" s="31"/>
    </row>
    <row r="44" spans="1:29" ht="16.5" thickBot="1" x14ac:dyDescent="0.3">
      <c r="A44" s="4">
        <f t="shared" si="7"/>
        <v>34</v>
      </c>
      <c r="B44" s="549"/>
      <c r="C44" s="31"/>
      <c r="D44" s="251"/>
      <c r="E44" s="550"/>
      <c r="F44" s="1076"/>
      <c r="G44" s="1077"/>
      <c r="H44" s="1077" t="s">
        <v>1446</v>
      </c>
      <c r="I44" s="551" t="s">
        <v>1447</v>
      </c>
      <c r="J44" s="552" t="s">
        <v>1448</v>
      </c>
      <c r="K44" s="553" t="s">
        <v>1405</v>
      </c>
      <c r="L44" s="1"/>
      <c r="M44" s="554" t="s">
        <v>1408</v>
      </c>
      <c r="N44" s="555" t="s">
        <v>1409</v>
      </c>
      <c r="O44" s="556" t="s">
        <v>1449</v>
      </c>
      <c r="P44" s="4">
        <f t="shared" si="9"/>
        <v>34</v>
      </c>
      <c r="Q44" s="414"/>
      <c r="R44" s="31"/>
      <c r="S44" s="31"/>
      <c r="T44" s="31"/>
      <c r="U44" s="31"/>
      <c r="V44" s="31"/>
      <c r="W44" s="31"/>
      <c r="X44" s="31"/>
      <c r="Y44" s="31"/>
      <c r="Z44" s="31"/>
      <c r="AA44" s="31"/>
      <c r="AB44" s="31"/>
      <c r="AC44" s="31"/>
    </row>
    <row r="45" spans="1:29" ht="16.5" thickBot="1" x14ac:dyDescent="0.3">
      <c r="A45" s="4">
        <f t="shared" si="7"/>
        <v>35</v>
      </c>
      <c r="B45" s="516"/>
      <c r="C45" s="31"/>
      <c r="D45" s="31"/>
      <c r="E45" s="557"/>
      <c r="F45" s="364"/>
      <c r="G45" s="558"/>
      <c r="H45" s="558" t="s">
        <v>1450</v>
      </c>
      <c r="I45" s="197">
        <f>+I35</f>
        <v>199665.0330410387</v>
      </c>
      <c r="J45" s="197">
        <f>+J35</f>
        <v>510397.66984838137</v>
      </c>
      <c r="K45" s="198">
        <f>+K35</f>
        <v>710062.70288942009</v>
      </c>
      <c r="L45" s="43"/>
      <c r="M45" s="199">
        <f>+M35</f>
        <v>168252.5580042559</v>
      </c>
      <c r="N45" s="200">
        <f>+N35</f>
        <v>358424.29656862945</v>
      </c>
      <c r="O45" s="198">
        <f>+O35</f>
        <v>526676.8545728852</v>
      </c>
      <c r="P45" s="4">
        <f t="shared" si="9"/>
        <v>35</v>
      </c>
      <c r="Q45" s="31"/>
      <c r="R45" s="31"/>
      <c r="S45" s="31"/>
      <c r="T45" s="31"/>
      <c r="U45" s="31"/>
      <c r="V45" s="31"/>
      <c r="W45" s="31"/>
      <c r="X45" s="31"/>
      <c r="Y45" s="31"/>
      <c r="Z45" s="31"/>
      <c r="AA45" s="31"/>
      <c r="AB45" s="31"/>
      <c r="AC45" s="31"/>
    </row>
    <row r="46" spans="1:29" ht="16.5" thickTop="1" x14ac:dyDescent="0.25">
      <c r="A46" s="4">
        <f t="shared" si="7"/>
        <v>36</v>
      </c>
      <c r="B46" s="516"/>
      <c r="C46" s="31"/>
      <c r="D46" s="31"/>
      <c r="E46" s="516"/>
      <c r="F46" s="31"/>
      <c r="G46" s="29"/>
      <c r="H46" s="29"/>
      <c r="I46" s="164"/>
      <c r="J46" s="164"/>
      <c r="K46" s="128"/>
      <c r="L46" s="31"/>
      <c r="M46" s="178"/>
      <c r="N46" s="233"/>
      <c r="O46" s="128"/>
      <c r="P46" s="4">
        <f t="shared" si="9"/>
        <v>36</v>
      </c>
      <c r="Q46" s="31"/>
      <c r="R46" s="31"/>
      <c r="S46" s="31"/>
      <c r="T46" s="31"/>
      <c r="U46" s="31"/>
      <c r="V46" s="31"/>
      <c r="W46" s="31"/>
      <c r="X46" s="31"/>
      <c r="Y46" s="31"/>
      <c r="Z46" s="31"/>
      <c r="AA46" s="31"/>
      <c r="AB46" s="31"/>
      <c r="AC46" s="31"/>
    </row>
    <row r="47" spans="1:29" ht="16.5" thickBot="1" x14ac:dyDescent="0.3">
      <c r="A47" s="4">
        <f>A46+1</f>
        <v>37</v>
      </c>
      <c r="B47" s="516"/>
      <c r="C47" s="31"/>
      <c r="D47" s="31"/>
      <c r="E47" s="516"/>
      <c r="F47" s="31"/>
      <c r="G47" s="29"/>
      <c r="H47" s="472" t="s">
        <v>1451</v>
      </c>
      <c r="I47" s="201">
        <f>IFERROR(+I45/K45,0)</f>
        <v>0.28119352309106294</v>
      </c>
      <c r="J47" s="201">
        <f>IFERROR(+J45/K45,0)</f>
        <v>0.71880647690893706</v>
      </c>
      <c r="K47" s="202">
        <f>I47+J47</f>
        <v>1</v>
      </c>
      <c r="L47" s="1"/>
      <c r="M47" s="203">
        <f>IFERROR(+M45/O45,0)</f>
        <v>0.31946070259856452</v>
      </c>
      <c r="N47" s="204">
        <f>IFERROR(+N45/O45,0)</f>
        <v>0.68053929740143571</v>
      </c>
      <c r="O47" s="202">
        <f>M47+N47</f>
        <v>1.0000000000000002</v>
      </c>
      <c r="P47" s="4">
        <f>P46+1</f>
        <v>37</v>
      </c>
      <c r="Q47" s="31"/>
      <c r="R47" s="31"/>
      <c r="S47" s="31"/>
      <c r="T47" s="31"/>
      <c r="U47" s="31"/>
      <c r="V47" s="31"/>
      <c r="W47" s="31"/>
      <c r="X47" s="31"/>
      <c r="Y47" s="31"/>
      <c r="Z47" s="31"/>
      <c r="AA47" s="31"/>
      <c r="AB47" s="31"/>
      <c r="AC47" s="31"/>
    </row>
    <row r="48" spans="1:29" ht="17.25" thickTop="1" thickBot="1" x14ac:dyDescent="0.3">
      <c r="A48" s="4">
        <f t="shared" si="7"/>
        <v>38</v>
      </c>
      <c r="B48" s="515"/>
      <c r="C48" s="31"/>
      <c r="D48" s="31"/>
      <c r="E48" s="547"/>
      <c r="F48" s="863"/>
      <c r="G48" s="863"/>
      <c r="H48" s="863"/>
      <c r="I48" s="205"/>
      <c r="J48" s="205"/>
      <c r="K48" s="196"/>
      <c r="L48" s="31"/>
      <c r="M48" s="206"/>
      <c r="N48" s="207"/>
      <c r="O48" s="196"/>
      <c r="P48" s="4">
        <f t="shared" si="9"/>
        <v>38</v>
      </c>
      <c r="Q48" s="31"/>
      <c r="R48" s="31"/>
      <c r="S48" s="31"/>
      <c r="T48" s="31"/>
      <c r="U48" s="31"/>
      <c r="V48" s="31"/>
      <c r="W48" s="31"/>
      <c r="X48" s="31"/>
      <c r="Y48" s="31"/>
      <c r="Z48" s="31"/>
      <c r="AA48" s="31"/>
      <c r="AB48" s="31"/>
      <c r="AC48" s="31"/>
    </row>
    <row r="49" spans="1:29" ht="16.5" thickBot="1" x14ac:dyDescent="0.3">
      <c r="A49" s="4">
        <f t="shared" si="7"/>
        <v>39</v>
      </c>
      <c r="B49" s="520"/>
      <c r="C49" s="863"/>
      <c r="D49" s="863"/>
      <c r="E49" s="863"/>
      <c r="F49" s="863"/>
      <c r="G49" s="863"/>
      <c r="H49" s="863"/>
      <c r="I49" s="863"/>
      <c r="J49" s="863"/>
      <c r="K49" s="863"/>
      <c r="L49" s="863"/>
      <c r="M49" s="863"/>
      <c r="N49" s="863"/>
      <c r="O49" s="196"/>
      <c r="P49" s="4">
        <f t="shared" si="9"/>
        <v>39</v>
      </c>
      <c r="Q49" s="31"/>
      <c r="R49" s="31"/>
      <c r="S49" s="31"/>
      <c r="T49" s="31"/>
      <c r="U49" s="31"/>
      <c r="V49" s="31"/>
      <c r="W49" s="31"/>
      <c r="X49" s="31"/>
      <c r="Y49" s="31"/>
      <c r="Z49" s="31"/>
      <c r="AA49" s="31"/>
      <c r="AB49" s="31"/>
      <c r="AC49" s="31"/>
    </row>
    <row r="50" spans="1:29" x14ac:dyDescent="0.25">
      <c r="B50" s="1"/>
      <c r="C50" s="31"/>
      <c r="D50" s="31"/>
      <c r="E50" s="31"/>
      <c r="F50" s="31"/>
      <c r="G50" s="31"/>
      <c r="H50" s="31"/>
      <c r="I50" s="31"/>
      <c r="J50" s="31"/>
      <c r="K50" s="31"/>
      <c r="L50" s="31"/>
      <c r="M50" s="31"/>
      <c r="N50" s="31"/>
      <c r="O50" s="31"/>
      <c r="Q50" s="31"/>
      <c r="R50" s="31"/>
      <c r="S50" s="31"/>
      <c r="T50" s="31"/>
      <c r="U50" s="31"/>
      <c r="V50" s="31"/>
      <c r="W50" s="31"/>
      <c r="X50" s="31"/>
      <c r="Y50" s="31"/>
      <c r="Z50" s="31"/>
      <c r="AA50" s="31"/>
      <c r="AB50" s="31"/>
      <c r="AC50" s="31"/>
    </row>
    <row r="51" spans="1:29" x14ac:dyDescent="0.25">
      <c r="B51" s="1"/>
      <c r="C51" s="31"/>
      <c r="D51" s="31"/>
      <c r="E51" s="31"/>
      <c r="F51" s="31"/>
      <c r="G51" s="31"/>
      <c r="H51" s="31"/>
      <c r="I51" s="31"/>
      <c r="J51" s="31"/>
      <c r="K51" s="31"/>
      <c r="L51" s="31"/>
      <c r="M51" s="31"/>
      <c r="N51" s="31"/>
      <c r="O51" s="31"/>
      <c r="Q51" s="31"/>
      <c r="R51" s="31"/>
      <c r="S51" s="31"/>
      <c r="T51" s="31"/>
      <c r="U51" s="31"/>
      <c r="V51" s="31"/>
      <c r="W51" s="31"/>
      <c r="X51" s="31"/>
      <c r="Y51" s="31"/>
      <c r="Z51" s="31"/>
      <c r="AA51" s="31"/>
      <c r="AB51" s="31"/>
      <c r="AC51" s="31"/>
    </row>
    <row r="52" spans="1:29" ht="18.75" x14ac:dyDescent="0.25">
      <c r="A52" s="253">
        <v>1</v>
      </c>
      <c r="B52" s="31" t="s">
        <v>1682</v>
      </c>
      <c r="C52" s="31"/>
      <c r="D52" s="31"/>
      <c r="E52" s="31"/>
      <c r="F52" s="31"/>
      <c r="G52" s="31"/>
      <c r="H52" s="31"/>
      <c r="I52" s="31"/>
      <c r="J52" s="31"/>
      <c r="K52" s="31"/>
      <c r="L52" s="31"/>
      <c r="M52" s="31"/>
      <c r="N52" s="31"/>
      <c r="O52" s="31"/>
      <c r="Q52" s="31"/>
      <c r="R52" s="31"/>
      <c r="S52" s="31"/>
      <c r="T52" s="31"/>
      <c r="U52" s="31"/>
      <c r="V52" s="31"/>
      <c r="W52" s="31"/>
      <c r="X52" s="31"/>
      <c r="Y52" s="31"/>
      <c r="Z52" s="31"/>
      <c r="AA52" s="31"/>
      <c r="AB52" s="31"/>
      <c r="AC52" s="31"/>
    </row>
    <row r="53" spans="1:29" x14ac:dyDescent="0.25">
      <c r="B53" s="1"/>
      <c r="C53" s="31"/>
      <c r="D53" s="31"/>
      <c r="E53" s="31"/>
      <c r="F53" s="31"/>
      <c r="G53" s="31"/>
      <c r="H53" s="31"/>
      <c r="I53" s="31"/>
      <c r="J53" s="31"/>
      <c r="K53" s="31"/>
      <c r="L53" s="31"/>
      <c r="M53" s="31"/>
      <c r="N53" s="31"/>
      <c r="O53" s="31"/>
      <c r="Q53" s="31"/>
      <c r="R53" s="31"/>
      <c r="S53" s="31"/>
      <c r="T53" s="31"/>
      <c r="U53" s="31"/>
      <c r="V53" s="31"/>
      <c r="W53" s="31"/>
      <c r="X53" s="31"/>
      <c r="Y53" s="31"/>
      <c r="Z53" s="31"/>
      <c r="AA53" s="31"/>
      <c r="AB53" s="31"/>
      <c r="AC53" s="31"/>
    </row>
    <row r="54" spans="1:29" x14ac:dyDescent="0.25">
      <c r="B54" s="1"/>
      <c r="C54" s="255"/>
      <c r="D54" s="31"/>
      <c r="E54" s="31"/>
      <c r="F54" s="31"/>
      <c r="G54" s="31"/>
      <c r="H54" s="31"/>
      <c r="I54" s="31"/>
      <c r="J54" s="31"/>
      <c r="K54" s="31"/>
      <c r="L54" s="31"/>
      <c r="M54" s="31"/>
      <c r="N54" s="31"/>
      <c r="O54" s="31"/>
      <c r="Q54" s="31"/>
      <c r="R54" s="31"/>
      <c r="S54" s="31"/>
      <c r="T54" s="31"/>
      <c r="U54" s="31"/>
      <c r="V54" s="31"/>
      <c r="W54" s="31"/>
      <c r="X54" s="31"/>
      <c r="Y54" s="31"/>
      <c r="Z54" s="31"/>
      <c r="AA54" s="31"/>
      <c r="AB54" s="31"/>
      <c r="AC54" s="31"/>
    </row>
    <row r="55" spans="1:29" x14ac:dyDescent="0.25">
      <c r="B55" s="31"/>
      <c r="C55" s="31"/>
      <c r="D55" s="31"/>
      <c r="E55" s="31"/>
      <c r="F55" s="31"/>
      <c r="G55" s="31"/>
      <c r="H55" s="31"/>
      <c r="I55" s="31"/>
      <c r="J55" s="31"/>
      <c r="K55" s="31"/>
      <c r="L55" s="31"/>
      <c r="M55" s="31"/>
      <c r="N55" s="31"/>
      <c r="O55" s="31"/>
      <c r="Q55" s="31"/>
      <c r="R55" s="31"/>
      <c r="S55" s="31"/>
      <c r="T55" s="31"/>
      <c r="U55" s="31"/>
      <c r="V55" s="31"/>
      <c r="W55" s="31"/>
      <c r="X55" s="31"/>
      <c r="Y55" s="31"/>
      <c r="Z55" s="31"/>
      <c r="AA55" s="31"/>
      <c r="AB55" s="31"/>
      <c r="AC55" s="3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customProperties>
    <customPr name="_pios_id" r:id="rId2"/>
  </customPropertie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Normal="100" workbookViewId="0"/>
  </sheetViews>
  <sheetFormatPr defaultColWidth="8.7109375" defaultRowHeight="15.75" x14ac:dyDescent="0.25"/>
  <cols>
    <col min="1" max="1" width="5.28515625" style="4" customWidth="1"/>
    <col min="2" max="2" width="8.5703125" style="5" customWidth="1"/>
    <col min="3" max="11" width="15.5703125" style="5" customWidth="1"/>
    <col min="12" max="12" width="11.28515625" style="5" customWidth="1"/>
    <col min="13" max="15" width="15.5703125" style="5" customWidth="1"/>
    <col min="16" max="16" width="5.28515625" style="4" customWidth="1"/>
    <col min="17" max="16384" width="8.7109375" style="5"/>
  </cols>
  <sheetData>
    <row r="1" spans="1:18" x14ac:dyDescent="0.25">
      <c r="B1" s="31"/>
      <c r="C1" s="31"/>
      <c r="D1" s="255"/>
      <c r="E1" s="31"/>
      <c r="F1" s="31"/>
      <c r="G1" s="31"/>
      <c r="H1" s="31"/>
      <c r="I1" s="31"/>
      <c r="J1" s="31"/>
      <c r="K1" s="31"/>
      <c r="L1" s="4"/>
      <c r="M1" s="31"/>
      <c r="N1" s="31"/>
      <c r="O1" s="31"/>
      <c r="Q1" s="31"/>
      <c r="R1" s="31"/>
    </row>
    <row r="2" spans="1:18" ht="15.75" customHeight="1" x14ac:dyDescent="0.25">
      <c r="B2" s="1294" t="s">
        <v>0</v>
      </c>
      <c r="C2" s="1294"/>
      <c r="D2" s="1294"/>
      <c r="E2" s="1294"/>
      <c r="F2" s="1294"/>
      <c r="G2" s="1294"/>
      <c r="H2" s="1294"/>
      <c r="I2" s="1294"/>
      <c r="J2" s="1294"/>
      <c r="K2" s="1294"/>
      <c r="L2" s="1294"/>
      <c r="M2" s="1294"/>
      <c r="N2" s="1294"/>
      <c r="O2" s="1294"/>
      <c r="P2" s="218"/>
      <c r="Q2" s="31"/>
      <c r="R2" s="31"/>
    </row>
    <row r="3" spans="1:18" ht="15.75" customHeight="1" x14ac:dyDescent="0.25">
      <c r="B3" s="1294" t="s">
        <v>1431</v>
      </c>
      <c r="C3" s="1294"/>
      <c r="D3" s="1294"/>
      <c r="E3" s="1294"/>
      <c r="F3" s="1294"/>
      <c r="G3" s="1294"/>
      <c r="H3" s="1294"/>
      <c r="I3" s="1294"/>
      <c r="J3" s="1294"/>
      <c r="K3" s="1294"/>
      <c r="L3" s="1294"/>
      <c r="M3" s="1294"/>
      <c r="N3" s="1294"/>
      <c r="O3" s="1294"/>
      <c r="P3" s="218"/>
      <c r="Q3" s="31"/>
      <c r="R3" s="31"/>
    </row>
    <row r="4" spans="1:18" ht="15.75" customHeight="1" x14ac:dyDescent="0.25">
      <c r="B4" s="1300" t="str">
        <f>'Summary of HV-LV Splits'!B4</f>
        <v>24-Month Forecast Period (January 1, 2024 - December 31, 2025)</v>
      </c>
      <c r="C4" s="1300"/>
      <c r="D4" s="1300"/>
      <c r="E4" s="1300"/>
      <c r="F4" s="1300"/>
      <c r="G4" s="1300"/>
      <c r="H4" s="1300"/>
      <c r="I4" s="1300"/>
      <c r="J4" s="1300"/>
      <c r="K4" s="1300"/>
      <c r="L4" s="1300"/>
      <c r="M4" s="1300"/>
      <c r="N4" s="1300"/>
      <c r="O4" s="1300"/>
      <c r="P4" s="218"/>
      <c r="Q4" s="31"/>
      <c r="R4" s="31"/>
    </row>
    <row r="5" spans="1:18" ht="15.75" customHeight="1" x14ac:dyDescent="0.25">
      <c r="B5" s="1294" t="s">
        <v>1452</v>
      </c>
      <c r="C5" s="1294"/>
      <c r="D5" s="1294"/>
      <c r="E5" s="1294"/>
      <c r="F5" s="1294"/>
      <c r="G5" s="1294"/>
      <c r="H5" s="1294"/>
      <c r="I5" s="1294"/>
      <c r="J5" s="1294"/>
      <c r="K5" s="1294"/>
      <c r="L5" s="1294"/>
      <c r="M5" s="1294"/>
      <c r="N5" s="1294"/>
      <c r="O5" s="1294"/>
      <c r="P5" s="218"/>
      <c r="Q5" s="31"/>
      <c r="R5" s="31"/>
    </row>
    <row r="6" spans="1:18" x14ac:dyDescent="0.25">
      <c r="B6" s="1325">
        <v>-1000</v>
      </c>
      <c r="C6" s="1325"/>
      <c r="D6" s="1325"/>
      <c r="E6" s="1325"/>
      <c r="F6" s="1325"/>
      <c r="G6" s="1325"/>
      <c r="H6" s="1325"/>
      <c r="I6" s="1325"/>
      <c r="J6" s="1325"/>
      <c r="K6" s="1325"/>
      <c r="L6" s="1325"/>
      <c r="M6" s="1325"/>
      <c r="N6" s="1325"/>
      <c r="O6" s="1325"/>
      <c r="P6" s="417"/>
      <c r="Q6" s="31"/>
      <c r="R6" s="31"/>
    </row>
    <row r="7" spans="1:18" ht="16.5" thickBot="1" x14ac:dyDescent="0.3">
      <c r="B7" s="31"/>
      <c r="C7" s="31"/>
      <c r="D7" s="31"/>
      <c r="E7" s="31"/>
      <c r="F7" s="31"/>
      <c r="G7" s="31"/>
      <c r="H7" s="31"/>
      <c r="I7" s="31"/>
      <c r="J7" s="31"/>
      <c r="K7" s="31"/>
      <c r="L7" s="4"/>
      <c r="M7" s="31"/>
      <c r="N7" s="31"/>
      <c r="O7" s="31"/>
      <c r="Q7" s="31"/>
      <c r="R7" s="31"/>
    </row>
    <row r="8" spans="1:18" ht="18.75" x14ac:dyDescent="0.25">
      <c r="A8" s="4" t="s">
        <v>5</v>
      </c>
      <c r="B8" s="231"/>
      <c r="C8" s="1342" t="s">
        <v>1433</v>
      </c>
      <c r="D8" s="1343"/>
      <c r="E8" s="1344"/>
      <c r="F8" s="1342" t="s">
        <v>1434</v>
      </c>
      <c r="G8" s="1343"/>
      <c r="H8" s="1344"/>
      <c r="I8" s="1342" t="s">
        <v>1435</v>
      </c>
      <c r="J8" s="1343"/>
      <c r="K8" s="1344"/>
      <c r="L8" s="231" t="s">
        <v>1436</v>
      </c>
      <c r="M8" s="1342" t="s">
        <v>1437</v>
      </c>
      <c r="N8" s="1343"/>
      <c r="O8" s="1344"/>
      <c r="P8" s="4" t="s">
        <v>5</v>
      </c>
      <c r="Q8" s="1"/>
      <c r="R8" s="1"/>
    </row>
    <row r="9" spans="1:18" ht="16.5" thickBot="1" x14ac:dyDescent="0.3">
      <c r="A9" s="4" t="s">
        <v>6</v>
      </c>
      <c r="B9" s="530" t="s">
        <v>1438</v>
      </c>
      <c r="C9" s="531" t="s">
        <v>1406</v>
      </c>
      <c r="D9" s="532" t="s">
        <v>1407</v>
      </c>
      <c r="E9" s="534" t="s">
        <v>177</v>
      </c>
      <c r="F9" s="535" t="s">
        <v>1406</v>
      </c>
      <c r="G9" s="532" t="s">
        <v>1407</v>
      </c>
      <c r="H9" s="533" t="s">
        <v>177</v>
      </c>
      <c r="I9" s="531" t="s">
        <v>1406</v>
      </c>
      <c r="J9" s="532" t="s">
        <v>1407</v>
      </c>
      <c r="K9" s="533" t="s">
        <v>177</v>
      </c>
      <c r="L9" s="530" t="s">
        <v>1439</v>
      </c>
      <c r="M9" s="535" t="s">
        <v>1406</v>
      </c>
      <c r="N9" s="532" t="s">
        <v>1407</v>
      </c>
      <c r="O9" s="534" t="s">
        <v>177</v>
      </c>
      <c r="P9" s="4" t="s">
        <v>6</v>
      </c>
      <c r="Q9" s="1"/>
      <c r="R9" s="1"/>
    </row>
    <row r="10" spans="1:18" x14ac:dyDescent="0.25">
      <c r="A10" s="218"/>
      <c r="B10" s="536"/>
      <c r="C10" s="537"/>
      <c r="D10" s="270"/>
      <c r="E10" s="1078"/>
      <c r="F10" s="274"/>
      <c r="G10" s="270"/>
      <c r="H10" s="298"/>
      <c r="I10" s="537"/>
      <c r="J10" s="270"/>
      <c r="K10" s="298"/>
      <c r="L10" s="559"/>
      <c r="M10" s="274"/>
      <c r="N10" s="270"/>
      <c r="O10" s="1078"/>
      <c r="P10" s="218"/>
      <c r="Q10" s="1"/>
      <c r="R10" s="1"/>
    </row>
    <row r="11" spans="1:18" x14ac:dyDescent="0.25">
      <c r="A11" s="4">
        <v>1</v>
      </c>
      <c r="B11" s="540">
        <f>'ET Forecast Capital Additions'!B11</f>
        <v>45313</v>
      </c>
      <c r="C11" s="175">
        <v>237</v>
      </c>
      <c r="D11" s="674">
        <v>250</v>
      </c>
      <c r="E11" s="593">
        <f t="shared" ref="E11:E34" si="0">C11+D11</f>
        <v>487</v>
      </c>
      <c r="F11" s="58">
        <f>C11*$H$41</f>
        <v>0.50335933466856719</v>
      </c>
      <c r="G11" s="232">
        <f>D11*$H$41</f>
        <v>0.53096976230861515</v>
      </c>
      <c r="H11" s="120">
        <f t="shared" ref="H11:H25" si="1">F11+G11</f>
        <v>1.0343290969771823</v>
      </c>
      <c r="I11" s="176">
        <f t="shared" ref="I11:I34" si="2">C11-F11</f>
        <v>236.49664066533143</v>
      </c>
      <c r="J11" s="232">
        <f t="shared" ref="J11:J34" si="3">D11-G11</f>
        <v>249.46903023769138</v>
      </c>
      <c r="K11" s="120">
        <f t="shared" ref="K11:K34" si="4">I11+J11</f>
        <v>485.96567090302278</v>
      </c>
      <c r="L11" s="242">
        <f>'ET Forecast Capital Additions'!$L11</f>
        <v>1</v>
      </c>
      <c r="M11" s="58">
        <f t="shared" ref="M11:M34" si="5">I11*$L11</f>
        <v>236.49664066533143</v>
      </c>
      <c r="N11" s="232">
        <f t="shared" ref="N11:N34" si="6">J11*$L11</f>
        <v>249.46903023769138</v>
      </c>
      <c r="O11" s="593">
        <f t="shared" ref="O11:O34" si="7">M11+N11</f>
        <v>485.96567090302278</v>
      </c>
      <c r="P11" s="4">
        <f>A11</f>
        <v>1</v>
      </c>
      <c r="Q11" s="1"/>
      <c r="R11" s="31"/>
    </row>
    <row r="12" spans="1:18" x14ac:dyDescent="0.25">
      <c r="A12" s="4">
        <f t="shared" ref="A12:A49" si="8">A11+1</f>
        <v>2</v>
      </c>
      <c r="B12" s="540">
        <f>'ET Forecast Capital Additions'!B12</f>
        <v>45344</v>
      </c>
      <c r="C12" s="177">
        <v>71</v>
      </c>
      <c r="D12" s="675">
        <v>75</v>
      </c>
      <c r="E12" s="574">
        <f t="shared" si="0"/>
        <v>146</v>
      </c>
      <c r="F12" s="52">
        <f t="shared" ref="F12:F34" si="9">C12*$H$41</f>
        <v>0.15079541249564671</v>
      </c>
      <c r="G12" s="233">
        <f t="shared" ref="G12:G34" si="10">D12*$H$41</f>
        <v>0.15929092869258454</v>
      </c>
      <c r="H12" s="125">
        <f t="shared" si="1"/>
        <v>0.31008634118823125</v>
      </c>
      <c r="I12" s="178">
        <f t="shared" si="2"/>
        <v>70.84920458750436</v>
      </c>
      <c r="J12" s="233">
        <f t="shared" si="3"/>
        <v>74.840709071307415</v>
      </c>
      <c r="K12" s="125">
        <f t="shared" si="4"/>
        <v>145.68991365881178</v>
      </c>
      <c r="L12" s="242">
        <f>'ET Forecast Capital Additions'!$L12</f>
        <v>1</v>
      </c>
      <c r="M12" s="52">
        <f t="shared" si="5"/>
        <v>70.84920458750436</v>
      </c>
      <c r="N12" s="233">
        <f t="shared" si="6"/>
        <v>74.840709071307415</v>
      </c>
      <c r="O12" s="574">
        <f t="shared" si="7"/>
        <v>145.68991365881178</v>
      </c>
      <c r="P12" s="4">
        <f t="shared" ref="P12:P27" si="11">P11+1</f>
        <v>2</v>
      </c>
      <c r="Q12" s="31"/>
      <c r="R12" s="31"/>
    </row>
    <row r="13" spans="1:18" x14ac:dyDescent="0.25">
      <c r="A13" s="4">
        <f t="shared" si="8"/>
        <v>3</v>
      </c>
      <c r="B13" s="540">
        <f>'ET Forecast Capital Additions'!B13</f>
        <v>45373</v>
      </c>
      <c r="C13" s="177">
        <v>638</v>
      </c>
      <c r="D13" s="675">
        <v>674</v>
      </c>
      <c r="E13" s="574">
        <f t="shared" si="0"/>
        <v>1312</v>
      </c>
      <c r="F13" s="52">
        <f t="shared" si="9"/>
        <v>1.3550348334115858</v>
      </c>
      <c r="G13" s="233">
        <f t="shared" si="10"/>
        <v>1.4314944791840265</v>
      </c>
      <c r="H13" s="125">
        <f t="shared" si="1"/>
        <v>2.7865293125956123</v>
      </c>
      <c r="I13" s="178">
        <f t="shared" si="2"/>
        <v>636.64496516658846</v>
      </c>
      <c r="J13" s="233">
        <f t="shared" si="3"/>
        <v>672.56850552081596</v>
      </c>
      <c r="K13" s="125">
        <f t="shared" si="4"/>
        <v>1309.2134706874044</v>
      </c>
      <c r="L13" s="242">
        <f>'ET Forecast Capital Additions'!$L13</f>
        <v>1</v>
      </c>
      <c r="M13" s="52">
        <f t="shared" si="5"/>
        <v>636.64496516658846</v>
      </c>
      <c r="N13" s="233">
        <f t="shared" si="6"/>
        <v>672.56850552081596</v>
      </c>
      <c r="O13" s="574">
        <f t="shared" si="7"/>
        <v>1309.2134706874044</v>
      </c>
      <c r="P13" s="4">
        <f t="shared" si="11"/>
        <v>3</v>
      </c>
      <c r="Q13" s="31"/>
      <c r="R13" s="31"/>
    </row>
    <row r="14" spans="1:18" ht="16.5" thickBot="1" x14ac:dyDescent="0.3">
      <c r="A14" s="4">
        <f t="shared" si="8"/>
        <v>4</v>
      </c>
      <c r="B14" s="541">
        <f>'ET Forecast Capital Additions'!B14</f>
        <v>45404</v>
      </c>
      <c r="C14" s="179">
        <v>318</v>
      </c>
      <c r="D14" s="208">
        <v>336</v>
      </c>
      <c r="E14" s="183">
        <f t="shared" si="0"/>
        <v>654</v>
      </c>
      <c r="F14" s="184">
        <f t="shared" si="9"/>
        <v>0.67539353765655852</v>
      </c>
      <c r="G14" s="182">
        <f t="shared" si="10"/>
        <v>0.71362336054277875</v>
      </c>
      <c r="H14" s="180">
        <f t="shared" si="1"/>
        <v>1.3890168981993374</v>
      </c>
      <c r="I14" s="181">
        <f t="shared" si="2"/>
        <v>317.32460646234347</v>
      </c>
      <c r="J14" s="182">
        <f t="shared" si="3"/>
        <v>335.28637663945722</v>
      </c>
      <c r="K14" s="180">
        <f t="shared" si="4"/>
        <v>652.61098310180068</v>
      </c>
      <c r="L14" s="243">
        <f>'ET Forecast Capital Additions'!$L14</f>
        <v>1</v>
      </c>
      <c r="M14" s="184">
        <f t="shared" si="5"/>
        <v>317.32460646234347</v>
      </c>
      <c r="N14" s="182">
        <f t="shared" si="6"/>
        <v>335.28637663945722</v>
      </c>
      <c r="O14" s="183">
        <f t="shared" si="7"/>
        <v>652.61098310180068</v>
      </c>
      <c r="P14" s="4">
        <f t="shared" si="11"/>
        <v>4</v>
      </c>
      <c r="Q14" s="31"/>
      <c r="R14" s="31"/>
    </row>
    <row r="15" spans="1:18" x14ac:dyDescent="0.25">
      <c r="A15" s="4">
        <f t="shared" si="8"/>
        <v>5</v>
      </c>
      <c r="B15" s="540">
        <f>'ET Forecast Capital Additions'!B15</f>
        <v>45434</v>
      </c>
      <c r="C15" s="209">
        <v>343</v>
      </c>
      <c r="D15" s="185">
        <v>362</v>
      </c>
      <c r="E15" s="124">
        <f t="shared" si="0"/>
        <v>705</v>
      </c>
      <c r="F15" s="187">
        <f t="shared" si="9"/>
        <v>0.72849051388742003</v>
      </c>
      <c r="G15" s="129">
        <f t="shared" si="10"/>
        <v>0.76884421582287477</v>
      </c>
      <c r="H15" s="123">
        <f t="shared" si="1"/>
        <v>1.4973347297102948</v>
      </c>
      <c r="I15" s="186">
        <f t="shared" si="2"/>
        <v>342.27150948611256</v>
      </c>
      <c r="J15" s="129">
        <f t="shared" si="3"/>
        <v>361.23115578417713</v>
      </c>
      <c r="K15" s="123">
        <f t="shared" si="4"/>
        <v>703.50266527028975</v>
      </c>
      <c r="L15" s="244">
        <f>'ET Forecast Capital Additions'!$L15</f>
        <v>1</v>
      </c>
      <c r="M15" s="187">
        <f t="shared" si="5"/>
        <v>342.27150948611256</v>
      </c>
      <c r="N15" s="129">
        <f t="shared" si="6"/>
        <v>361.23115578417713</v>
      </c>
      <c r="O15" s="124">
        <f t="shared" si="7"/>
        <v>703.50266527028975</v>
      </c>
      <c r="P15" s="4">
        <f t="shared" si="11"/>
        <v>5</v>
      </c>
      <c r="Q15" s="31"/>
      <c r="R15" s="31"/>
    </row>
    <row r="16" spans="1:18" x14ac:dyDescent="0.25">
      <c r="A16" s="4">
        <f t="shared" si="8"/>
        <v>6</v>
      </c>
      <c r="B16" s="540">
        <f>'ET Forecast Capital Additions'!B16</f>
        <v>45465</v>
      </c>
      <c r="C16" s="210">
        <v>318</v>
      </c>
      <c r="D16" s="675">
        <v>336</v>
      </c>
      <c r="E16" s="128">
        <f t="shared" si="0"/>
        <v>654</v>
      </c>
      <c r="F16" s="6">
        <f t="shared" si="9"/>
        <v>0.67539353765655852</v>
      </c>
      <c r="G16" s="233">
        <f t="shared" si="10"/>
        <v>0.71362336054277875</v>
      </c>
      <c r="H16" s="6">
        <f t="shared" si="1"/>
        <v>1.3890168981993374</v>
      </c>
      <c r="I16" s="211">
        <f t="shared" si="2"/>
        <v>317.32460646234347</v>
      </c>
      <c r="J16" s="233">
        <f t="shared" si="3"/>
        <v>335.28637663945722</v>
      </c>
      <c r="K16" s="6">
        <f t="shared" si="4"/>
        <v>652.61098310180068</v>
      </c>
      <c r="L16" s="242">
        <f>'ET Forecast Capital Additions'!$L16</f>
        <v>1</v>
      </c>
      <c r="M16" s="6">
        <f t="shared" si="5"/>
        <v>317.32460646234347</v>
      </c>
      <c r="N16" s="233">
        <f t="shared" si="6"/>
        <v>335.28637663945722</v>
      </c>
      <c r="O16" s="128">
        <f t="shared" si="7"/>
        <v>652.61098310180068</v>
      </c>
      <c r="P16" s="4">
        <f t="shared" si="11"/>
        <v>6</v>
      </c>
      <c r="Q16" s="31"/>
      <c r="R16" s="31"/>
    </row>
    <row r="17" spans="1:18" x14ac:dyDescent="0.25">
      <c r="A17" s="4">
        <f t="shared" si="8"/>
        <v>7</v>
      </c>
      <c r="B17" s="540">
        <f>'ET Forecast Capital Additions'!B17</f>
        <v>45495</v>
      </c>
      <c r="C17" s="177">
        <v>226</v>
      </c>
      <c r="D17" s="675">
        <v>239</v>
      </c>
      <c r="E17" s="574">
        <f t="shared" si="0"/>
        <v>465</v>
      </c>
      <c r="F17" s="52">
        <f t="shared" si="9"/>
        <v>0.47999666512698813</v>
      </c>
      <c r="G17" s="233">
        <f t="shared" si="10"/>
        <v>0.50760709276703608</v>
      </c>
      <c r="H17" s="125">
        <f t="shared" si="1"/>
        <v>0.98760375789402421</v>
      </c>
      <c r="I17" s="178">
        <f t="shared" si="2"/>
        <v>225.52000333487302</v>
      </c>
      <c r="J17" s="233">
        <f t="shared" si="3"/>
        <v>238.49239290723295</v>
      </c>
      <c r="K17" s="125">
        <f t="shared" si="4"/>
        <v>464.01239624210598</v>
      </c>
      <c r="L17" s="242">
        <f>'ET Forecast Capital Additions'!$L17</f>
        <v>1</v>
      </c>
      <c r="M17" s="52">
        <f t="shared" si="5"/>
        <v>225.52000333487302</v>
      </c>
      <c r="N17" s="233">
        <f t="shared" si="6"/>
        <v>238.49239290723295</v>
      </c>
      <c r="O17" s="574">
        <f t="shared" si="7"/>
        <v>464.01239624210598</v>
      </c>
      <c r="P17" s="4">
        <f t="shared" si="11"/>
        <v>7</v>
      </c>
      <c r="Q17" s="31"/>
      <c r="R17" s="31"/>
    </row>
    <row r="18" spans="1:18" ht="16.5" thickBot="1" x14ac:dyDescent="0.3">
      <c r="A18" s="4">
        <f t="shared" si="8"/>
        <v>8</v>
      </c>
      <c r="B18" s="541">
        <f>'ET Forecast Capital Additions'!B18</f>
        <v>45526</v>
      </c>
      <c r="C18" s="179">
        <v>265</v>
      </c>
      <c r="D18" s="208">
        <v>280</v>
      </c>
      <c r="E18" s="183">
        <f t="shared" si="0"/>
        <v>545</v>
      </c>
      <c r="F18" s="184">
        <f t="shared" si="9"/>
        <v>0.5628279480471321</v>
      </c>
      <c r="G18" s="182">
        <f t="shared" si="10"/>
        <v>0.59468613378564894</v>
      </c>
      <c r="H18" s="180">
        <f t="shared" si="1"/>
        <v>1.1575140818327809</v>
      </c>
      <c r="I18" s="181">
        <f t="shared" si="2"/>
        <v>264.43717205195287</v>
      </c>
      <c r="J18" s="182">
        <f t="shared" si="3"/>
        <v>279.40531386621433</v>
      </c>
      <c r="K18" s="180">
        <f t="shared" si="4"/>
        <v>543.8424859181672</v>
      </c>
      <c r="L18" s="243">
        <f>'ET Forecast Capital Additions'!$L18</f>
        <v>1</v>
      </c>
      <c r="M18" s="184">
        <f t="shared" si="5"/>
        <v>264.43717205195287</v>
      </c>
      <c r="N18" s="182">
        <f t="shared" si="6"/>
        <v>279.40531386621433</v>
      </c>
      <c r="O18" s="183">
        <f t="shared" si="7"/>
        <v>543.8424859181672</v>
      </c>
      <c r="P18" s="4">
        <f t="shared" si="11"/>
        <v>8</v>
      </c>
      <c r="Q18" s="31"/>
      <c r="R18" s="31"/>
    </row>
    <row r="19" spans="1:18" x14ac:dyDescent="0.25">
      <c r="A19" s="4">
        <f t="shared" si="8"/>
        <v>9</v>
      </c>
      <c r="B19" s="540">
        <f>'ET Forecast Capital Additions'!B19</f>
        <v>45557</v>
      </c>
      <c r="C19" s="209">
        <v>170</v>
      </c>
      <c r="D19" s="185">
        <v>179</v>
      </c>
      <c r="E19" s="124">
        <f t="shared" si="0"/>
        <v>349</v>
      </c>
      <c r="F19" s="187">
        <f t="shared" si="9"/>
        <v>0.36105943836985832</v>
      </c>
      <c r="G19" s="129">
        <f t="shared" si="10"/>
        <v>0.38017434981296844</v>
      </c>
      <c r="H19" s="123">
        <f t="shared" si="1"/>
        <v>0.74123378818282681</v>
      </c>
      <c r="I19" s="186">
        <f t="shared" si="2"/>
        <v>169.63894056163014</v>
      </c>
      <c r="J19" s="129">
        <f t="shared" si="3"/>
        <v>178.61982565018704</v>
      </c>
      <c r="K19" s="123">
        <f t="shared" si="4"/>
        <v>348.25876621181715</v>
      </c>
      <c r="L19" s="244">
        <f>'ET Forecast Capital Additions'!$L19</f>
        <v>1</v>
      </c>
      <c r="M19" s="187">
        <f t="shared" si="5"/>
        <v>169.63894056163014</v>
      </c>
      <c r="N19" s="129">
        <f t="shared" si="6"/>
        <v>178.61982565018704</v>
      </c>
      <c r="O19" s="124">
        <f t="shared" si="7"/>
        <v>348.25876621181715</v>
      </c>
      <c r="P19" s="4">
        <f t="shared" si="11"/>
        <v>9</v>
      </c>
      <c r="Q19" s="31"/>
      <c r="R19" s="31"/>
    </row>
    <row r="20" spans="1:18" x14ac:dyDescent="0.25">
      <c r="A20" s="4">
        <f t="shared" si="8"/>
        <v>10</v>
      </c>
      <c r="B20" s="540">
        <f>'ET Forecast Capital Additions'!B20</f>
        <v>45587</v>
      </c>
      <c r="C20" s="177">
        <v>60</v>
      </c>
      <c r="D20" s="675">
        <v>64</v>
      </c>
      <c r="E20" s="574">
        <f t="shared" si="0"/>
        <v>124</v>
      </c>
      <c r="F20" s="52">
        <f t="shared" si="9"/>
        <v>0.12743274295406765</v>
      </c>
      <c r="G20" s="233">
        <f t="shared" si="10"/>
        <v>0.13592825915100548</v>
      </c>
      <c r="H20" s="125">
        <f t="shared" si="1"/>
        <v>0.26336100210507313</v>
      </c>
      <c r="I20" s="178">
        <f t="shared" si="2"/>
        <v>59.87256725704593</v>
      </c>
      <c r="J20" s="233">
        <f t="shared" si="3"/>
        <v>63.864071740848992</v>
      </c>
      <c r="K20" s="125">
        <f t="shared" si="4"/>
        <v>123.73663899789491</v>
      </c>
      <c r="L20" s="242">
        <f>'ET Forecast Capital Additions'!$L20</f>
        <v>1</v>
      </c>
      <c r="M20" s="52">
        <f t="shared" si="5"/>
        <v>59.87256725704593</v>
      </c>
      <c r="N20" s="233">
        <f t="shared" si="6"/>
        <v>63.864071740848992</v>
      </c>
      <c r="O20" s="574">
        <f t="shared" si="7"/>
        <v>123.73663899789491</v>
      </c>
      <c r="P20" s="4">
        <f t="shared" si="11"/>
        <v>10</v>
      </c>
      <c r="Q20" s="31"/>
      <c r="R20" s="31"/>
    </row>
    <row r="21" spans="1:18" x14ac:dyDescent="0.25">
      <c r="A21" s="4">
        <f t="shared" si="8"/>
        <v>11</v>
      </c>
      <c r="B21" s="540">
        <f>'ET Forecast Capital Additions'!B21</f>
        <v>45618</v>
      </c>
      <c r="C21" s="177">
        <v>86</v>
      </c>
      <c r="D21" s="675">
        <v>90</v>
      </c>
      <c r="E21" s="574">
        <f t="shared" si="0"/>
        <v>176</v>
      </c>
      <c r="F21" s="52">
        <f t="shared" si="9"/>
        <v>0.18265359823416361</v>
      </c>
      <c r="G21" s="233">
        <f t="shared" si="10"/>
        <v>0.19114911443110147</v>
      </c>
      <c r="H21" s="125">
        <f t="shared" si="1"/>
        <v>0.3738027126652651</v>
      </c>
      <c r="I21" s="178">
        <f t="shared" si="2"/>
        <v>85.817346401765832</v>
      </c>
      <c r="J21" s="233">
        <f t="shared" si="3"/>
        <v>89.808850885568901</v>
      </c>
      <c r="K21" s="125">
        <f t="shared" si="4"/>
        <v>175.62619728733472</v>
      </c>
      <c r="L21" s="242">
        <f>'ET Forecast Capital Additions'!$L21</f>
        <v>1</v>
      </c>
      <c r="M21" s="52">
        <f t="shared" si="5"/>
        <v>85.817346401765832</v>
      </c>
      <c r="N21" s="233">
        <f t="shared" si="6"/>
        <v>89.808850885568901</v>
      </c>
      <c r="O21" s="574">
        <f t="shared" si="7"/>
        <v>175.62619728733472</v>
      </c>
      <c r="P21" s="4">
        <f t="shared" si="11"/>
        <v>11</v>
      </c>
      <c r="Q21" s="31"/>
      <c r="R21" s="31"/>
    </row>
    <row r="22" spans="1:18" ht="16.5" thickBot="1" x14ac:dyDescent="0.3">
      <c r="A22" s="4">
        <f t="shared" si="8"/>
        <v>12</v>
      </c>
      <c r="B22" s="541">
        <f>'ET Forecast Capital Additions'!B22</f>
        <v>45648</v>
      </c>
      <c r="C22" s="212">
        <v>1092</v>
      </c>
      <c r="D22" s="208">
        <v>1154</v>
      </c>
      <c r="E22" s="213">
        <f t="shared" si="0"/>
        <v>2246</v>
      </c>
      <c r="F22" s="894">
        <f t="shared" si="9"/>
        <v>2.3192759217640311</v>
      </c>
      <c r="G22" s="182">
        <f t="shared" si="10"/>
        <v>2.4509564228165677</v>
      </c>
      <c r="H22" s="894">
        <f t="shared" si="1"/>
        <v>4.7702323445805987</v>
      </c>
      <c r="I22" s="214">
        <f t="shared" si="2"/>
        <v>1089.6807240782359</v>
      </c>
      <c r="J22" s="182">
        <f t="shared" si="3"/>
        <v>1151.5490435771835</v>
      </c>
      <c r="K22" s="894">
        <f t="shared" si="4"/>
        <v>2241.2297676554194</v>
      </c>
      <c r="L22" s="243">
        <f>'ET Forecast Capital Additions'!$L22</f>
        <v>1</v>
      </c>
      <c r="M22" s="894">
        <f t="shared" si="5"/>
        <v>1089.6807240782359</v>
      </c>
      <c r="N22" s="182">
        <f t="shared" si="6"/>
        <v>1151.5490435771835</v>
      </c>
      <c r="O22" s="213">
        <f t="shared" si="7"/>
        <v>2241.2297676554194</v>
      </c>
      <c r="P22" s="4">
        <f t="shared" si="11"/>
        <v>12</v>
      </c>
      <c r="Q22" s="31"/>
      <c r="R22" s="31"/>
    </row>
    <row r="23" spans="1:18" x14ac:dyDescent="0.25">
      <c r="A23" s="4">
        <f t="shared" si="8"/>
        <v>13</v>
      </c>
      <c r="B23" s="540">
        <f>'ET Forecast Capital Additions'!B23</f>
        <v>45679</v>
      </c>
      <c r="C23" s="209">
        <v>101</v>
      </c>
      <c r="D23" s="185">
        <v>107</v>
      </c>
      <c r="E23" s="124">
        <f t="shared" si="0"/>
        <v>208</v>
      </c>
      <c r="F23" s="187">
        <f t="shared" si="9"/>
        <v>0.21451178397268053</v>
      </c>
      <c r="G23" s="129">
        <f t="shared" si="10"/>
        <v>0.22725505826808728</v>
      </c>
      <c r="H23" s="123">
        <f t="shared" si="1"/>
        <v>0.44176684224076779</v>
      </c>
      <c r="I23" s="186">
        <f t="shared" si="2"/>
        <v>100.78548821602732</v>
      </c>
      <c r="J23" s="129">
        <f t="shared" si="3"/>
        <v>106.77274494173191</v>
      </c>
      <c r="K23" s="123">
        <f t="shared" si="4"/>
        <v>207.55823315775922</v>
      </c>
      <c r="L23" s="244">
        <f>'ET Forecast Capital Additions'!$L23</f>
        <v>1</v>
      </c>
      <c r="M23" s="187">
        <f t="shared" si="5"/>
        <v>100.78548821602732</v>
      </c>
      <c r="N23" s="129">
        <f t="shared" si="6"/>
        <v>106.77274494173191</v>
      </c>
      <c r="O23" s="124">
        <f t="shared" si="7"/>
        <v>207.55823315775922</v>
      </c>
      <c r="P23" s="4">
        <f t="shared" si="11"/>
        <v>13</v>
      </c>
      <c r="Q23" s="31"/>
      <c r="R23" s="31"/>
    </row>
    <row r="24" spans="1:18" x14ac:dyDescent="0.25">
      <c r="A24" s="4">
        <f t="shared" si="8"/>
        <v>14</v>
      </c>
      <c r="B24" s="540">
        <f>'ET Forecast Capital Additions'!B24</f>
        <v>45710</v>
      </c>
      <c r="C24" s="177">
        <v>101</v>
      </c>
      <c r="D24" s="675">
        <v>107</v>
      </c>
      <c r="E24" s="574">
        <f t="shared" si="0"/>
        <v>208</v>
      </c>
      <c r="F24" s="52">
        <f t="shared" si="9"/>
        <v>0.21451178397268053</v>
      </c>
      <c r="G24" s="233">
        <f t="shared" si="10"/>
        <v>0.22725505826808728</v>
      </c>
      <c r="H24" s="125">
        <f t="shared" si="1"/>
        <v>0.44176684224076779</v>
      </c>
      <c r="I24" s="178">
        <f t="shared" si="2"/>
        <v>100.78548821602732</v>
      </c>
      <c r="J24" s="233">
        <f t="shared" si="3"/>
        <v>106.77274494173191</v>
      </c>
      <c r="K24" s="125">
        <f t="shared" si="4"/>
        <v>207.55823315775922</v>
      </c>
      <c r="L24" s="242">
        <f>'ET Forecast Capital Additions'!$L24</f>
        <v>0.91666666666666663</v>
      </c>
      <c r="M24" s="52">
        <f t="shared" si="5"/>
        <v>92.386697531358365</v>
      </c>
      <c r="N24" s="233">
        <f t="shared" si="6"/>
        <v>97.87501619658758</v>
      </c>
      <c r="O24" s="574">
        <f t="shared" si="7"/>
        <v>190.26171372794596</v>
      </c>
      <c r="P24" s="4">
        <f t="shared" si="11"/>
        <v>14</v>
      </c>
      <c r="Q24" s="31"/>
      <c r="R24" s="428"/>
    </row>
    <row r="25" spans="1:18" x14ac:dyDescent="0.25">
      <c r="A25" s="4">
        <f t="shared" si="8"/>
        <v>15</v>
      </c>
      <c r="B25" s="540">
        <f>'ET Forecast Capital Additions'!B25</f>
        <v>45738</v>
      </c>
      <c r="C25" s="177">
        <v>547</v>
      </c>
      <c r="D25" s="675">
        <v>578</v>
      </c>
      <c r="E25" s="574">
        <f t="shared" si="0"/>
        <v>1125</v>
      </c>
      <c r="F25" s="52">
        <f t="shared" si="9"/>
        <v>1.1617618399312499</v>
      </c>
      <c r="G25" s="233">
        <f t="shared" si="10"/>
        <v>1.2276020904575182</v>
      </c>
      <c r="H25" s="125">
        <f t="shared" si="1"/>
        <v>2.3893639303887682</v>
      </c>
      <c r="I25" s="178">
        <f t="shared" si="2"/>
        <v>545.83823816006873</v>
      </c>
      <c r="J25" s="233">
        <f t="shared" si="3"/>
        <v>576.77239790954252</v>
      </c>
      <c r="K25" s="125">
        <f t="shared" si="4"/>
        <v>1122.6106360696112</v>
      </c>
      <c r="L25" s="242">
        <f>'ET Forecast Capital Additions'!$L25</f>
        <v>0.83333333333333337</v>
      </c>
      <c r="M25" s="52">
        <f t="shared" si="5"/>
        <v>454.86519846672394</v>
      </c>
      <c r="N25" s="233">
        <f t="shared" si="6"/>
        <v>480.6436649246188</v>
      </c>
      <c r="O25" s="574">
        <f t="shared" si="7"/>
        <v>935.50886339134274</v>
      </c>
      <c r="P25" s="4">
        <f t="shared" si="11"/>
        <v>15</v>
      </c>
      <c r="Q25" s="31"/>
      <c r="R25" s="428"/>
    </row>
    <row r="26" spans="1:18" ht="16.5" thickBot="1" x14ac:dyDescent="0.3">
      <c r="A26" s="4">
        <f t="shared" si="8"/>
        <v>16</v>
      </c>
      <c r="B26" s="541">
        <f>'ET Forecast Capital Additions'!B26</f>
        <v>45769</v>
      </c>
      <c r="C26" s="179">
        <v>143</v>
      </c>
      <c r="D26" s="208">
        <v>151</v>
      </c>
      <c r="E26" s="183">
        <f t="shared" si="0"/>
        <v>294</v>
      </c>
      <c r="F26" s="184">
        <f t="shared" si="9"/>
        <v>0.30371470404052786</v>
      </c>
      <c r="G26" s="182">
        <f t="shared" si="10"/>
        <v>0.32070573643440353</v>
      </c>
      <c r="H26" s="180">
        <f t="shared" ref="H26" si="12">F26+G26</f>
        <v>0.62442044047493139</v>
      </c>
      <c r="I26" s="181">
        <f t="shared" si="2"/>
        <v>142.69628529595948</v>
      </c>
      <c r="J26" s="182">
        <f t="shared" si="3"/>
        <v>150.67929426356559</v>
      </c>
      <c r="K26" s="180">
        <f t="shared" si="4"/>
        <v>293.37557955952508</v>
      </c>
      <c r="L26" s="243">
        <f>'ET Forecast Capital Additions'!$L26</f>
        <v>0.75</v>
      </c>
      <c r="M26" s="184">
        <f t="shared" si="5"/>
        <v>107.02221397196962</v>
      </c>
      <c r="N26" s="182">
        <f t="shared" si="6"/>
        <v>113.0094706976742</v>
      </c>
      <c r="O26" s="183">
        <f t="shared" si="7"/>
        <v>220.03168466964382</v>
      </c>
      <c r="P26" s="4">
        <f t="shared" si="11"/>
        <v>16</v>
      </c>
      <c r="Q26" s="31"/>
      <c r="R26" s="428"/>
    </row>
    <row r="27" spans="1:18" x14ac:dyDescent="0.25">
      <c r="A27" s="4">
        <f t="shared" si="8"/>
        <v>17</v>
      </c>
      <c r="B27" s="540">
        <f>'ET Forecast Capital Additions'!B27</f>
        <v>45799</v>
      </c>
      <c r="C27" s="209">
        <v>127</v>
      </c>
      <c r="D27" s="185">
        <v>135</v>
      </c>
      <c r="E27" s="124">
        <f t="shared" si="0"/>
        <v>262</v>
      </c>
      <c r="F27" s="187">
        <f t="shared" si="9"/>
        <v>0.26973263925277652</v>
      </c>
      <c r="G27" s="129">
        <f t="shared" si="10"/>
        <v>0.28672367164665219</v>
      </c>
      <c r="H27" s="123">
        <f t="shared" ref="H27:H34" si="13">F27+G27</f>
        <v>0.55645631089942871</v>
      </c>
      <c r="I27" s="186">
        <f t="shared" si="2"/>
        <v>126.73026736074722</v>
      </c>
      <c r="J27" s="129">
        <f t="shared" si="3"/>
        <v>134.71327632835334</v>
      </c>
      <c r="K27" s="123">
        <f t="shared" si="4"/>
        <v>261.44354368910058</v>
      </c>
      <c r="L27" s="244">
        <f>'ET Forecast Capital Additions'!$L27</f>
        <v>0.66666666666666663</v>
      </c>
      <c r="M27" s="187">
        <f t="shared" si="5"/>
        <v>84.486844907164809</v>
      </c>
      <c r="N27" s="129">
        <f t="shared" si="6"/>
        <v>89.808850885568887</v>
      </c>
      <c r="O27" s="124">
        <f t="shared" si="7"/>
        <v>174.29569579273368</v>
      </c>
      <c r="P27" s="4">
        <f t="shared" si="11"/>
        <v>17</v>
      </c>
      <c r="Q27" s="31"/>
      <c r="R27" s="428"/>
    </row>
    <row r="28" spans="1:18" x14ac:dyDescent="0.25">
      <c r="A28" s="4">
        <f t="shared" si="8"/>
        <v>18</v>
      </c>
      <c r="B28" s="540">
        <f>'ET Forecast Capital Additions'!B28</f>
        <v>45830</v>
      </c>
      <c r="C28" s="177">
        <v>104</v>
      </c>
      <c r="D28" s="675">
        <v>110</v>
      </c>
      <c r="E28" s="574">
        <f t="shared" si="0"/>
        <v>214</v>
      </c>
      <c r="F28" s="52">
        <f t="shared" si="9"/>
        <v>0.22088342112038389</v>
      </c>
      <c r="G28" s="233">
        <f t="shared" si="10"/>
        <v>0.23362669541579068</v>
      </c>
      <c r="H28" s="125">
        <f t="shared" si="13"/>
        <v>0.45451011653617457</v>
      </c>
      <c r="I28" s="178">
        <f t="shared" si="2"/>
        <v>103.77911657887961</v>
      </c>
      <c r="J28" s="233">
        <f t="shared" si="3"/>
        <v>109.76637330458421</v>
      </c>
      <c r="K28" s="125">
        <f t="shared" si="4"/>
        <v>213.5454898834638</v>
      </c>
      <c r="L28" s="242">
        <f>'ET Forecast Capital Additions'!$L28</f>
        <v>0.58333333333333337</v>
      </c>
      <c r="M28" s="52">
        <f t="shared" si="5"/>
        <v>60.537818004346441</v>
      </c>
      <c r="N28" s="233">
        <f t="shared" si="6"/>
        <v>64.030384427674122</v>
      </c>
      <c r="O28" s="574">
        <f t="shared" si="7"/>
        <v>124.56820243202057</v>
      </c>
      <c r="P28" s="4">
        <f t="shared" ref="P28:P35" si="14">P27+1</f>
        <v>18</v>
      </c>
      <c r="Q28" s="31"/>
      <c r="R28" s="428"/>
    </row>
    <row r="29" spans="1:18" x14ac:dyDescent="0.25">
      <c r="A29" s="4">
        <f t="shared" si="8"/>
        <v>19</v>
      </c>
      <c r="B29" s="540">
        <f>'ET Forecast Capital Additions'!B29</f>
        <v>45860</v>
      </c>
      <c r="C29" s="177">
        <v>173</v>
      </c>
      <c r="D29" s="675">
        <v>183</v>
      </c>
      <c r="E29" s="574">
        <f t="shared" si="0"/>
        <v>356</v>
      </c>
      <c r="F29" s="52">
        <f t="shared" si="9"/>
        <v>0.36743107551756171</v>
      </c>
      <c r="G29" s="233">
        <f t="shared" si="10"/>
        <v>0.38866986600990627</v>
      </c>
      <c r="H29" s="125">
        <f t="shared" si="13"/>
        <v>0.75610094152746798</v>
      </c>
      <c r="I29" s="178">
        <f t="shared" si="2"/>
        <v>172.63256892448243</v>
      </c>
      <c r="J29" s="233">
        <f t="shared" si="3"/>
        <v>182.61133013399009</v>
      </c>
      <c r="K29" s="125">
        <f t="shared" si="4"/>
        <v>355.24389905847249</v>
      </c>
      <c r="L29" s="242">
        <f>'ET Forecast Capital Additions'!$L29</f>
        <v>0.5</v>
      </c>
      <c r="M29" s="52">
        <f t="shared" si="5"/>
        <v>86.316284462241214</v>
      </c>
      <c r="N29" s="233">
        <f t="shared" si="6"/>
        <v>91.305665066995047</v>
      </c>
      <c r="O29" s="574">
        <f t="shared" si="7"/>
        <v>177.62194952923625</v>
      </c>
      <c r="P29" s="4">
        <f t="shared" si="14"/>
        <v>19</v>
      </c>
      <c r="Q29" s="31"/>
      <c r="R29" s="428"/>
    </row>
    <row r="30" spans="1:18" ht="16.5" thickBot="1" x14ac:dyDescent="0.3">
      <c r="A30" s="4">
        <f t="shared" si="8"/>
        <v>20</v>
      </c>
      <c r="B30" s="541">
        <f>'ET Forecast Capital Additions'!B30</f>
        <v>45891</v>
      </c>
      <c r="C30" s="179">
        <v>375</v>
      </c>
      <c r="D30" s="208">
        <v>396</v>
      </c>
      <c r="E30" s="183">
        <f t="shared" si="0"/>
        <v>771</v>
      </c>
      <c r="F30" s="184">
        <f t="shared" si="9"/>
        <v>0.79645464346292272</v>
      </c>
      <c r="G30" s="182">
        <f t="shared" si="10"/>
        <v>0.84105610349684645</v>
      </c>
      <c r="H30" s="180">
        <f t="shared" si="13"/>
        <v>1.6375107469597692</v>
      </c>
      <c r="I30" s="181">
        <f t="shared" si="2"/>
        <v>374.20354535653706</v>
      </c>
      <c r="J30" s="182">
        <f t="shared" si="3"/>
        <v>395.15894389650316</v>
      </c>
      <c r="K30" s="180">
        <f t="shared" si="4"/>
        <v>769.36248925304017</v>
      </c>
      <c r="L30" s="243">
        <f>'ET Forecast Capital Additions'!$L30</f>
        <v>0.41666666666666669</v>
      </c>
      <c r="M30" s="184">
        <f t="shared" si="5"/>
        <v>155.9181438985571</v>
      </c>
      <c r="N30" s="182">
        <f t="shared" si="6"/>
        <v>164.64955995687632</v>
      </c>
      <c r="O30" s="183">
        <f t="shared" si="7"/>
        <v>320.56770385543342</v>
      </c>
      <c r="P30" s="4">
        <f t="shared" si="14"/>
        <v>20</v>
      </c>
      <c r="Q30" s="31"/>
      <c r="R30" s="428"/>
    </row>
    <row r="31" spans="1:18" x14ac:dyDescent="0.25">
      <c r="A31" s="4">
        <f t="shared" si="8"/>
        <v>21</v>
      </c>
      <c r="B31" s="540">
        <f>'ET Forecast Capital Additions'!B31</f>
        <v>45922</v>
      </c>
      <c r="C31" s="177">
        <v>158</v>
      </c>
      <c r="D31" s="675">
        <v>166</v>
      </c>
      <c r="E31" s="574">
        <f t="shared" si="0"/>
        <v>324</v>
      </c>
      <c r="F31" s="52">
        <f t="shared" si="9"/>
        <v>0.33557288977904476</v>
      </c>
      <c r="G31" s="233">
        <f t="shared" si="10"/>
        <v>0.35256392217292049</v>
      </c>
      <c r="H31" s="125">
        <f t="shared" si="13"/>
        <v>0.6881368119519653</v>
      </c>
      <c r="I31" s="178">
        <f t="shared" si="2"/>
        <v>157.66442711022094</v>
      </c>
      <c r="J31" s="233">
        <f t="shared" si="3"/>
        <v>165.64743607782708</v>
      </c>
      <c r="K31" s="125">
        <f t="shared" si="4"/>
        <v>323.31186318804805</v>
      </c>
      <c r="L31" s="244">
        <f>'ET Forecast Capital Additions'!$L31</f>
        <v>0.33333333333333331</v>
      </c>
      <c r="M31" s="52">
        <f t="shared" si="5"/>
        <v>52.554809036740309</v>
      </c>
      <c r="N31" s="233">
        <f t="shared" si="6"/>
        <v>55.215812025942355</v>
      </c>
      <c r="O31" s="574">
        <f t="shared" si="7"/>
        <v>107.77062106268266</v>
      </c>
      <c r="P31" s="4">
        <f t="shared" si="14"/>
        <v>21</v>
      </c>
      <c r="Q31" s="31"/>
      <c r="R31" s="428"/>
    </row>
    <row r="32" spans="1:18" x14ac:dyDescent="0.25">
      <c r="A32" s="4">
        <f t="shared" si="8"/>
        <v>22</v>
      </c>
      <c r="B32" s="540">
        <f>'ET Forecast Capital Additions'!B32</f>
        <v>45952</v>
      </c>
      <c r="C32" s="177">
        <v>248</v>
      </c>
      <c r="D32" s="675">
        <v>262</v>
      </c>
      <c r="E32" s="574">
        <f t="shared" si="0"/>
        <v>510</v>
      </c>
      <c r="F32" s="52">
        <f t="shared" si="9"/>
        <v>0.52672200421014626</v>
      </c>
      <c r="G32" s="233">
        <f t="shared" si="10"/>
        <v>0.55645631089942871</v>
      </c>
      <c r="H32" s="125">
        <f t="shared" si="13"/>
        <v>1.0831783151095751</v>
      </c>
      <c r="I32" s="178">
        <f t="shared" si="2"/>
        <v>247.47327799578986</v>
      </c>
      <c r="J32" s="233">
        <f t="shared" si="3"/>
        <v>261.44354368910058</v>
      </c>
      <c r="K32" s="125">
        <f t="shared" si="4"/>
        <v>508.91682168489046</v>
      </c>
      <c r="L32" s="242">
        <f>'ET Forecast Capital Additions'!$L32</f>
        <v>0.25</v>
      </c>
      <c r="M32" s="52">
        <f t="shared" si="5"/>
        <v>61.868319498947464</v>
      </c>
      <c r="N32" s="233">
        <f t="shared" si="6"/>
        <v>65.360885922275145</v>
      </c>
      <c r="O32" s="574">
        <f t="shared" si="7"/>
        <v>127.22920542122262</v>
      </c>
      <c r="P32" s="4">
        <f t="shared" si="14"/>
        <v>22</v>
      </c>
      <c r="Q32" s="31"/>
      <c r="R32" s="428"/>
    </row>
    <row r="33" spans="1:18" x14ac:dyDescent="0.25">
      <c r="A33" s="4">
        <f t="shared" si="8"/>
        <v>23</v>
      </c>
      <c r="B33" s="540">
        <f>'ET Forecast Capital Additions'!B33</f>
        <v>45983</v>
      </c>
      <c r="C33" s="177">
        <v>160</v>
      </c>
      <c r="D33" s="675">
        <v>169</v>
      </c>
      <c r="E33" s="574">
        <f t="shared" si="0"/>
        <v>329</v>
      </c>
      <c r="F33" s="52">
        <f t="shared" si="9"/>
        <v>0.3398206478775137</v>
      </c>
      <c r="G33" s="233">
        <f t="shared" si="10"/>
        <v>0.35893555932062388</v>
      </c>
      <c r="H33" s="125">
        <f t="shared" si="13"/>
        <v>0.69875620719813758</v>
      </c>
      <c r="I33" s="178">
        <f t="shared" si="2"/>
        <v>159.6601793521225</v>
      </c>
      <c r="J33" s="233">
        <f t="shared" si="3"/>
        <v>168.64106444067937</v>
      </c>
      <c r="K33" s="125">
        <f t="shared" si="4"/>
        <v>328.30124379280187</v>
      </c>
      <c r="L33" s="242">
        <f>'ET Forecast Capital Additions'!$L33</f>
        <v>0.16666666666666666</v>
      </c>
      <c r="M33" s="52">
        <f t="shared" si="5"/>
        <v>26.610029892020414</v>
      </c>
      <c r="N33" s="233">
        <f t="shared" si="6"/>
        <v>28.10684407344656</v>
      </c>
      <c r="O33" s="574">
        <f t="shared" si="7"/>
        <v>54.716873965466974</v>
      </c>
      <c r="P33" s="4">
        <f t="shared" si="14"/>
        <v>23</v>
      </c>
      <c r="Q33" s="31"/>
      <c r="R33" s="428"/>
    </row>
    <row r="34" spans="1:18" ht="16.5" thickBot="1" x14ac:dyDescent="0.3">
      <c r="A34" s="4">
        <f t="shared" si="8"/>
        <v>24</v>
      </c>
      <c r="B34" s="540">
        <f>'ET Forecast Capital Additions'!B34</f>
        <v>46013</v>
      </c>
      <c r="C34" s="177">
        <v>1655</v>
      </c>
      <c r="D34" s="675">
        <v>1749</v>
      </c>
      <c r="E34" s="574">
        <f t="shared" si="0"/>
        <v>3404</v>
      </c>
      <c r="F34" s="52">
        <f t="shared" si="9"/>
        <v>3.5150198264830324</v>
      </c>
      <c r="G34" s="233">
        <f t="shared" si="10"/>
        <v>3.7146644571110716</v>
      </c>
      <c r="H34" s="125">
        <f t="shared" si="13"/>
        <v>7.2296842835941035</v>
      </c>
      <c r="I34" s="178">
        <f t="shared" si="2"/>
        <v>1651.484980173517</v>
      </c>
      <c r="J34" s="233">
        <f t="shared" si="3"/>
        <v>1745.285335542889</v>
      </c>
      <c r="K34" s="125">
        <f t="shared" si="4"/>
        <v>3396.770315716406</v>
      </c>
      <c r="L34" s="242">
        <f>'ET Forecast Capital Additions'!$L34</f>
        <v>8.3333333333333329E-2</v>
      </c>
      <c r="M34" s="52">
        <f t="shared" si="5"/>
        <v>137.62374834779308</v>
      </c>
      <c r="N34" s="233">
        <f t="shared" si="6"/>
        <v>145.44044462857408</v>
      </c>
      <c r="O34" s="574">
        <f t="shared" si="7"/>
        <v>283.06419297636717</v>
      </c>
      <c r="P34" s="4">
        <f t="shared" si="14"/>
        <v>24</v>
      </c>
      <c r="Q34" s="31"/>
      <c r="R34" s="428"/>
    </row>
    <row r="35" spans="1:18" ht="16.5" thickBot="1" x14ac:dyDescent="0.3">
      <c r="A35" s="4">
        <f t="shared" si="8"/>
        <v>25</v>
      </c>
      <c r="B35" s="542" t="s">
        <v>177</v>
      </c>
      <c r="C35" s="188">
        <f t="shared" ref="C35:K35" si="15">SUM(C11:C34)</f>
        <v>7716</v>
      </c>
      <c r="D35" s="189">
        <f t="shared" si="15"/>
        <v>8152</v>
      </c>
      <c r="E35" s="191">
        <f t="shared" si="15"/>
        <v>15868</v>
      </c>
      <c r="F35" s="192">
        <f t="shared" si="15"/>
        <v>16.387850743893097</v>
      </c>
      <c r="G35" s="189">
        <f t="shared" si="15"/>
        <v>17.313862009359319</v>
      </c>
      <c r="H35" s="190">
        <f t="shared" si="15"/>
        <v>33.701712753252423</v>
      </c>
      <c r="I35" s="188">
        <f t="shared" si="15"/>
        <v>7699.612149256106</v>
      </c>
      <c r="J35" s="189">
        <f t="shared" si="15"/>
        <v>8134.6861379906404</v>
      </c>
      <c r="K35" s="190">
        <f t="shared" si="15"/>
        <v>15834.298287246747</v>
      </c>
      <c r="L35" s="215"/>
      <c r="M35" s="192">
        <f>SUM(M11:M34)</f>
        <v>5236.8538827496168</v>
      </c>
      <c r="N35" s="189">
        <f>SUM(N11:N34)</f>
        <v>5532.6409962681064</v>
      </c>
      <c r="O35" s="191">
        <f>SUM(O11:O34)</f>
        <v>10769.494879017726</v>
      </c>
      <c r="P35" s="4">
        <f t="shared" si="14"/>
        <v>25</v>
      </c>
      <c r="Q35" s="31"/>
      <c r="R35" s="31"/>
    </row>
    <row r="36" spans="1:18" x14ac:dyDescent="0.25">
      <c r="A36" s="4">
        <f>A35+1</f>
        <v>26</v>
      </c>
      <c r="B36" s="516"/>
      <c r="C36" s="2"/>
      <c r="D36" s="2"/>
      <c r="E36" s="560"/>
      <c r="F36" s="31"/>
      <c r="G36" s="31"/>
      <c r="H36" s="87"/>
      <c r="I36" s="31"/>
      <c r="J36" s="31"/>
      <c r="K36" s="6"/>
      <c r="L36" s="4"/>
      <c r="M36" s="31"/>
      <c r="N36" s="31"/>
      <c r="O36" s="128"/>
      <c r="P36" s="4">
        <f>P35+1</f>
        <v>26</v>
      </c>
      <c r="Q36" s="31"/>
      <c r="R36" s="31"/>
    </row>
    <row r="37" spans="1:18" s="414" customFormat="1" x14ac:dyDescent="0.25">
      <c r="A37" s="4">
        <f>A36+1</f>
        <v>27</v>
      </c>
      <c r="B37" s="544"/>
      <c r="E37" s="31" t="s">
        <v>1440</v>
      </c>
      <c r="F37" s="545"/>
      <c r="G37" s="545"/>
      <c r="H37" s="28">
        <f>'ET Forecast Capital Additions'!H37</f>
        <v>17819.405999999999</v>
      </c>
      <c r="I37" s="194"/>
      <c r="J37" s="31" t="str">
        <f>'ET Forecast Capital Additions'!J37</f>
        <v>Form 1; Page 204-207; Line 58; Col. d</v>
      </c>
      <c r="K37" s="194"/>
      <c r="L37" s="338"/>
      <c r="O37" s="546"/>
      <c r="P37" s="4">
        <f t="shared" ref="P37:P42" si="16">P36+1</f>
        <v>27</v>
      </c>
      <c r="Q37" s="31"/>
    </row>
    <row r="38" spans="1:18" s="414" customFormat="1" x14ac:dyDescent="0.25">
      <c r="A38" s="4">
        <f>A37+1</f>
        <v>28</v>
      </c>
      <c r="B38" s="544"/>
      <c r="E38" s="31"/>
      <c r="F38" s="545"/>
      <c r="G38" s="545"/>
      <c r="H38" s="6"/>
      <c r="I38" s="194"/>
      <c r="J38" s="31"/>
      <c r="K38" s="194"/>
      <c r="L38" s="338"/>
      <c r="O38" s="546"/>
      <c r="P38" s="4">
        <f t="shared" si="16"/>
        <v>28</v>
      </c>
      <c r="Q38" s="31"/>
    </row>
    <row r="39" spans="1:18" s="414" customFormat="1" x14ac:dyDescent="0.25">
      <c r="A39" s="4">
        <f t="shared" ref="A39:A40" si="17">A38+1</f>
        <v>29</v>
      </c>
      <c r="B39" s="544"/>
      <c r="E39" s="31" t="s">
        <v>1442</v>
      </c>
      <c r="F39" s="545"/>
      <c r="G39" s="545"/>
      <c r="H39" s="915">
        <f>'ET Forecast Capital Additions'!H39</f>
        <v>8390028.6160000004</v>
      </c>
      <c r="I39" s="194"/>
      <c r="J39" s="31" t="str">
        <f>'ET Forecast Capital Additions'!J39</f>
        <v>Form 1; Page 204-207; Line 58; Col. g</v>
      </c>
      <c r="K39" s="194"/>
      <c r="L39" s="338"/>
      <c r="O39" s="546"/>
      <c r="P39" s="4">
        <f t="shared" si="16"/>
        <v>29</v>
      </c>
      <c r="Q39" s="31"/>
    </row>
    <row r="40" spans="1:18" s="414" customFormat="1" ht="16.5" thickBot="1" x14ac:dyDescent="0.3">
      <c r="A40" s="4">
        <f t="shared" si="17"/>
        <v>30</v>
      </c>
      <c r="B40" s="544"/>
      <c r="E40" s="545"/>
      <c r="F40" s="545"/>
      <c r="G40" s="545"/>
      <c r="H40" s="194"/>
      <c r="I40" s="194"/>
      <c r="J40" s="194"/>
      <c r="K40" s="194"/>
      <c r="L40" s="338"/>
      <c r="O40" s="546"/>
      <c r="P40" s="4">
        <f t="shared" si="16"/>
        <v>30</v>
      </c>
    </row>
    <row r="41" spans="1:18" ht="16.5" thickBot="1" x14ac:dyDescent="0.3">
      <c r="A41" s="4">
        <f>A40+1</f>
        <v>31</v>
      </c>
      <c r="B41" s="516"/>
      <c r="C41" s="31"/>
      <c r="D41" s="31"/>
      <c r="E41" s="1" t="s">
        <v>1444</v>
      </c>
      <c r="F41" s="31"/>
      <c r="G41" s="31"/>
      <c r="H41" s="195">
        <f>IFERROR(H37/H39,0)</f>
        <v>2.1238790492344607E-3</v>
      </c>
      <c r="I41" s="47"/>
      <c r="J41" s="31" t="s">
        <v>1445</v>
      </c>
      <c r="K41" s="47"/>
      <c r="L41" s="4"/>
      <c r="M41" s="31"/>
      <c r="N41" s="31"/>
      <c r="O41" s="381"/>
      <c r="P41" s="4">
        <f t="shared" si="16"/>
        <v>31</v>
      </c>
      <c r="Q41" s="31"/>
      <c r="R41" s="31"/>
    </row>
    <row r="42" spans="1:18" ht="16.5" thickBot="1" x14ac:dyDescent="0.3">
      <c r="A42" s="4">
        <f t="shared" si="8"/>
        <v>32</v>
      </c>
      <c r="B42" s="547"/>
      <c r="C42" s="863"/>
      <c r="D42" s="863"/>
      <c r="E42" s="863"/>
      <c r="F42" s="863"/>
      <c r="G42" s="863"/>
      <c r="H42" s="863"/>
      <c r="I42" s="863"/>
      <c r="J42" s="863"/>
      <c r="K42" s="863"/>
      <c r="L42" s="862"/>
      <c r="M42" s="863"/>
      <c r="N42" s="863"/>
      <c r="O42" s="196"/>
      <c r="P42" s="4">
        <f t="shared" si="16"/>
        <v>32</v>
      </c>
      <c r="Q42" s="414"/>
      <c r="R42" s="31"/>
    </row>
    <row r="43" spans="1:18" ht="16.5" thickBot="1" x14ac:dyDescent="0.3">
      <c r="A43" s="4">
        <f t="shared" si="8"/>
        <v>33</v>
      </c>
      <c r="B43" s="561"/>
      <c r="C43" s="562"/>
      <c r="D43" s="562"/>
      <c r="E43" s="562"/>
      <c r="F43" s="562"/>
      <c r="G43" s="562"/>
      <c r="H43" s="562"/>
      <c r="I43" s="562"/>
      <c r="J43" s="562"/>
      <c r="K43" s="562"/>
      <c r="L43" s="563"/>
      <c r="M43" s="562"/>
      <c r="N43" s="562"/>
      <c r="O43" s="564"/>
      <c r="P43" s="4">
        <f t="shared" ref="P43:P49" si="18">P42+1</f>
        <v>33</v>
      </c>
      <c r="Q43" s="414"/>
      <c r="R43" s="31"/>
    </row>
    <row r="44" spans="1:18" ht="16.5" thickBot="1" x14ac:dyDescent="0.3">
      <c r="A44" s="4">
        <f t="shared" si="8"/>
        <v>34</v>
      </c>
      <c r="B44" s="549"/>
      <c r="C44" s="31"/>
      <c r="D44" s="251"/>
      <c r="E44" s="31"/>
      <c r="F44" s="31"/>
      <c r="G44" s="29"/>
      <c r="H44" s="472" t="s">
        <v>1453</v>
      </c>
      <c r="I44" s="551" t="s">
        <v>1447</v>
      </c>
      <c r="J44" s="552" t="s">
        <v>1448</v>
      </c>
      <c r="K44" s="552" t="s">
        <v>1405</v>
      </c>
      <c r="L44" s="218"/>
      <c r="M44" s="551" t="s">
        <v>1408</v>
      </c>
      <c r="N44" s="551" t="s">
        <v>1409</v>
      </c>
      <c r="O44" s="551" t="s">
        <v>1449</v>
      </c>
      <c r="P44" s="4">
        <f t="shared" si="18"/>
        <v>34</v>
      </c>
      <c r="Q44" s="414"/>
      <c r="R44" s="31"/>
    </row>
    <row r="45" spans="1:18" ht="16.5" thickBot="1" x14ac:dyDescent="0.3">
      <c r="A45" s="4">
        <f t="shared" si="8"/>
        <v>35</v>
      </c>
      <c r="B45" s="516"/>
      <c r="C45" s="31"/>
      <c r="D45" s="31"/>
      <c r="E45" s="31"/>
      <c r="F45" s="31"/>
      <c r="G45" s="29"/>
      <c r="H45" s="472" t="s">
        <v>1454</v>
      </c>
      <c r="I45" s="197">
        <f>+I35</f>
        <v>7699.612149256106</v>
      </c>
      <c r="J45" s="197">
        <f>+J35</f>
        <v>8134.6861379906404</v>
      </c>
      <c r="K45" s="197">
        <f>+K35</f>
        <v>15834.298287246747</v>
      </c>
      <c r="L45" s="216"/>
      <c r="M45" s="197">
        <f>+M35</f>
        <v>5236.8538827496168</v>
      </c>
      <c r="N45" s="197">
        <f>+N35</f>
        <v>5532.6409962681064</v>
      </c>
      <c r="O45" s="197">
        <f>+O35</f>
        <v>10769.494879017726</v>
      </c>
      <c r="P45" s="4">
        <f t="shared" si="18"/>
        <v>35</v>
      </c>
      <c r="Q45" s="31"/>
      <c r="R45" s="31"/>
    </row>
    <row r="46" spans="1:18" ht="16.5" thickTop="1" x14ac:dyDescent="0.25">
      <c r="A46" s="4">
        <f t="shared" si="8"/>
        <v>36</v>
      </c>
      <c r="B46" s="516"/>
      <c r="C46" s="31"/>
      <c r="D46" s="31"/>
      <c r="E46" s="31"/>
      <c r="F46" s="31"/>
      <c r="G46" s="29"/>
      <c r="H46" s="29"/>
      <c r="I46" s="217">
        <v>0</v>
      </c>
      <c r="J46" s="217">
        <v>0</v>
      </c>
      <c r="K46" s="217">
        <v>0</v>
      </c>
      <c r="L46" s="218"/>
      <c r="M46" s="217">
        <v>0</v>
      </c>
      <c r="N46" s="217">
        <v>0</v>
      </c>
      <c r="O46" s="217">
        <v>0</v>
      </c>
      <c r="P46" s="4">
        <f t="shared" si="18"/>
        <v>36</v>
      </c>
      <c r="Q46" s="31"/>
      <c r="R46" s="31"/>
    </row>
    <row r="47" spans="1:18" ht="16.5" thickBot="1" x14ac:dyDescent="0.3">
      <c r="A47" s="4">
        <f>A46+1</f>
        <v>37</v>
      </c>
      <c r="B47" s="516"/>
      <c r="C47" s="31"/>
      <c r="D47" s="31"/>
      <c r="E47" s="31"/>
      <c r="F47" s="31"/>
      <c r="G47" s="29"/>
      <c r="H47" s="472" t="s">
        <v>1451</v>
      </c>
      <c r="I47" s="201">
        <f>IFERROR(+I45/K45,0)</f>
        <v>0.48626165868414412</v>
      </c>
      <c r="J47" s="201">
        <f>IFERROR(+J45/K45,0)</f>
        <v>0.51373834131585583</v>
      </c>
      <c r="K47" s="201">
        <f>I47+J47</f>
        <v>1</v>
      </c>
      <c r="L47" s="218"/>
      <c r="M47" s="201">
        <f>IFERROR(+M45/O45,0)</f>
        <v>0.48626736365812401</v>
      </c>
      <c r="N47" s="201">
        <f>IFERROR(+N45/O45,0)</f>
        <v>0.51373263634187571</v>
      </c>
      <c r="O47" s="201">
        <f>M47+N47</f>
        <v>0.99999999999999978</v>
      </c>
      <c r="P47" s="4">
        <f>P46+1</f>
        <v>37</v>
      </c>
      <c r="Q47" s="31"/>
      <c r="R47" s="31"/>
    </row>
    <row r="48" spans="1:18" ht="17.25" thickTop="1" thickBot="1" x14ac:dyDescent="0.3">
      <c r="A48" s="4">
        <f t="shared" si="8"/>
        <v>38</v>
      </c>
      <c r="B48" s="515"/>
      <c r="C48" s="31"/>
      <c r="D48" s="31"/>
      <c r="E48" s="31"/>
      <c r="F48" s="31"/>
      <c r="G48" s="31"/>
      <c r="H48" s="31"/>
      <c r="I48" s="205"/>
      <c r="J48" s="205"/>
      <c r="K48" s="205"/>
      <c r="L48" s="4"/>
      <c r="M48" s="565"/>
      <c r="N48" s="565"/>
      <c r="O48" s="565"/>
      <c r="P48" s="4">
        <f t="shared" si="18"/>
        <v>38</v>
      </c>
      <c r="Q48" s="31"/>
      <c r="R48" s="31"/>
    </row>
    <row r="49" spans="1:18" ht="16.5" thickBot="1" x14ac:dyDescent="0.3">
      <c r="A49" s="4">
        <f t="shared" si="8"/>
        <v>39</v>
      </c>
      <c r="B49" s="520"/>
      <c r="C49" s="863"/>
      <c r="D49" s="863"/>
      <c r="E49" s="863"/>
      <c r="F49" s="863"/>
      <c r="G49" s="863"/>
      <c r="H49" s="863"/>
      <c r="I49" s="863"/>
      <c r="J49" s="863"/>
      <c r="K49" s="863"/>
      <c r="L49" s="862"/>
      <c r="M49" s="863"/>
      <c r="N49" s="863"/>
      <c r="O49" s="196"/>
      <c r="P49" s="4">
        <f t="shared" si="18"/>
        <v>39</v>
      </c>
      <c r="Q49" s="31"/>
      <c r="R49" s="31"/>
    </row>
    <row r="50" spans="1:18" x14ac:dyDescent="0.25">
      <c r="B50" s="1"/>
      <c r="C50" s="31"/>
      <c r="D50" s="31"/>
      <c r="E50" s="31"/>
      <c r="F50" s="31"/>
      <c r="G50" s="31"/>
      <c r="H50" s="31"/>
      <c r="I50" s="31"/>
      <c r="J50" s="31"/>
      <c r="K50" s="31"/>
      <c r="L50" s="4"/>
      <c r="M50" s="31"/>
      <c r="N50" s="31"/>
      <c r="O50" s="31"/>
      <c r="Q50" s="31"/>
      <c r="R50" s="31"/>
    </row>
    <row r="51" spans="1:18" x14ac:dyDescent="0.25">
      <c r="B51" s="1"/>
      <c r="C51" s="31"/>
      <c r="D51" s="31"/>
      <c r="E51" s="31"/>
      <c r="F51" s="31"/>
      <c r="G51" s="31"/>
      <c r="H51" s="31"/>
      <c r="I51" s="31"/>
      <c r="J51" s="31"/>
      <c r="K51" s="31"/>
      <c r="L51" s="4"/>
      <c r="M51" s="31"/>
      <c r="N51" s="31"/>
      <c r="O51" s="31"/>
      <c r="Q51" s="31"/>
      <c r="R51" s="31"/>
    </row>
    <row r="52" spans="1:18" ht="18.75" x14ac:dyDescent="0.25">
      <c r="A52" s="253">
        <v>1</v>
      </c>
      <c r="B52" s="31" t="s">
        <v>1683</v>
      </c>
      <c r="C52" s="31"/>
      <c r="D52" s="31"/>
      <c r="E52" s="31"/>
      <c r="F52" s="31"/>
      <c r="G52" s="31"/>
      <c r="H52" s="31"/>
      <c r="I52" s="31"/>
      <c r="J52" s="31"/>
      <c r="K52" s="31"/>
      <c r="L52" s="4"/>
      <c r="M52" s="31"/>
      <c r="N52" s="31"/>
      <c r="O52" s="31"/>
      <c r="Q52" s="31"/>
      <c r="R52" s="31"/>
    </row>
    <row r="53" spans="1:18" x14ac:dyDescent="0.25">
      <c r="B53" s="31"/>
      <c r="C53" s="31"/>
      <c r="D53" s="31"/>
      <c r="E53" s="31"/>
      <c r="F53" s="31"/>
      <c r="G53" s="31"/>
      <c r="H53" s="31"/>
      <c r="I53" s="31"/>
      <c r="J53" s="31"/>
      <c r="K53" s="31"/>
      <c r="L53" s="4"/>
      <c r="M53" s="31"/>
      <c r="N53" s="31"/>
      <c r="O53" s="31"/>
      <c r="Q53" s="31"/>
      <c r="R53" s="31"/>
    </row>
    <row r="54" spans="1:18" x14ac:dyDescent="0.25">
      <c r="B54" s="1"/>
      <c r="C54" s="31"/>
      <c r="D54" s="31"/>
      <c r="E54" s="31"/>
      <c r="F54" s="31"/>
      <c r="G54" s="31"/>
      <c r="H54" s="31"/>
      <c r="I54" s="31"/>
      <c r="J54" s="31"/>
      <c r="K54" s="31"/>
      <c r="L54" s="4"/>
      <c r="M54" s="31"/>
      <c r="N54" s="31"/>
      <c r="O54" s="31"/>
      <c r="Q54" s="31"/>
      <c r="R54" s="31"/>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Normal="100"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8" x14ac:dyDescent="0.25">
      <c r="B1" s="31"/>
      <c r="C1" s="255"/>
      <c r="D1" s="31"/>
      <c r="E1" s="31"/>
      <c r="F1" s="31"/>
      <c r="G1" s="31"/>
      <c r="H1" s="31"/>
      <c r="I1" s="31"/>
      <c r="J1" s="31"/>
      <c r="K1" s="31"/>
      <c r="L1" s="31"/>
      <c r="M1" s="31"/>
      <c r="N1" s="31"/>
      <c r="O1" s="31"/>
      <c r="Q1" s="31"/>
      <c r="R1" s="31"/>
    </row>
    <row r="2" spans="1:18" x14ac:dyDescent="0.25">
      <c r="B2" s="1294" t="s">
        <v>0</v>
      </c>
      <c r="C2" s="1294"/>
      <c r="D2" s="1294"/>
      <c r="E2" s="1294"/>
      <c r="F2" s="1294"/>
      <c r="G2" s="1294"/>
      <c r="H2" s="1294"/>
      <c r="I2" s="1294"/>
      <c r="J2" s="1294"/>
      <c r="K2" s="1294"/>
      <c r="L2" s="1294"/>
      <c r="M2" s="1294"/>
      <c r="N2" s="1294"/>
      <c r="O2" s="1294"/>
      <c r="Q2" s="31"/>
      <c r="R2" s="31"/>
    </row>
    <row r="3" spans="1:18" x14ac:dyDescent="0.25">
      <c r="B3" s="1294" t="s">
        <v>1431</v>
      </c>
      <c r="C3" s="1294"/>
      <c r="D3" s="1294"/>
      <c r="E3" s="1294"/>
      <c r="F3" s="1294"/>
      <c r="G3" s="1294"/>
      <c r="H3" s="1294"/>
      <c r="I3" s="1294"/>
      <c r="J3" s="1294"/>
      <c r="K3" s="1294"/>
      <c r="L3" s="1294"/>
      <c r="M3" s="1294"/>
      <c r="N3" s="1294"/>
      <c r="O3" s="1294"/>
      <c r="Q3" s="31"/>
      <c r="R3" s="31"/>
    </row>
    <row r="4" spans="1:18" x14ac:dyDescent="0.25">
      <c r="B4" s="1300" t="str">
        <f>'Summary of HV-LV Splits'!B4</f>
        <v>24-Month Forecast Period (January 1, 2024 - December 31, 2025)</v>
      </c>
      <c r="C4" s="1300"/>
      <c r="D4" s="1300"/>
      <c r="E4" s="1300"/>
      <c r="F4" s="1300"/>
      <c r="G4" s="1300"/>
      <c r="H4" s="1300"/>
      <c r="I4" s="1300"/>
      <c r="J4" s="1300"/>
      <c r="K4" s="1300"/>
      <c r="L4" s="1300"/>
      <c r="M4" s="1300"/>
      <c r="N4" s="1300"/>
      <c r="O4" s="1300"/>
      <c r="Q4" s="31"/>
      <c r="R4" s="31"/>
    </row>
    <row r="5" spans="1:18" x14ac:dyDescent="0.25">
      <c r="B5" s="1294" t="s">
        <v>1455</v>
      </c>
      <c r="C5" s="1294"/>
      <c r="D5" s="1294"/>
      <c r="E5" s="1294"/>
      <c r="F5" s="1294"/>
      <c r="G5" s="1294"/>
      <c r="H5" s="1294"/>
      <c r="I5" s="1294"/>
      <c r="J5" s="1294"/>
      <c r="K5" s="1294"/>
      <c r="L5" s="1294"/>
      <c r="M5" s="1294"/>
      <c r="N5" s="1294"/>
      <c r="O5" s="1294"/>
      <c r="Q5" s="31"/>
      <c r="R5" s="31"/>
    </row>
    <row r="6" spans="1:18" x14ac:dyDescent="0.25">
      <c r="B6" s="1325">
        <v>-1000</v>
      </c>
      <c r="C6" s="1325"/>
      <c r="D6" s="1325"/>
      <c r="E6" s="1325"/>
      <c r="F6" s="1325"/>
      <c r="G6" s="1325"/>
      <c r="H6" s="1325"/>
      <c r="I6" s="1325"/>
      <c r="J6" s="1325"/>
      <c r="K6" s="1325"/>
      <c r="L6" s="1325"/>
      <c r="M6" s="1325"/>
      <c r="N6" s="1325"/>
      <c r="O6" s="1325"/>
      <c r="Q6" s="31"/>
      <c r="R6" s="31"/>
    </row>
    <row r="7" spans="1:18" ht="16.5" thickBot="1" x14ac:dyDescent="0.3">
      <c r="B7" s="31"/>
      <c r="C7" s="31"/>
      <c r="D7" s="31"/>
      <c r="E7" s="31"/>
      <c r="F7" s="31"/>
      <c r="G7" s="31"/>
      <c r="H7" s="31"/>
      <c r="I7" s="31"/>
      <c r="J7" s="31"/>
      <c r="K7" s="31"/>
      <c r="L7" s="31"/>
      <c r="M7" s="31"/>
      <c r="N7" s="31"/>
      <c r="O7" s="31"/>
      <c r="Q7" s="31"/>
      <c r="R7" s="31"/>
    </row>
    <row r="8" spans="1:18" x14ac:dyDescent="0.25">
      <c r="A8" s="4" t="s">
        <v>5</v>
      </c>
      <c r="B8" s="231"/>
      <c r="C8" s="229" t="s">
        <v>1456</v>
      </c>
      <c r="D8" s="227"/>
      <c r="E8" s="230"/>
      <c r="F8" s="226" t="s">
        <v>1434</v>
      </c>
      <c r="G8" s="227"/>
      <c r="H8" s="228"/>
      <c r="I8" s="229" t="s">
        <v>1435</v>
      </c>
      <c r="J8" s="227"/>
      <c r="K8" s="230"/>
      <c r="L8" s="231" t="s">
        <v>1436</v>
      </c>
      <c r="M8" s="229" t="s">
        <v>1437</v>
      </c>
      <c r="N8" s="227"/>
      <c r="O8" s="228"/>
      <c r="P8" s="4" t="s">
        <v>5</v>
      </c>
      <c r="Q8" s="1"/>
      <c r="R8" s="1"/>
    </row>
    <row r="9" spans="1:18" ht="16.5" thickBot="1" x14ac:dyDescent="0.3">
      <c r="A9" s="4" t="s">
        <v>6</v>
      </c>
      <c r="B9" s="530" t="s">
        <v>1438</v>
      </c>
      <c r="C9" s="535" t="s">
        <v>1406</v>
      </c>
      <c r="D9" s="532" t="s">
        <v>1407</v>
      </c>
      <c r="E9" s="533" t="s">
        <v>177</v>
      </c>
      <c r="F9" s="531" t="s">
        <v>1406</v>
      </c>
      <c r="G9" s="532" t="s">
        <v>1407</v>
      </c>
      <c r="H9" s="534" t="s">
        <v>177</v>
      </c>
      <c r="I9" s="535" t="s">
        <v>1406</v>
      </c>
      <c r="J9" s="532" t="s">
        <v>1407</v>
      </c>
      <c r="K9" s="533" t="s">
        <v>177</v>
      </c>
      <c r="L9" s="530" t="s">
        <v>1439</v>
      </c>
      <c r="M9" s="535" t="s">
        <v>1406</v>
      </c>
      <c r="N9" s="532" t="s">
        <v>1407</v>
      </c>
      <c r="O9" s="534" t="s">
        <v>177</v>
      </c>
      <c r="P9" s="4" t="s">
        <v>6</v>
      </c>
      <c r="Q9" s="1"/>
      <c r="R9" s="1"/>
    </row>
    <row r="10" spans="1:18" x14ac:dyDescent="0.25">
      <c r="A10" s="218"/>
      <c r="B10" s="231"/>
      <c r="C10" s="218"/>
      <c r="D10" s="458"/>
      <c r="E10" s="218"/>
      <c r="F10" s="508"/>
      <c r="G10" s="459"/>
      <c r="H10" s="539"/>
      <c r="I10" s="218"/>
      <c r="J10" s="458"/>
      <c r="K10" s="218"/>
      <c r="L10" s="536"/>
      <c r="M10" s="218"/>
      <c r="N10" s="458"/>
      <c r="O10" s="539"/>
      <c r="P10" s="218"/>
      <c r="Q10" s="1"/>
      <c r="R10" s="1"/>
    </row>
    <row r="11" spans="1:18" x14ac:dyDescent="0.25">
      <c r="A11" s="4">
        <v>1</v>
      </c>
      <c r="B11" s="540">
        <f>'ET Forecast Capital Additions'!B11</f>
        <v>45313</v>
      </c>
      <c r="C11" s="219">
        <v>0</v>
      </c>
      <c r="D11" s="674">
        <v>0</v>
      </c>
      <c r="E11" s="120">
        <f t="shared" ref="E11:E34" si="0">C11+D11</f>
        <v>0</v>
      </c>
      <c r="F11" s="176">
        <f>C11*$H$41</f>
        <v>0</v>
      </c>
      <c r="G11" s="593">
        <f t="shared" ref="G11:G34" si="1">D11*$H$41</f>
        <v>0</v>
      </c>
      <c r="H11" s="220">
        <f t="shared" ref="H11:H34" si="2">F11+G11</f>
        <v>0</v>
      </c>
      <c r="I11" s="58">
        <f>C11-F11</f>
        <v>0</v>
      </c>
      <c r="J11" s="232">
        <f>D11-G11</f>
        <v>0</v>
      </c>
      <c r="K11" s="120">
        <f t="shared" ref="K11:K34" si="3">I11+J11</f>
        <v>0</v>
      </c>
      <c r="L11" s="242">
        <f>'ET Forecast Capital Additions'!$L11</f>
        <v>1</v>
      </c>
      <c r="M11" s="58">
        <f>I11*L11</f>
        <v>0</v>
      </c>
      <c r="N11" s="232">
        <f t="shared" ref="N11:N34" si="4">J11*L11</f>
        <v>0</v>
      </c>
      <c r="O11" s="593">
        <f t="shared" ref="O11:O34" si="5">M11+N11</f>
        <v>0</v>
      </c>
      <c r="P11" s="4">
        <f>A11</f>
        <v>1</v>
      </c>
      <c r="Q11" s="31"/>
      <c r="R11" s="31"/>
    </row>
    <row r="12" spans="1:18" x14ac:dyDescent="0.25">
      <c r="A12" s="4">
        <f t="shared" ref="A12:A49" si="6">A11+1</f>
        <v>2</v>
      </c>
      <c r="B12" s="540">
        <f>'ET Forecast Capital Additions'!B12</f>
        <v>45344</v>
      </c>
      <c r="C12" s="221">
        <v>0</v>
      </c>
      <c r="D12" s="675">
        <v>0</v>
      </c>
      <c r="E12" s="125">
        <f t="shared" si="0"/>
        <v>0</v>
      </c>
      <c r="F12" s="178">
        <f t="shared" ref="F12:F34" si="7">C12*$H$41</f>
        <v>0</v>
      </c>
      <c r="G12" s="574">
        <f t="shared" si="1"/>
        <v>0</v>
      </c>
      <c r="H12" s="128">
        <f t="shared" si="2"/>
        <v>0</v>
      </c>
      <c r="I12" s="52">
        <f t="shared" ref="I12:J34" si="8">C12-F12</f>
        <v>0</v>
      </c>
      <c r="J12" s="233">
        <f t="shared" si="8"/>
        <v>0</v>
      </c>
      <c r="K12" s="125">
        <f t="shared" si="3"/>
        <v>0</v>
      </c>
      <c r="L12" s="242">
        <f>'ET Forecast Capital Additions'!$L12</f>
        <v>1</v>
      </c>
      <c r="M12" s="52">
        <f t="shared" ref="M12:M34" si="9">I12*L12</f>
        <v>0</v>
      </c>
      <c r="N12" s="233">
        <f t="shared" si="4"/>
        <v>0</v>
      </c>
      <c r="O12" s="574">
        <f t="shared" si="5"/>
        <v>0</v>
      </c>
      <c r="P12" s="4">
        <f t="shared" ref="P12:P49" si="10">P11+1</f>
        <v>2</v>
      </c>
      <c r="Q12" s="31"/>
      <c r="R12" s="31"/>
    </row>
    <row r="13" spans="1:18" x14ac:dyDescent="0.25">
      <c r="A13" s="4">
        <f t="shared" si="6"/>
        <v>3</v>
      </c>
      <c r="B13" s="540">
        <f>'ET Forecast Capital Additions'!B13</f>
        <v>45373</v>
      </c>
      <c r="C13" s="221">
        <v>0</v>
      </c>
      <c r="D13" s="675">
        <v>0</v>
      </c>
      <c r="E13" s="125">
        <f t="shared" si="0"/>
        <v>0</v>
      </c>
      <c r="F13" s="178">
        <f t="shared" si="7"/>
        <v>0</v>
      </c>
      <c r="G13" s="574">
        <f t="shared" si="1"/>
        <v>0</v>
      </c>
      <c r="H13" s="128">
        <f t="shared" si="2"/>
        <v>0</v>
      </c>
      <c r="I13" s="52">
        <f t="shared" si="8"/>
        <v>0</v>
      </c>
      <c r="J13" s="233">
        <f t="shared" si="8"/>
        <v>0</v>
      </c>
      <c r="K13" s="125">
        <f t="shared" si="3"/>
        <v>0</v>
      </c>
      <c r="L13" s="242">
        <f>'ET Forecast Capital Additions'!$L13</f>
        <v>1</v>
      </c>
      <c r="M13" s="52">
        <f t="shared" si="9"/>
        <v>0</v>
      </c>
      <c r="N13" s="233">
        <f t="shared" si="4"/>
        <v>0</v>
      </c>
      <c r="O13" s="574">
        <f t="shared" si="5"/>
        <v>0</v>
      </c>
      <c r="P13" s="4">
        <f t="shared" si="10"/>
        <v>3</v>
      </c>
      <c r="Q13" s="31"/>
      <c r="R13" s="31"/>
    </row>
    <row r="14" spans="1:18" ht="16.5" thickBot="1" x14ac:dyDescent="0.3">
      <c r="A14" s="4">
        <f t="shared" si="6"/>
        <v>4</v>
      </c>
      <c r="B14" s="541">
        <f>'ET Forecast Capital Additions'!B14</f>
        <v>45404</v>
      </c>
      <c r="C14" s="222">
        <v>0</v>
      </c>
      <c r="D14" s="208">
        <v>0</v>
      </c>
      <c r="E14" s="180">
        <f t="shared" si="0"/>
        <v>0</v>
      </c>
      <c r="F14" s="181">
        <f t="shared" si="7"/>
        <v>0</v>
      </c>
      <c r="G14" s="183">
        <f t="shared" si="1"/>
        <v>0</v>
      </c>
      <c r="H14" s="213">
        <f t="shared" si="2"/>
        <v>0</v>
      </c>
      <c r="I14" s="184">
        <f t="shared" si="8"/>
        <v>0</v>
      </c>
      <c r="J14" s="182">
        <f t="shared" si="8"/>
        <v>0</v>
      </c>
      <c r="K14" s="180">
        <f t="shared" si="3"/>
        <v>0</v>
      </c>
      <c r="L14" s="243">
        <f>'ET Forecast Capital Additions'!$L14</f>
        <v>1</v>
      </c>
      <c r="M14" s="184">
        <f t="shared" si="9"/>
        <v>0</v>
      </c>
      <c r="N14" s="182">
        <f t="shared" si="4"/>
        <v>0</v>
      </c>
      <c r="O14" s="183">
        <f t="shared" si="5"/>
        <v>0</v>
      </c>
      <c r="P14" s="4">
        <f t="shared" si="10"/>
        <v>4</v>
      </c>
      <c r="Q14" s="31"/>
      <c r="R14" s="31"/>
    </row>
    <row r="15" spans="1:18" x14ac:dyDescent="0.25">
      <c r="A15" s="4">
        <f t="shared" si="6"/>
        <v>5</v>
      </c>
      <c r="B15" s="540">
        <f>'ET Forecast Capital Additions'!B15</f>
        <v>45434</v>
      </c>
      <c r="C15" s="223">
        <v>0</v>
      </c>
      <c r="D15" s="185">
        <v>0</v>
      </c>
      <c r="E15" s="123">
        <f t="shared" si="0"/>
        <v>0</v>
      </c>
      <c r="F15" s="186">
        <f t="shared" si="7"/>
        <v>0</v>
      </c>
      <c r="G15" s="124">
        <f t="shared" si="1"/>
        <v>0</v>
      </c>
      <c r="H15" s="224">
        <f t="shared" si="2"/>
        <v>0</v>
      </c>
      <c r="I15" s="52">
        <f t="shared" si="8"/>
        <v>0</v>
      </c>
      <c r="J15" s="233">
        <f t="shared" si="8"/>
        <v>0</v>
      </c>
      <c r="K15" s="123">
        <f t="shared" si="3"/>
        <v>0</v>
      </c>
      <c r="L15" s="244">
        <f>'ET Forecast Capital Additions'!$L15</f>
        <v>1</v>
      </c>
      <c r="M15" s="52">
        <f t="shared" si="9"/>
        <v>0</v>
      </c>
      <c r="N15" s="233">
        <f t="shared" si="4"/>
        <v>0</v>
      </c>
      <c r="O15" s="124">
        <f t="shared" si="5"/>
        <v>0</v>
      </c>
      <c r="P15" s="4">
        <f t="shared" si="10"/>
        <v>5</v>
      </c>
      <c r="Q15" s="31"/>
      <c r="R15" s="31"/>
    </row>
    <row r="16" spans="1:18" x14ac:dyDescent="0.25">
      <c r="A16" s="4">
        <f t="shared" si="6"/>
        <v>6</v>
      </c>
      <c r="B16" s="540">
        <f>'ET Forecast Capital Additions'!B16</f>
        <v>45465</v>
      </c>
      <c r="C16" s="221">
        <v>0</v>
      </c>
      <c r="D16" s="675">
        <v>0</v>
      </c>
      <c r="E16" s="125">
        <f t="shared" si="0"/>
        <v>0</v>
      </c>
      <c r="F16" s="178">
        <f t="shared" si="7"/>
        <v>0</v>
      </c>
      <c r="G16" s="574">
        <f t="shared" si="1"/>
        <v>0</v>
      </c>
      <c r="H16" s="128">
        <f t="shared" si="2"/>
        <v>0</v>
      </c>
      <c r="I16" s="52">
        <f t="shared" si="8"/>
        <v>0</v>
      </c>
      <c r="J16" s="233">
        <f t="shared" si="8"/>
        <v>0</v>
      </c>
      <c r="K16" s="125">
        <f t="shared" si="3"/>
        <v>0</v>
      </c>
      <c r="L16" s="242">
        <f>'ET Forecast Capital Additions'!$L16</f>
        <v>1</v>
      </c>
      <c r="M16" s="52">
        <f t="shared" si="9"/>
        <v>0</v>
      </c>
      <c r="N16" s="233">
        <f t="shared" si="4"/>
        <v>0</v>
      </c>
      <c r="O16" s="574">
        <f t="shared" si="5"/>
        <v>0</v>
      </c>
      <c r="P16" s="4">
        <f t="shared" si="10"/>
        <v>6</v>
      </c>
      <c r="Q16" s="31"/>
      <c r="R16" s="31"/>
    </row>
    <row r="17" spans="1:18" x14ac:dyDescent="0.25">
      <c r="A17" s="4">
        <f t="shared" si="6"/>
        <v>7</v>
      </c>
      <c r="B17" s="540">
        <f>'ET Forecast Capital Additions'!B17</f>
        <v>45495</v>
      </c>
      <c r="C17" s="221">
        <v>0</v>
      </c>
      <c r="D17" s="675">
        <v>0</v>
      </c>
      <c r="E17" s="125">
        <f t="shared" si="0"/>
        <v>0</v>
      </c>
      <c r="F17" s="178">
        <f t="shared" si="7"/>
        <v>0</v>
      </c>
      <c r="G17" s="574">
        <f t="shared" si="1"/>
        <v>0</v>
      </c>
      <c r="H17" s="128">
        <f t="shared" si="2"/>
        <v>0</v>
      </c>
      <c r="I17" s="52">
        <f t="shared" si="8"/>
        <v>0</v>
      </c>
      <c r="J17" s="233">
        <f t="shared" si="8"/>
        <v>0</v>
      </c>
      <c r="K17" s="125">
        <f t="shared" si="3"/>
        <v>0</v>
      </c>
      <c r="L17" s="242">
        <f>'ET Forecast Capital Additions'!$L17</f>
        <v>1</v>
      </c>
      <c r="M17" s="52">
        <f t="shared" si="9"/>
        <v>0</v>
      </c>
      <c r="N17" s="233">
        <f t="shared" si="4"/>
        <v>0</v>
      </c>
      <c r="O17" s="574">
        <f t="shared" si="5"/>
        <v>0</v>
      </c>
      <c r="P17" s="4">
        <f t="shared" si="10"/>
        <v>7</v>
      </c>
      <c r="Q17" s="31"/>
      <c r="R17" s="31"/>
    </row>
    <row r="18" spans="1:18" ht="16.5" thickBot="1" x14ac:dyDescent="0.3">
      <c r="A18" s="4">
        <f t="shared" si="6"/>
        <v>8</v>
      </c>
      <c r="B18" s="541">
        <f>'ET Forecast Capital Additions'!B18</f>
        <v>45526</v>
      </c>
      <c r="C18" s="222">
        <v>0</v>
      </c>
      <c r="D18" s="208">
        <v>0</v>
      </c>
      <c r="E18" s="180">
        <f t="shared" si="0"/>
        <v>0</v>
      </c>
      <c r="F18" s="181">
        <f t="shared" si="7"/>
        <v>0</v>
      </c>
      <c r="G18" s="183">
        <f t="shared" si="1"/>
        <v>0</v>
      </c>
      <c r="H18" s="213">
        <f t="shared" si="2"/>
        <v>0</v>
      </c>
      <c r="I18" s="184">
        <f t="shared" si="8"/>
        <v>0</v>
      </c>
      <c r="J18" s="182">
        <f t="shared" si="8"/>
        <v>0</v>
      </c>
      <c r="K18" s="180">
        <f t="shared" si="3"/>
        <v>0</v>
      </c>
      <c r="L18" s="243">
        <f>'ET Forecast Capital Additions'!$L18</f>
        <v>1</v>
      </c>
      <c r="M18" s="184">
        <f t="shared" si="9"/>
        <v>0</v>
      </c>
      <c r="N18" s="182">
        <f t="shared" si="4"/>
        <v>0</v>
      </c>
      <c r="O18" s="183">
        <f t="shared" si="5"/>
        <v>0</v>
      </c>
      <c r="P18" s="4">
        <f t="shared" si="10"/>
        <v>8</v>
      </c>
      <c r="Q18" s="31"/>
      <c r="R18" s="31"/>
    </row>
    <row r="19" spans="1:18" x14ac:dyDescent="0.25">
      <c r="A19" s="4">
        <f t="shared" si="6"/>
        <v>9</v>
      </c>
      <c r="B19" s="540">
        <f>'ET Forecast Capital Additions'!B19</f>
        <v>45557</v>
      </c>
      <c r="C19" s="223">
        <v>0</v>
      </c>
      <c r="D19" s="185">
        <v>0</v>
      </c>
      <c r="E19" s="123">
        <f t="shared" si="0"/>
        <v>0</v>
      </c>
      <c r="F19" s="186">
        <f t="shared" si="7"/>
        <v>0</v>
      </c>
      <c r="G19" s="124">
        <f t="shared" si="1"/>
        <v>0</v>
      </c>
      <c r="H19" s="224">
        <f t="shared" si="2"/>
        <v>0</v>
      </c>
      <c r="I19" s="52">
        <f t="shared" si="8"/>
        <v>0</v>
      </c>
      <c r="J19" s="233">
        <f t="shared" si="8"/>
        <v>0</v>
      </c>
      <c r="K19" s="123">
        <f t="shared" si="3"/>
        <v>0</v>
      </c>
      <c r="L19" s="244">
        <f>'ET Forecast Capital Additions'!$L19</f>
        <v>1</v>
      </c>
      <c r="M19" s="52">
        <f t="shared" si="9"/>
        <v>0</v>
      </c>
      <c r="N19" s="233">
        <f t="shared" si="4"/>
        <v>0</v>
      </c>
      <c r="O19" s="124">
        <f t="shared" si="5"/>
        <v>0</v>
      </c>
      <c r="P19" s="4">
        <f t="shared" si="10"/>
        <v>9</v>
      </c>
      <c r="Q19" s="31"/>
      <c r="R19" s="31"/>
    </row>
    <row r="20" spans="1:18" x14ac:dyDescent="0.25">
      <c r="A20" s="4">
        <f t="shared" si="6"/>
        <v>10</v>
      </c>
      <c r="B20" s="540">
        <f>'ET Forecast Capital Additions'!B20</f>
        <v>45587</v>
      </c>
      <c r="C20" s="221">
        <v>0</v>
      </c>
      <c r="D20" s="675">
        <v>0</v>
      </c>
      <c r="E20" s="125">
        <f t="shared" si="0"/>
        <v>0</v>
      </c>
      <c r="F20" s="178">
        <f t="shared" si="7"/>
        <v>0</v>
      </c>
      <c r="G20" s="574">
        <f t="shared" si="1"/>
        <v>0</v>
      </c>
      <c r="H20" s="128">
        <f t="shared" si="2"/>
        <v>0</v>
      </c>
      <c r="I20" s="52">
        <f t="shared" si="8"/>
        <v>0</v>
      </c>
      <c r="J20" s="233">
        <f t="shared" si="8"/>
        <v>0</v>
      </c>
      <c r="K20" s="125">
        <f t="shared" si="3"/>
        <v>0</v>
      </c>
      <c r="L20" s="242">
        <f>'ET Forecast Capital Additions'!$L20</f>
        <v>1</v>
      </c>
      <c r="M20" s="52">
        <f t="shared" si="9"/>
        <v>0</v>
      </c>
      <c r="N20" s="233">
        <f t="shared" si="4"/>
        <v>0</v>
      </c>
      <c r="O20" s="574">
        <f t="shared" si="5"/>
        <v>0</v>
      </c>
      <c r="P20" s="4">
        <f t="shared" si="10"/>
        <v>10</v>
      </c>
      <c r="Q20" s="31"/>
      <c r="R20" s="31"/>
    </row>
    <row r="21" spans="1:18" x14ac:dyDescent="0.25">
      <c r="A21" s="4">
        <f t="shared" si="6"/>
        <v>11</v>
      </c>
      <c r="B21" s="540">
        <f>'ET Forecast Capital Additions'!B21</f>
        <v>45618</v>
      </c>
      <c r="C21" s="112">
        <v>0</v>
      </c>
      <c r="D21" s="675">
        <v>0</v>
      </c>
      <c r="E21" s="6">
        <f t="shared" si="0"/>
        <v>0</v>
      </c>
      <c r="F21" s="178">
        <f t="shared" si="7"/>
        <v>0</v>
      </c>
      <c r="G21" s="574">
        <f t="shared" si="1"/>
        <v>0</v>
      </c>
      <c r="H21" s="128">
        <f t="shared" si="2"/>
        <v>0</v>
      </c>
      <c r="I21" s="52">
        <f t="shared" si="8"/>
        <v>0</v>
      </c>
      <c r="J21" s="233">
        <f t="shared" si="8"/>
        <v>0</v>
      </c>
      <c r="K21" s="6">
        <f t="shared" si="3"/>
        <v>0</v>
      </c>
      <c r="L21" s="242">
        <f>'ET Forecast Capital Additions'!$L21</f>
        <v>1</v>
      </c>
      <c r="M21" s="52">
        <f t="shared" si="9"/>
        <v>0</v>
      </c>
      <c r="N21" s="233">
        <f t="shared" si="4"/>
        <v>0</v>
      </c>
      <c r="O21" s="128">
        <f t="shared" si="5"/>
        <v>0</v>
      </c>
      <c r="P21" s="4">
        <f t="shared" si="10"/>
        <v>11</v>
      </c>
      <c r="Q21" s="31"/>
      <c r="R21" s="31"/>
    </row>
    <row r="22" spans="1:18" ht="16.5" thickBot="1" x14ac:dyDescent="0.3">
      <c r="A22" s="4">
        <f t="shared" si="6"/>
        <v>12</v>
      </c>
      <c r="B22" s="541">
        <f>'ET Forecast Capital Additions'!B22</f>
        <v>45648</v>
      </c>
      <c r="C22" s="222">
        <v>0</v>
      </c>
      <c r="D22" s="208">
        <v>0</v>
      </c>
      <c r="E22" s="180">
        <f t="shared" si="0"/>
        <v>0</v>
      </c>
      <c r="F22" s="181">
        <f t="shared" si="7"/>
        <v>0</v>
      </c>
      <c r="G22" s="183">
        <f t="shared" si="1"/>
        <v>0</v>
      </c>
      <c r="H22" s="213">
        <f t="shared" si="2"/>
        <v>0</v>
      </c>
      <c r="I22" s="184">
        <f t="shared" si="8"/>
        <v>0</v>
      </c>
      <c r="J22" s="182">
        <f t="shared" si="8"/>
        <v>0</v>
      </c>
      <c r="K22" s="180">
        <f t="shared" si="3"/>
        <v>0</v>
      </c>
      <c r="L22" s="243">
        <f>'ET Forecast Capital Additions'!$L22</f>
        <v>1</v>
      </c>
      <c r="M22" s="184">
        <f t="shared" si="9"/>
        <v>0</v>
      </c>
      <c r="N22" s="182">
        <f t="shared" si="4"/>
        <v>0</v>
      </c>
      <c r="O22" s="183">
        <f t="shared" si="5"/>
        <v>0</v>
      </c>
      <c r="P22" s="4">
        <f t="shared" si="10"/>
        <v>12</v>
      </c>
      <c r="Q22" s="31"/>
      <c r="R22" s="31"/>
    </row>
    <row r="23" spans="1:18" x14ac:dyDescent="0.25">
      <c r="A23" s="4">
        <f t="shared" si="6"/>
        <v>13</v>
      </c>
      <c r="B23" s="540">
        <f>'ET Forecast Capital Additions'!B23</f>
        <v>45679</v>
      </c>
      <c r="C23" s="223">
        <v>0</v>
      </c>
      <c r="D23" s="185">
        <v>0</v>
      </c>
      <c r="E23" s="123">
        <f t="shared" si="0"/>
        <v>0</v>
      </c>
      <c r="F23" s="186">
        <f t="shared" si="7"/>
        <v>0</v>
      </c>
      <c r="G23" s="124">
        <f t="shared" si="1"/>
        <v>0</v>
      </c>
      <c r="H23" s="224">
        <f t="shared" si="2"/>
        <v>0</v>
      </c>
      <c r="I23" s="52">
        <f t="shared" si="8"/>
        <v>0</v>
      </c>
      <c r="J23" s="233">
        <f t="shared" si="8"/>
        <v>0</v>
      </c>
      <c r="K23" s="123">
        <f t="shared" si="3"/>
        <v>0</v>
      </c>
      <c r="L23" s="244">
        <f>'ET Forecast Capital Additions'!$L23</f>
        <v>1</v>
      </c>
      <c r="M23" s="52">
        <f t="shared" si="9"/>
        <v>0</v>
      </c>
      <c r="N23" s="233">
        <f t="shared" si="4"/>
        <v>0</v>
      </c>
      <c r="O23" s="124">
        <f t="shared" si="5"/>
        <v>0</v>
      </c>
      <c r="P23" s="4">
        <f t="shared" si="10"/>
        <v>13</v>
      </c>
      <c r="Q23" s="31"/>
      <c r="R23" s="31"/>
    </row>
    <row r="24" spans="1:18" x14ac:dyDescent="0.25">
      <c r="A24" s="4">
        <f t="shared" si="6"/>
        <v>14</v>
      </c>
      <c r="B24" s="540">
        <f>'ET Forecast Capital Additions'!B24</f>
        <v>45710</v>
      </c>
      <c r="C24" s="221">
        <v>0</v>
      </c>
      <c r="D24" s="675">
        <v>0</v>
      </c>
      <c r="E24" s="125">
        <f t="shared" si="0"/>
        <v>0</v>
      </c>
      <c r="F24" s="178">
        <f t="shared" si="7"/>
        <v>0</v>
      </c>
      <c r="G24" s="574">
        <f t="shared" si="1"/>
        <v>0</v>
      </c>
      <c r="H24" s="128">
        <f t="shared" si="2"/>
        <v>0</v>
      </c>
      <c r="I24" s="52">
        <f t="shared" si="8"/>
        <v>0</v>
      </c>
      <c r="J24" s="233">
        <f t="shared" si="8"/>
        <v>0</v>
      </c>
      <c r="K24" s="125">
        <f t="shared" si="3"/>
        <v>0</v>
      </c>
      <c r="L24" s="242">
        <f>'ET Forecast Capital Additions'!$L24</f>
        <v>0.91666666666666663</v>
      </c>
      <c r="M24" s="52">
        <f t="shared" si="9"/>
        <v>0</v>
      </c>
      <c r="N24" s="233">
        <f t="shared" si="4"/>
        <v>0</v>
      </c>
      <c r="O24" s="574">
        <f t="shared" si="5"/>
        <v>0</v>
      </c>
      <c r="P24" s="4">
        <f t="shared" si="10"/>
        <v>14</v>
      </c>
      <c r="Q24" s="31"/>
      <c r="R24" s="31"/>
    </row>
    <row r="25" spans="1:18" x14ac:dyDescent="0.25">
      <c r="A25" s="4">
        <f t="shared" si="6"/>
        <v>15</v>
      </c>
      <c r="B25" s="540">
        <f>'ET Forecast Capital Additions'!B25</f>
        <v>45738</v>
      </c>
      <c r="C25" s="221">
        <v>0</v>
      </c>
      <c r="D25" s="675">
        <v>0</v>
      </c>
      <c r="E25" s="125">
        <f t="shared" si="0"/>
        <v>0</v>
      </c>
      <c r="F25" s="178">
        <f t="shared" si="7"/>
        <v>0</v>
      </c>
      <c r="G25" s="574">
        <f t="shared" si="1"/>
        <v>0</v>
      </c>
      <c r="H25" s="128">
        <f t="shared" si="2"/>
        <v>0</v>
      </c>
      <c r="I25" s="52">
        <f t="shared" si="8"/>
        <v>0</v>
      </c>
      <c r="J25" s="233">
        <f t="shared" si="8"/>
        <v>0</v>
      </c>
      <c r="K25" s="125">
        <f t="shared" si="3"/>
        <v>0</v>
      </c>
      <c r="L25" s="242">
        <f>'ET Forecast Capital Additions'!$L25</f>
        <v>0.83333333333333337</v>
      </c>
      <c r="M25" s="52">
        <f t="shared" si="9"/>
        <v>0</v>
      </c>
      <c r="N25" s="233">
        <f t="shared" si="4"/>
        <v>0</v>
      </c>
      <c r="O25" s="574">
        <f t="shared" si="5"/>
        <v>0</v>
      </c>
      <c r="P25" s="4">
        <f t="shared" si="10"/>
        <v>15</v>
      </c>
      <c r="Q25" s="31"/>
      <c r="R25" s="31"/>
    </row>
    <row r="26" spans="1:18" ht="16.5" thickBot="1" x14ac:dyDescent="0.3">
      <c r="A26" s="4">
        <f t="shared" si="6"/>
        <v>16</v>
      </c>
      <c r="B26" s="541">
        <f>'ET Forecast Capital Additions'!B26</f>
        <v>45769</v>
      </c>
      <c r="C26" s="222">
        <v>0</v>
      </c>
      <c r="D26" s="208">
        <v>0</v>
      </c>
      <c r="E26" s="180">
        <f t="shared" si="0"/>
        <v>0</v>
      </c>
      <c r="F26" s="181">
        <f t="shared" si="7"/>
        <v>0</v>
      </c>
      <c r="G26" s="183">
        <f t="shared" si="1"/>
        <v>0</v>
      </c>
      <c r="H26" s="213">
        <f t="shared" si="2"/>
        <v>0</v>
      </c>
      <c r="I26" s="184">
        <f t="shared" si="8"/>
        <v>0</v>
      </c>
      <c r="J26" s="182">
        <f t="shared" si="8"/>
        <v>0</v>
      </c>
      <c r="K26" s="180">
        <f t="shared" si="3"/>
        <v>0</v>
      </c>
      <c r="L26" s="243">
        <f>'ET Forecast Capital Additions'!$L26</f>
        <v>0.75</v>
      </c>
      <c r="M26" s="184">
        <f t="shared" si="9"/>
        <v>0</v>
      </c>
      <c r="N26" s="182">
        <f t="shared" si="4"/>
        <v>0</v>
      </c>
      <c r="O26" s="183">
        <f t="shared" si="5"/>
        <v>0</v>
      </c>
      <c r="P26" s="4">
        <f t="shared" si="10"/>
        <v>16</v>
      </c>
      <c r="Q26" s="31"/>
      <c r="R26" s="31"/>
    </row>
    <row r="27" spans="1:18" x14ac:dyDescent="0.25">
      <c r="A27" s="4">
        <f t="shared" si="6"/>
        <v>17</v>
      </c>
      <c r="B27" s="540">
        <f>'ET Forecast Capital Additions'!B27</f>
        <v>45799</v>
      </c>
      <c r="C27" s="112">
        <v>0</v>
      </c>
      <c r="D27" s="675">
        <v>0</v>
      </c>
      <c r="E27" s="6">
        <f t="shared" si="0"/>
        <v>0</v>
      </c>
      <c r="F27" s="186">
        <f t="shared" si="7"/>
        <v>0</v>
      </c>
      <c r="G27" s="124">
        <f t="shared" si="1"/>
        <v>0</v>
      </c>
      <c r="H27" s="128">
        <f t="shared" si="2"/>
        <v>0</v>
      </c>
      <c r="I27" s="52">
        <f t="shared" si="8"/>
        <v>0</v>
      </c>
      <c r="J27" s="233">
        <f t="shared" si="8"/>
        <v>0</v>
      </c>
      <c r="K27" s="6">
        <f t="shared" si="3"/>
        <v>0</v>
      </c>
      <c r="L27" s="244">
        <f>'ET Forecast Capital Additions'!$L27</f>
        <v>0.66666666666666663</v>
      </c>
      <c r="M27" s="52">
        <f t="shared" si="9"/>
        <v>0</v>
      </c>
      <c r="N27" s="233">
        <f t="shared" si="4"/>
        <v>0</v>
      </c>
      <c r="O27" s="128">
        <f t="shared" si="5"/>
        <v>0</v>
      </c>
      <c r="P27" s="4">
        <f t="shared" si="10"/>
        <v>17</v>
      </c>
      <c r="Q27" s="31"/>
      <c r="R27" s="31"/>
    </row>
    <row r="28" spans="1:18" x14ac:dyDescent="0.25">
      <c r="A28" s="4">
        <f t="shared" si="6"/>
        <v>18</v>
      </c>
      <c r="B28" s="540">
        <f>'ET Forecast Capital Additions'!B28</f>
        <v>45830</v>
      </c>
      <c r="C28" s="221">
        <v>0</v>
      </c>
      <c r="D28" s="675">
        <v>0</v>
      </c>
      <c r="E28" s="125">
        <f t="shared" si="0"/>
        <v>0</v>
      </c>
      <c r="F28" s="178">
        <f t="shared" si="7"/>
        <v>0</v>
      </c>
      <c r="G28" s="574">
        <f t="shared" si="1"/>
        <v>0</v>
      </c>
      <c r="H28" s="128">
        <f t="shared" si="2"/>
        <v>0</v>
      </c>
      <c r="I28" s="52">
        <f t="shared" si="8"/>
        <v>0</v>
      </c>
      <c r="J28" s="233">
        <f t="shared" si="8"/>
        <v>0</v>
      </c>
      <c r="K28" s="125">
        <f t="shared" si="3"/>
        <v>0</v>
      </c>
      <c r="L28" s="242">
        <f>'ET Forecast Capital Additions'!$L28</f>
        <v>0.58333333333333337</v>
      </c>
      <c r="M28" s="52">
        <f t="shared" si="9"/>
        <v>0</v>
      </c>
      <c r="N28" s="233">
        <f t="shared" si="4"/>
        <v>0</v>
      </c>
      <c r="O28" s="574">
        <f t="shared" si="5"/>
        <v>0</v>
      </c>
      <c r="P28" s="4">
        <f t="shared" si="10"/>
        <v>18</v>
      </c>
      <c r="Q28" s="31"/>
      <c r="R28" s="31"/>
    </row>
    <row r="29" spans="1:18" x14ac:dyDescent="0.25">
      <c r="A29" s="4">
        <f t="shared" si="6"/>
        <v>19</v>
      </c>
      <c r="B29" s="540">
        <f>'ET Forecast Capital Additions'!B29</f>
        <v>45860</v>
      </c>
      <c r="C29" s="221">
        <v>0</v>
      </c>
      <c r="D29" s="675">
        <v>0</v>
      </c>
      <c r="E29" s="125">
        <f t="shared" si="0"/>
        <v>0</v>
      </c>
      <c r="F29" s="178">
        <f t="shared" si="7"/>
        <v>0</v>
      </c>
      <c r="G29" s="574">
        <f t="shared" si="1"/>
        <v>0</v>
      </c>
      <c r="H29" s="128">
        <f t="shared" si="2"/>
        <v>0</v>
      </c>
      <c r="I29" s="52">
        <f t="shared" si="8"/>
        <v>0</v>
      </c>
      <c r="J29" s="233">
        <f t="shared" si="8"/>
        <v>0</v>
      </c>
      <c r="K29" s="125">
        <f t="shared" si="3"/>
        <v>0</v>
      </c>
      <c r="L29" s="242">
        <f>'ET Forecast Capital Additions'!$L29</f>
        <v>0.5</v>
      </c>
      <c r="M29" s="52">
        <f t="shared" si="9"/>
        <v>0</v>
      </c>
      <c r="N29" s="233">
        <f t="shared" si="4"/>
        <v>0</v>
      </c>
      <c r="O29" s="574">
        <f t="shared" si="5"/>
        <v>0</v>
      </c>
      <c r="P29" s="4">
        <f t="shared" si="10"/>
        <v>19</v>
      </c>
      <c r="Q29" s="31"/>
      <c r="R29" s="31"/>
    </row>
    <row r="30" spans="1:18" ht="16.5" thickBot="1" x14ac:dyDescent="0.3">
      <c r="A30" s="4">
        <f t="shared" si="6"/>
        <v>20</v>
      </c>
      <c r="B30" s="541">
        <f>'ET Forecast Capital Additions'!B30</f>
        <v>45891</v>
      </c>
      <c r="C30" s="222">
        <v>0</v>
      </c>
      <c r="D30" s="208">
        <v>0</v>
      </c>
      <c r="E30" s="180">
        <f t="shared" si="0"/>
        <v>0</v>
      </c>
      <c r="F30" s="181">
        <f t="shared" si="7"/>
        <v>0</v>
      </c>
      <c r="G30" s="183">
        <f t="shared" si="1"/>
        <v>0</v>
      </c>
      <c r="H30" s="213">
        <f t="shared" si="2"/>
        <v>0</v>
      </c>
      <c r="I30" s="184">
        <f t="shared" si="8"/>
        <v>0</v>
      </c>
      <c r="J30" s="182">
        <f t="shared" si="8"/>
        <v>0</v>
      </c>
      <c r="K30" s="180">
        <f t="shared" si="3"/>
        <v>0</v>
      </c>
      <c r="L30" s="243">
        <f>'ET Forecast Capital Additions'!$L30</f>
        <v>0.41666666666666669</v>
      </c>
      <c r="M30" s="184">
        <f t="shared" si="9"/>
        <v>0</v>
      </c>
      <c r="N30" s="182">
        <f t="shared" si="4"/>
        <v>0</v>
      </c>
      <c r="O30" s="183">
        <f t="shared" si="5"/>
        <v>0</v>
      </c>
      <c r="P30" s="4">
        <f t="shared" si="10"/>
        <v>20</v>
      </c>
      <c r="Q30" s="31"/>
      <c r="R30" s="31"/>
    </row>
    <row r="31" spans="1:18" x14ac:dyDescent="0.25">
      <c r="A31" s="4">
        <f t="shared" si="6"/>
        <v>21</v>
      </c>
      <c r="B31" s="540">
        <f>'ET Forecast Capital Additions'!B31</f>
        <v>45922</v>
      </c>
      <c r="C31" s="221">
        <v>0</v>
      </c>
      <c r="D31" s="675">
        <v>0</v>
      </c>
      <c r="E31" s="125">
        <f t="shared" si="0"/>
        <v>0</v>
      </c>
      <c r="F31" s="186">
        <f t="shared" si="7"/>
        <v>0</v>
      </c>
      <c r="G31" s="124">
        <f t="shared" si="1"/>
        <v>0</v>
      </c>
      <c r="H31" s="128">
        <f t="shared" si="2"/>
        <v>0</v>
      </c>
      <c r="I31" s="52">
        <f t="shared" si="8"/>
        <v>0</v>
      </c>
      <c r="J31" s="233">
        <f t="shared" si="8"/>
        <v>0</v>
      </c>
      <c r="K31" s="125">
        <f t="shared" si="3"/>
        <v>0</v>
      </c>
      <c r="L31" s="244">
        <f>'ET Forecast Capital Additions'!$L31</f>
        <v>0.33333333333333331</v>
      </c>
      <c r="M31" s="52">
        <f t="shared" si="9"/>
        <v>0</v>
      </c>
      <c r="N31" s="233">
        <f t="shared" si="4"/>
        <v>0</v>
      </c>
      <c r="O31" s="574">
        <f t="shared" si="5"/>
        <v>0</v>
      </c>
      <c r="P31" s="4">
        <f t="shared" si="10"/>
        <v>21</v>
      </c>
      <c r="Q31" s="31"/>
      <c r="R31" s="31"/>
    </row>
    <row r="32" spans="1:18" x14ac:dyDescent="0.25">
      <c r="A32" s="4">
        <f t="shared" si="6"/>
        <v>22</v>
      </c>
      <c r="B32" s="540">
        <f>'ET Forecast Capital Additions'!B32</f>
        <v>45952</v>
      </c>
      <c r="C32" s="112">
        <v>0</v>
      </c>
      <c r="D32" s="675">
        <v>0</v>
      </c>
      <c r="E32" s="6">
        <f t="shared" si="0"/>
        <v>0</v>
      </c>
      <c r="F32" s="178">
        <f t="shared" si="7"/>
        <v>0</v>
      </c>
      <c r="G32" s="574">
        <f t="shared" si="1"/>
        <v>0</v>
      </c>
      <c r="H32" s="128">
        <f t="shared" si="2"/>
        <v>0</v>
      </c>
      <c r="I32" s="52">
        <f t="shared" si="8"/>
        <v>0</v>
      </c>
      <c r="J32" s="233">
        <f t="shared" si="8"/>
        <v>0</v>
      </c>
      <c r="K32" s="6">
        <f t="shared" si="3"/>
        <v>0</v>
      </c>
      <c r="L32" s="242">
        <f>'ET Forecast Capital Additions'!$L32</f>
        <v>0.25</v>
      </c>
      <c r="M32" s="52">
        <f t="shared" si="9"/>
        <v>0</v>
      </c>
      <c r="N32" s="233">
        <f t="shared" si="4"/>
        <v>0</v>
      </c>
      <c r="O32" s="128">
        <f t="shared" si="5"/>
        <v>0</v>
      </c>
      <c r="P32" s="4">
        <f t="shared" si="10"/>
        <v>22</v>
      </c>
      <c r="Q32" s="31"/>
      <c r="R32" s="31"/>
    </row>
    <row r="33" spans="1:18" x14ac:dyDescent="0.25">
      <c r="A33" s="4">
        <f t="shared" si="6"/>
        <v>23</v>
      </c>
      <c r="B33" s="540">
        <f>'ET Forecast Capital Additions'!B33</f>
        <v>45983</v>
      </c>
      <c r="C33" s="221">
        <v>0</v>
      </c>
      <c r="D33" s="675">
        <v>0</v>
      </c>
      <c r="E33" s="125">
        <f t="shared" si="0"/>
        <v>0</v>
      </c>
      <c r="F33" s="178">
        <f t="shared" si="7"/>
        <v>0</v>
      </c>
      <c r="G33" s="574">
        <f t="shared" si="1"/>
        <v>0</v>
      </c>
      <c r="H33" s="128">
        <f t="shared" si="2"/>
        <v>0</v>
      </c>
      <c r="I33" s="52">
        <f t="shared" si="8"/>
        <v>0</v>
      </c>
      <c r="J33" s="233">
        <f t="shared" si="8"/>
        <v>0</v>
      </c>
      <c r="K33" s="125">
        <f t="shared" si="3"/>
        <v>0</v>
      </c>
      <c r="L33" s="242">
        <f>'ET Forecast Capital Additions'!$L33</f>
        <v>0.16666666666666666</v>
      </c>
      <c r="M33" s="52">
        <f t="shared" si="9"/>
        <v>0</v>
      </c>
      <c r="N33" s="233">
        <f t="shared" si="4"/>
        <v>0</v>
      </c>
      <c r="O33" s="574">
        <f t="shared" si="5"/>
        <v>0</v>
      </c>
      <c r="P33" s="4">
        <f t="shared" si="10"/>
        <v>23</v>
      </c>
      <c r="Q33" s="31"/>
      <c r="R33" s="31"/>
    </row>
    <row r="34" spans="1:18" ht="16.5" thickBot="1" x14ac:dyDescent="0.3">
      <c r="A34" s="4">
        <f t="shared" si="6"/>
        <v>24</v>
      </c>
      <c r="B34" s="540">
        <f>'ET Forecast Capital Additions'!B34</f>
        <v>46013</v>
      </c>
      <c r="C34" s="221">
        <v>0</v>
      </c>
      <c r="D34" s="675">
        <v>0</v>
      </c>
      <c r="E34" s="125">
        <f t="shared" si="0"/>
        <v>0</v>
      </c>
      <c r="F34" s="181">
        <f t="shared" si="7"/>
        <v>0</v>
      </c>
      <c r="G34" s="183">
        <f t="shared" si="1"/>
        <v>0</v>
      </c>
      <c r="H34" s="128">
        <f t="shared" si="2"/>
        <v>0</v>
      </c>
      <c r="I34" s="184">
        <f t="shared" si="8"/>
        <v>0</v>
      </c>
      <c r="J34" s="182">
        <f t="shared" si="8"/>
        <v>0</v>
      </c>
      <c r="K34" s="125">
        <f t="shared" si="3"/>
        <v>0</v>
      </c>
      <c r="L34" s="242">
        <f>'ET Forecast Capital Additions'!$L34</f>
        <v>8.3333333333333329E-2</v>
      </c>
      <c r="M34" s="184">
        <f t="shared" si="9"/>
        <v>0</v>
      </c>
      <c r="N34" s="182">
        <f t="shared" si="4"/>
        <v>0</v>
      </c>
      <c r="O34" s="574">
        <f t="shared" si="5"/>
        <v>0</v>
      </c>
      <c r="P34" s="4">
        <f t="shared" si="10"/>
        <v>24</v>
      </c>
      <c r="Q34" s="31"/>
      <c r="R34" s="428"/>
    </row>
    <row r="35" spans="1:18" ht="16.5" thickBot="1" x14ac:dyDescent="0.3">
      <c r="A35" s="4">
        <f t="shared" si="6"/>
        <v>25</v>
      </c>
      <c r="B35" s="542" t="s">
        <v>177</v>
      </c>
      <c r="C35" s="192">
        <f t="shared" ref="C35:K35" si="11">SUM(C11:C34)</f>
        <v>0</v>
      </c>
      <c r="D35" s="189">
        <f t="shared" si="11"/>
        <v>0</v>
      </c>
      <c r="E35" s="190">
        <f t="shared" si="11"/>
        <v>0</v>
      </c>
      <c r="F35" s="188">
        <f t="shared" si="11"/>
        <v>0</v>
      </c>
      <c r="G35" s="189">
        <f t="shared" si="11"/>
        <v>0</v>
      </c>
      <c r="H35" s="191">
        <f t="shared" si="11"/>
        <v>0</v>
      </c>
      <c r="I35" s="192">
        <f t="shared" si="11"/>
        <v>0</v>
      </c>
      <c r="J35" s="189">
        <f t="shared" si="11"/>
        <v>0</v>
      </c>
      <c r="K35" s="190">
        <f t="shared" si="11"/>
        <v>0</v>
      </c>
      <c r="L35" s="193"/>
      <c r="M35" s="192">
        <f>SUM(M11:M34)</f>
        <v>0</v>
      </c>
      <c r="N35" s="189">
        <f>SUM(N11:N34)</f>
        <v>0</v>
      </c>
      <c r="O35" s="191">
        <f>SUM(O11:O34)</f>
        <v>0</v>
      </c>
      <c r="P35" s="4">
        <f t="shared" si="10"/>
        <v>25</v>
      </c>
      <c r="Q35" s="31"/>
      <c r="R35" s="31"/>
    </row>
    <row r="36" spans="1:18" x14ac:dyDescent="0.25">
      <c r="A36" s="4">
        <f>A35+1</f>
        <v>26</v>
      </c>
      <c r="B36" s="516"/>
      <c r="C36" s="6"/>
      <c r="D36" s="6"/>
      <c r="E36" s="543"/>
      <c r="F36" s="31"/>
      <c r="G36" s="31"/>
      <c r="H36" s="6"/>
      <c r="I36" s="31"/>
      <c r="J36" s="31"/>
      <c r="K36" s="6"/>
      <c r="L36" s="31"/>
      <c r="M36" s="31"/>
      <c r="N36" s="31"/>
      <c r="O36" s="128"/>
      <c r="P36" s="4">
        <f>P35+1</f>
        <v>26</v>
      </c>
      <c r="Q36" s="31"/>
      <c r="R36" s="31"/>
    </row>
    <row r="37" spans="1:18" s="414" customFormat="1" x14ac:dyDescent="0.25">
      <c r="A37" s="4">
        <f>A36+1</f>
        <v>27</v>
      </c>
      <c r="B37" s="544"/>
      <c r="E37" s="31" t="s">
        <v>1440</v>
      </c>
      <c r="F37" s="545"/>
      <c r="G37" s="545"/>
      <c r="H37" s="28">
        <f>'ET Forecast Capital Additions'!H37</f>
        <v>17819.405999999999</v>
      </c>
      <c r="I37" s="194"/>
      <c r="J37" s="31" t="str">
        <f>'ET Forecast Capital Additions'!J37</f>
        <v>Form 1; Page 204-207; Line 58; Col. d</v>
      </c>
      <c r="K37" s="194"/>
      <c r="O37" s="546"/>
      <c r="P37" s="4">
        <f>P36+1</f>
        <v>27</v>
      </c>
      <c r="Q37" s="31"/>
    </row>
    <row r="38" spans="1:18" s="414" customFormat="1" x14ac:dyDescent="0.25">
      <c r="A38" s="4">
        <f>A37+1</f>
        <v>28</v>
      </c>
      <c r="B38" s="544"/>
      <c r="E38" s="31"/>
      <c r="F38" s="545"/>
      <c r="G38" s="545"/>
      <c r="H38" s="6"/>
      <c r="I38" s="194"/>
      <c r="J38" s="31"/>
      <c r="K38" s="194"/>
      <c r="O38" s="546"/>
      <c r="P38" s="4">
        <f>P37+1</f>
        <v>28</v>
      </c>
    </row>
    <row r="39" spans="1:18" s="414" customFormat="1" x14ac:dyDescent="0.25">
      <c r="A39" s="4">
        <f t="shared" ref="A39:A41" si="12">A38+1</f>
        <v>29</v>
      </c>
      <c r="B39" s="544"/>
      <c r="E39" s="31" t="s">
        <v>1442</v>
      </c>
      <c r="F39" s="545"/>
      <c r="G39" s="545"/>
      <c r="H39" s="915">
        <f>'ET Forecast Capital Additions'!H39</f>
        <v>8390028.6160000004</v>
      </c>
      <c r="I39" s="194"/>
      <c r="J39" s="31" t="str">
        <f>'ET Forecast Capital Additions'!J39</f>
        <v>Form 1; Page 204-207; Line 58; Col. g</v>
      </c>
      <c r="K39" s="194"/>
      <c r="O39" s="546"/>
      <c r="P39" s="4">
        <f t="shared" ref="P39:P48" si="13">P38+1</f>
        <v>29</v>
      </c>
    </row>
    <row r="40" spans="1:18" s="414" customFormat="1" ht="16.5" thickBot="1" x14ac:dyDescent="0.3">
      <c r="A40" s="4">
        <f t="shared" si="12"/>
        <v>30</v>
      </c>
      <c r="B40" s="544"/>
      <c r="E40" s="545"/>
      <c r="F40" s="545"/>
      <c r="G40" s="545"/>
      <c r="H40" s="194"/>
      <c r="I40" s="194"/>
      <c r="J40" s="194"/>
      <c r="K40" s="194"/>
      <c r="O40" s="546"/>
      <c r="P40" s="4">
        <f t="shared" si="13"/>
        <v>30</v>
      </c>
    </row>
    <row r="41" spans="1:18" ht="16.5" thickBot="1" x14ac:dyDescent="0.3">
      <c r="A41" s="4">
        <f t="shared" si="12"/>
        <v>31</v>
      </c>
      <c r="B41" s="516"/>
      <c r="C41" s="31"/>
      <c r="D41" s="31"/>
      <c r="E41" s="1" t="s">
        <v>1444</v>
      </c>
      <c r="F41" s="31"/>
      <c r="G41" s="31"/>
      <c r="H41" s="195">
        <f>IFERROR(H37/H39,0)</f>
        <v>2.1238790492344607E-3</v>
      </c>
      <c r="I41" s="31"/>
      <c r="J41" s="31" t="s">
        <v>1445</v>
      </c>
      <c r="K41" s="47"/>
      <c r="L41" s="31"/>
      <c r="M41" s="31"/>
      <c r="N41" s="31"/>
      <c r="O41" s="381"/>
      <c r="P41" s="4">
        <f t="shared" si="13"/>
        <v>31</v>
      </c>
      <c r="Q41" s="31"/>
      <c r="R41" s="31"/>
    </row>
    <row r="42" spans="1:18" ht="16.5" thickBot="1" x14ac:dyDescent="0.3">
      <c r="A42" s="4">
        <f t="shared" si="6"/>
        <v>32</v>
      </c>
      <c r="B42" s="547"/>
      <c r="C42" s="863"/>
      <c r="D42" s="863"/>
      <c r="E42" s="894"/>
      <c r="F42" s="863"/>
      <c r="G42" s="863"/>
      <c r="H42" s="1075"/>
      <c r="I42" s="863"/>
      <c r="J42" s="863"/>
      <c r="K42" s="863"/>
      <c r="L42" s="863"/>
      <c r="M42" s="863"/>
      <c r="N42" s="863"/>
      <c r="O42" s="196"/>
      <c r="P42" s="4">
        <f t="shared" si="13"/>
        <v>32</v>
      </c>
      <c r="Q42" s="414"/>
      <c r="R42" s="31"/>
    </row>
    <row r="43" spans="1:18" ht="16.5" thickBot="1" x14ac:dyDescent="0.3">
      <c r="A43" s="4">
        <f t="shared" si="6"/>
        <v>33</v>
      </c>
      <c r="B43" s="516"/>
      <c r="C43" s="31"/>
      <c r="D43" s="31"/>
      <c r="E43" s="6"/>
      <c r="F43" s="31"/>
      <c r="G43" s="31"/>
      <c r="H43" s="31"/>
      <c r="I43" s="31"/>
      <c r="J43" s="31"/>
      <c r="K43" s="6" t="s">
        <v>1</v>
      </c>
      <c r="L43" s="31"/>
      <c r="M43" s="47"/>
      <c r="N43" s="47"/>
      <c r="O43" s="548"/>
      <c r="P43" s="4">
        <f t="shared" si="13"/>
        <v>33</v>
      </c>
      <c r="Q43" s="414"/>
      <c r="R43" s="31"/>
    </row>
    <row r="44" spans="1:18" ht="16.5" thickBot="1" x14ac:dyDescent="0.3">
      <c r="A44" s="4">
        <f t="shared" si="6"/>
        <v>34</v>
      </c>
      <c r="B44" s="549"/>
      <c r="C44" s="31"/>
      <c r="D44" s="251"/>
      <c r="E44" s="550"/>
      <c r="F44" s="1076"/>
      <c r="G44" s="1077"/>
      <c r="H44" s="1077" t="s">
        <v>1446</v>
      </c>
      <c r="I44" s="551" t="s">
        <v>1447</v>
      </c>
      <c r="J44" s="552" t="s">
        <v>1448</v>
      </c>
      <c r="K44" s="553" t="s">
        <v>1405</v>
      </c>
      <c r="L44" s="1"/>
      <c r="M44" s="554" t="s">
        <v>1408</v>
      </c>
      <c r="N44" s="555" t="s">
        <v>1409</v>
      </c>
      <c r="O44" s="556" t="s">
        <v>1449</v>
      </c>
      <c r="P44" s="4">
        <f t="shared" si="13"/>
        <v>34</v>
      </c>
      <c r="Q44" s="414"/>
      <c r="R44" s="31"/>
    </row>
    <row r="45" spans="1:18" ht="16.5" thickBot="1" x14ac:dyDescent="0.3">
      <c r="A45" s="4">
        <f t="shared" si="6"/>
        <v>35</v>
      </c>
      <c r="B45" s="516"/>
      <c r="C45" s="31"/>
      <c r="D45" s="31"/>
      <c r="E45" s="557"/>
      <c r="F45" s="364"/>
      <c r="G45" s="558"/>
      <c r="H45" s="558" t="s">
        <v>1450</v>
      </c>
      <c r="I45" s="197">
        <f>+I35</f>
        <v>0</v>
      </c>
      <c r="J45" s="197">
        <f>+J35</f>
        <v>0</v>
      </c>
      <c r="K45" s="197">
        <f>+K35</f>
        <v>0</v>
      </c>
      <c r="L45" s="43"/>
      <c r="M45" s="197">
        <f>+M35</f>
        <v>0</v>
      </c>
      <c r="N45" s="197">
        <f>+N35</f>
        <v>0</v>
      </c>
      <c r="O45" s="197">
        <f>+O35</f>
        <v>0</v>
      </c>
      <c r="P45" s="4">
        <f t="shared" si="13"/>
        <v>35</v>
      </c>
      <c r="Q45" s="31"/>
      <c r="R45" s="31"/>
    </row>
    <row r="46" spans="1:18" ht="16.5" thickTop="1" x14ac:dyDescent="0.25">
      <c r="A46" s="4">
        <f t="shared" si="6"/>
        <v>36</v>
      </c>
      <c r="B46" s="516"/>
      <c r="C46" s="31"/>
      <c r="D46" s="31"/>
      <c r="E46" s="516"/>
      <c r="F46" s="31"/>
      <c r="G46" s="29"/>
      <c r="H46" s="29"/>
      <c r="I46" s="217"/>
      <c r="J46" s="217"/>
      <c r="K46" s="217"/>
      <c r="L46" s="31"/>
      <c r="M46" s="217"/>
      <c r="N46" s="217"/>
      <c r="O46" s="217"/>
      <c r="P46" s="4">
        <f t="shared" si="13"/>
        <v>36</v>
      </c>
      <c r="Q46" s="31"/>
      <c r="R46" s="31"/>
    </row>
    <row r="47" spans="1:18" ht="16.5" thickBot="1" x14ac:dyDescent="0.3">
      <c r="A47" s="4">
        <f>A46+1</f>
        <v>37</v>
      </c>
      <c r="B47" s="516"/>
      <c r="C47" s="31"/>
      <c r="D47" s="31"/>
      <c r="E47" s="516"/>
      <c r="F47" s="31"/>
      <c r="G47" s="29"/>
      <c r="H47" s="472" t="s">
        <v>1451</v>
      </c>
      <c r="I47" s="201">
        <f>IFERROR((+I45/K45),0)</f>
        <v>0</v>
      </c>
      <c r="J47" s="201">
        <f>IFERROR((+J45/K45),0)</f>
        <v>0</v>
      </c>
      <c r="K47" s="201">
        <f>I47+J47</f>
        <v>0</v>
      </c>
      <c r="L47" s="1"/>
      <c r="M47" s="201">
        <f>IFERROR((+M45/O45),0)</f>
        <v>0</v>
      </c>
      <c r="N47" s="201">
        <f>IFERROR((+N45/O45),0)</f>
        <v>0</v>
      </c>
      <c r="O47" s="201">
        <f>M47+N47</f>
        <v>0</v>
      </c>
      <c r="P47" s="4">
        <f>P46+1</f>
        <v>37</v>
      </c>
      <c r="Q47" s="31"/>
      <c r="R47" s="31"/>
    </row>
    <row r="48" spans="1:18" ht="17.25" thickTop="1" thickBot="1" x14ac:dyDescent="0.3">
      <c r="A48" s="4">
        <f t="shared" si="6"/>
        <v>38</v>
      </c>
      <c r="B48" s="515"/>
      <c r="C48" s="31"/>
      <c r="D48" s="31"/>
      <c r="E48" s="547"/>
      <c r="F48" s="863"/>
      <c r="G48" s="863"/>
      <c r="H48" s="863"/>
      <c r="I48" s="205"/>
      <c r="J48" s="205"/>
      <c r="K48" s="196"/>
      <c r="L48" s="31"/>
      <c r="M48" s="206"/>
      <c r="N48" s="207"/>
      <c r="O48" s="196"/>
      <c r="P48" s="4">
        <f t="shared" si="13"/>
        <v>38</v>
      </c>
      <c r="Q48" s="31"/>
      <c r="R48" s="31"/>
    </row>
    <row r="49" spans="1:18" ht="16.5" thickBot="1" x14ac:dyDescent="0.3">
      <c r="A49" s="4">
        <f t="shared" si="6"/>
        <v>39</v>
      </c>
      <c r="B49" s="520"/>
      <c r="C49" s="863"/>
      <c r="D49" s="863"/>
      <c r="E49" s="863"/>
      <c r="F49" s="863"/>
      <c r="G49" s="863"/>
      <c r="H49" s="863"/>
      <c r="I49" s="863"/>
      <c r="J49" s="863"/>
      <c r="K49" s="863"/>
      <c r="L49" s="863"/>
      <c r="M49" s="863"/>
      <c r="N49" s="863"/>
      <c r="O49" s="196"/>
      <c r="P49" s="4">
        <f t="shared" si="10"/>
        <v>39</v>
      </c>
      <c r="Q49" s="31"/>
      <c r="R49" s="31"/>
    </row>
    <row r="50" spans="1:18" x14ac:dyDescent="0.25">
      <c r="B50" s="1"/>
      <c r="C50" s="31"/>
      <c r="D50" s="31"/>
      <c r="E50" s="31"/>
      <c r="F50" s="31"/>
      <c r="G50" s="31"/>
      <c r="H50" s="31"/>
      <c r="I50" s="31"/>
      <c r="J50" s="31"/>
      <c r="K50" s="31"/>
      <c r="L50" s="31"/>
      <c r="M50" s="31"/>
      <c r="N50" s="31"/>
      <c r="O50" s="31"/>
      <c r="Q50" s="31"/>
      <c r="R50" s="31"/>
    </row>
    <row r="51" spans="1:18" x14ac:dyDescent="0.25">
      <c r="B51" s="1"/>
      <c r="C51" s="31"/>
      <c r="D51" s="31"/>
      <c r="E51" s="31"/>
      <c r="F51" s="31"/>
      <c r="G51" s="31"/>
      <c r="H51" s="31"/>
      <c r="I51" s="31"/>
      <c r="J51" s="31"/>
      <c r="K51" s="31"/>
      <c r="L51" s="31"/>
      <c r="M51" s="31"/>
      <c r="N51" s="31"/>
      <c r="O51" s="31"/>
      <c r="Q51" s="31"/>
      <c r="R51" s="31"/>
    </row>
    <row r="52" spans="1:18" x14ac:dyDescent="0.25">
      <c r="B52" s="1"/>
      <c r="C52" s="31"/>
      <c r="D52" s="31"/>
      <c r="E52" s="31"/>
      <c r="F52" s="31"/>
      <c r="G52" s="31"/>
      <c r="H52" s="31"/>
      <c r="I52" s="31"/>
      <c r="J52" s="31"/>
      <c r="K52" s="31"/>
      <c r="L52" s="31"/>
      <c r="M52" s="31"/>
      <c r="N52" s="31"/>
      <c r="O52" s="31"/>
      <c r="Q52" s="31"/>
      <c r="R52" s="31"/>
    </row>
    <row r="53" spans="1:18" x14ac:dyDescent="0.25">
      <c r="B53" s="566"/>
      <c r="C53" s="6"/>
      <c r="D53" s="6"/>
      <c r="E53" s="6"/>
      <c r="F53" s="6"/>
      <c r="G53" s="6"/>
      <c r="H53" s="6"/>
      <c r="I53" s="6"/>
      <c r="J53" s="6"/>
      <c r="K53" s="6"/>
      <c r="L53" s="428"/>
      <c r="M53" s="6"/>
      <c r="N53" s="6"/>
      <c r="O53" s="6"/>
      <c r="Q53" s="31"/>
      <c r="R53" s="31"/>
    </row>
    <row r="54" spans="1:18" x14ac:dyDescent="0.25">
      <c r="B54" s="566"/>
      <c r="C54" s="6"/>
      <c r="D54" s="6"/>
      <c r="E54" s="6"/>
      <c r="F54" s="6"/>
      <c r="G54" s="6"/>
      <c r="H54" s="6"/>
      <c r="I54" s="6"/>
      <c r="J54" s="6"/>
      <c r="K54" s="6"/>
      <c r="L54" s="428"/>
      <c r="M54" s="6"/>
      <c r="N54" s="6"/>
      <c r="O54" s="6"/>
      <c r="Q54" s="31"/>
      <c r="R54" s="31"/>
    </row>
    <row r="55" spans="1:18" x14ac:dyDescent="0.25">
      <c r="B55" s="566"/>
      <c r="C55" s="6"/>
      <c r="D55" s="6"/>
      <c r="E55" s="6"/>
      <c r="F55" s="6"/>
      <c r="G55" s="6"/>
      <c r="H55" s="6"/>
      <c r="I55" s="6"/>
      <c r="J55" s="6"/>
      <c r="K55" s="6"/>
      <c r="L55" s="428"/>
      <c r="M55" s="6"/>
      <c r="N55" s="6"/>
      <c r="O55" s="6"/>
      <c r="Q55" s="31"/>
      <c r="R55" s="31"/>
    </row>
    <row r="56" spans="1:18" x14ac:dyDescent="0.25">
      <c r="B56" s="566"/>
      <c r="C56" s="6"/>
      <c r="D56" s="6"/>
      <c r="E56" s="6"/>
      <c r="F56" s="6"/>
      <c r="G56" s="6"/>
      <c r="H56" s="6"/>
      <c r="I56" s="6"/>
      <c r="J56" s="6"/>
      <c r="K56" s="6"/>
      <c r="L56" s="428"/>
      <c r="M56" s="6"/>
      <c r="N56" s="6"/>
      <c r="O56" s="6"/>
      <c r="Q56" s="31"/>
      <c r="R56" s="31"/>
    </row>
    <row r="57" spans="1:18" x14ac:dyDescent="0.25">
      <c r="B57" s="566"/>
      <c r="C57" s="6"/>
      <c r="D57" s="6"/>
      <c r="E57" s="6"/>
      <c r="F57" s="6"/>
      <c r="G57" s="6"/>
      <c r="H57" s="6"/>
      <c r="I57" s="6"/>
      <c r="J57" s="6"/>
      <c r="K57" s="6"/>
      <c r="L57" s="428"/>
      <c r="M57" s="6"/>
      <c r="N57" s="6"/>
      <c r="O57" s="6"/>
      <c r="Q57" s="31"/>
      <c r="R57" s="31"/>
    </row>
    <row r="58" spans="1:18" x14ac:dyDescent="0.25">
      <c r="B58" s="566"/>
      <c r="C58" s="31"/>
      <c r="D58" s="31"/>
      <c r="E58" s="31"/>
      <c r="F58" s="31"/>
      <c r="G58" s="31"/>
      <c r="H58" s="31"/>
      <c r="I58" s="31"/>
      <c r="J58" s="31"/>
      <c r="K58" s="31"/>
      <c r="L58" s="31"/>
      <c r="M58" s="31"/>
      <c r="N58" s="31"/>
      <c r="O58" s="31"/>
      <c r="Q58" s="31"/>
      <c r="R58" s="3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Normal="100" workbookViewId="0"/>
  </sheetViews>
  <sheetFormatPr defaultColWidth="9.28515625" defaultRowHeight="15.75" x14ac:dyDescent="0.25"/>
  <cols>
    <col min="1" max="1" width="5.28515625" style="4" customWidth="1"/>
    <col min="2" max="2" width="8.5703125" style="31" customWidth="1"/>
    <col min="3" max="11" width="15.7109375" style="31" customWidth="1"/>
    <col min="12" max="12" width="11.28515625" style="31" customWidth="1"/>
    <col min="13" max="15" width="15.7109375" style="31" customWidth="1"/>
    <col min="16" max="16" width="5.28515625" style="4" customWidth="1"/>
    <col min="17" max="17" width="9.28515625" style="31"/>
    <col min="18" max="18" width="9.5703125" style="31" bestFit="1" customWidth="1"/>
    <col min="19" max="16384" width="9.28515625" style="31"/>
  </cols>
  <sheetData>
    <row r="1" spans="1:16" x14ac:dyDescent="0.25">
      <c r="C1" s="255"/>
    </row>
    <row r="2" spans="1:16" x14ac:dyDescent="0.25">
      <c r="B2" s="1294" t="s">
        <v>0</v>
      </c>
      <c r="C2" s="1294"/>
      <c r="D2" s="1294"/>
      <c r="E2" s="1294"/>
      <c r="F2" s="1294"/>
      <c r="G2" s="1294"/>
      <c r="H2" s="1294"/>
      <c r="I2" s="1294"/>
      <c r="J2" s="1294"/>
      <c r="K2" s="1294"/>
      <c r="L2" s="1294"/>
      <c r="M2" s="1294"/>
      <c r="N2" s="1294"/>
      <c r="O2" s="1294"/>
    </row>
    <row r="3" spans="1:16" x14ac:dyDescent="0.25">
      <c r="B3" s="1294" t="s">
        <v>1431</v>
      </c>
      <c r="C3" s="1294"/>
      <c r="D3" s="1294"/>
      <c r="E3" s="1294"/>
      <c r="F3" s="1294"/>
      <c r="G3" s="1294"/>
      <c r="H3" s="1294"/>
      <c r="I3" s="1294"/>
      <c r="J3" s="1294"/>
      <c r="K3" s="1294"/>
      <c r="L3" s="1294"/>
      <c r="M3" s="1294"/>
      <c r="N3" s="1294"/>
      <c r="O3" s="1294"/>
    </row>
    <row r="4" spans="1:16" x14ac:dyDescent="0.25">
      <c r="B4" s="1300" t="str">
        <f>'Summary of HV-LV Splits'!B4</f>
        <v>24-Month Forecast Period (January 1, 2024 - December 31, 2025)</v>
      </c>
      <c r="C4" s="1300"/>
      <c r="D4" s="1300"/>
      <c r="E4" s="1300"/>
      <c r="F4" s="1300"/>
      <c r="G4" s="1300"/>
      <c r="H4" s="1300"/>
      <c r="I4" s="1300"/>
      <c r="J4" s="1300"/>
      <c r="K4" s="1300"/>
      <c r="L4" s="1300"/>
      <c r="M4" s="1300"/>
      <c r="N4" s="1300"/>
      <c r="O4" s="1300"/>
    </row>
    <row r="5" spans="1:16" x14ac:dyDescent="0.25">
      <c r="B5" s="1294" t="s">
        <v>1457</v>
      </c>
      <c r="C5" s="1294"/>
      <c r="D5" s="1294"/>
      <c r="E5" s="1294"/>
      <c r="F5" s="1294"/>
      <c r="G5" s="1294"/>
      <c r="H5" s="1294"/>
      <c r="I5" s="1294"/>
      <c r="J5" s="1294"/>
      <c r="K5" s="1294"/>
      <c r="L5" s="1294"/>
      <c r="M5" s="1294"/>
      <c r="N5" s="1294"/>
      <c r="O5" s="1294"/>
    </row>
    <row r="6" spans="1:16" x14ac:dyDescent="0.25">
      <c r="B6" s="1294" t="s">
        <v>1458</v>
      </c>
      <c r="C6" s="1294"/>
      <c r="D6" s="1294"/>
      <c r="E6" s="1294"/>
      <c r="F6" s="1294"/>
      <c r="G6" s="1294"/>
      <c r="H6" s="1294"/>
      <c r="I6" s="1294"/>
      <c r="J6" s="1294"/>
      <c r="K6" s="1294"/>
      <c r="L6" s="1294"/>
      <c r="M6" s="1294"/>
      <c r="N6" s="1294"/>
      <c r="O6" s="1294"/>
    </row>
    <row r="7" spans="1:16" x14ac:dyDescent="0.25">
      <c r="B7" s="1325">
        <v>-1000</v>
      </c>
      <c r="C7" s="1325"/>
      <c r="D7" s="1325"/>
      <c r="E7" s="1325"/>
      <c r="F7" s="1325"/>
      <c r="G7" s="1325"/>
      <c r="H7" s="1325"/>
      <c r="I7" s="1325"/>
      <c r="J7" s="1325"/>
      <c r="K7" s="1325"/>
      <c r="L7" s="1325"/>
      <c r="M7" s="1325"/>
      <c r="N7" s="1325"/>
      <c r="O7" s="1325"/>
    </row>
    <row r="8" spans="1:16" ht="16.5" thickBot="1" x14ac:dyDescent="0.3"/>
    <row r="9" spans="1:16" s="1" customFormat="1" x14ac:dyDescent="0.25">
      <c r="A9" s="4" t="s">
        <v>5</v>
      </c>
      <c r="B9" s="231"/>
      <c r="C9" s="229" t="s">
        <v>1456</v>
      </c>
      <c r="D9" s="227"/>
      <c r="E9" s="230"/>
      <c r="F9" s="226" t="s">
        <v>1434</v>
      </c>
      <c r="G9" s="227"/>
      <c r="H9" s="228"/>
      <c r="I9" s="229" t="s">
        <v>1435</v>
      </c>
      <c r="J9" s="227"/>
      <c r="K9" s="230"/>
      <c r="L9" s="231" t="s">
        <v>1436</v>
      </c>
      <c r="M9" s="229" t="s">
        <v>1437</v>
      </c>
      <c r="N9" s="227"/>
      <c r="O9" s="228"/>
      <c r="P9" s="4" t="s">
        <v>5</v>
      </c>
    </row>
    <row r="10" spans="1:16" s="1" customFormat="1" ht="16.5" thickBot="1" x14ac:dyDescent="0.3">
      <c r="A10" s="4" t="s">
        <v>6</v>
      </c>
      <c r="B10" s="530" t="s">
        <v>1438</v>
      </c>
      <c r="C10" s="535" t="s">
        <v>1406</v>
      </c>
      <c r="D10" s="532" t="s">
        <v>1407</v>
      </c>
      <c r="E10" s="533" t="s">
        <v>177</v>
      </c>
      <c r="F10" s="531" t="s">
        <v>1406</v>
      </c>
      <c r="G10" s="532" t="s">
        <v>1407</v>
      </c>
      <c r="H10" s="534" t="s">
        <v>177</v>
      </c>
      <c r="I10" s="535" t="s">
        <v>1406</v>
      </c>
      <c r="J10" s="532" t="s">
        <v>1407</v>
      </c>
      <c r="K10" s="533" t="s">
        <v>177</v>
      </c>
      <c r="L10" s="530" t="s">
        <v>1439</v>
      </c>
      <c r="M10" s="535" t="s">
        <v>1406</v>
      </c>
      <c r="N10" s="532" t="s">
        <v>1407</v>
      </c>
      <c r="O10" s="534" t="s">
        <v>177</v>
      </c>
      <c r="P10" s="4" t="s">
        <v>6</v>
      </c>
    </row>
    <row r="11" spans="1:16" s="1" customFormat="1" x14ac:dyDescent="0.25">
      <c r="A11" s="218"/>
      <c r="B11" s="231"/>
      <c r="C11" s="218"/>
      <c r="D11" s="458"/>
      <c r="E11" s="218"/>
      <c r="F11" s="508"/>
      <c r="G11" s="459"/>
      <c r="H11" s="539"/>
      <c r="I11" s="218"/>
      <c r="J11" s="458"/>
      <c r="K11" s="218"/>
      <c r="L11" s="536"/>
      <c r="M11" s="218"/>
      <c r="N11" s="458"/>
      <c r="O11" s="539"/>
      <c r="P11" s="218"/>
    </row>
    <row r="12" spans="1:16" x14ac:dyDescent="0.25">
      <c r="A12" s="4">
        <v>1</v>
      </c>
      <c r="B12" s="540">
        <f>'ET Forecast Capital Additions'!B11</f>
        <v>45313</v>
      </c>
      <c r="C12" s="219">
        <v>0</v>
      </c>
      <c r="D12" s="674">
        <v>0</v>
      </c>
      <c r="E12" s="120">
        <f t="shared" ref="E12:E35" si="0">C12+D12</f>
        <v>0</v>
      </c>
      <c r="F12" s="176">
        <f>C12*$H$42</f>
        <v>0</v>
      </c>
      <c r="G12" s="593">
        <f>D12*$H$42</f>
        <v>0</v>
      </c>
      <c r="H12" s="220">
        <f t="shared" ref="H12:H35" si="1">F12+G12</f>
        <v>0</v>
      </c>
      <c r="I12" s="58">
        <f>C12-F12</f>
        <v>0</v>
      </c>
      <c r="J12" s="232">
        <f>D12-G12</f>
        <v>0</v>
      </c>
      <c r="K12" s="120">
        <f t="shared" ref="K12:K35" si="2">I12+J12</f>
        <v>0</v>
      </c>
      <c r="L12" s="242">
        <f>'ET Forecast Capital Additions'!$L11</f>
        <v>1</v>
      </c>
      <c r="M12" s="58">
        <f t="shared" ref="M12:M35" si="3">I12*L12</f>
        <v>0</v>
      </c>
      <c r="N12" s="232">
        <f t="shared" ref="N12:N35" si="4">J12*L12</f>
        <v>0</v>
      </c>
      <c r="O12" s="593">
        <f t="shared" ref="O12:O35" si="5">M12+N12</f>
        <v>0</v>
      </c>
      <c r="P12" s="4">
        <f>A12</f>
        <v>1</v>
      </c>
    </row>
    <row r="13" spans="1:16" x14ac:dyDescent="0.25">
      <c r="A13" s="4">
        <f t="shared" ref="A13:A50" si="6">A12+1</f>
        <v>2</v>
      </c>
      <c r="B13" s="540">
        <f>'ET Forecast Capital Additions'!B12</f>
        <v>45344</v>
      </c>
      <c r="C13" s="221">
        <v>0</v>
      </c>
      <c r="D13" s="675">
        <v>0</v>
      </c>
      <c r="E13" s="125">
        <f t="shared" si="0"/>
        <v>0</v>
      </c>
      <c r="F13" s="178">
        <f t="shared" ref="F13:G35" si="7">C13*$H$42</f>
        <v>0</v>
      </c>
      <c r="G13" s="574">
        <f t="shared" si="7"/>
        <v>0</v>
      </c>
      <c r="H13" s="128">
        <f t="shared" si="1"/>
        <v>0</v>
      </c>
      <c r="I13" s="52">
        <f t="shared" ref="I13:J35" si="8">C13-F13</f>
        <v>0</v>
      </c>
      <c r="J13" s="233">
        <f t="shared" si="8"/>
        <v>0</v>
      </c>
      <c r="K13" s="125">
        <f t="shared" si="2"/>
        <v>0</v>
      </c>
      <c r="L13" s="242">
        <f>'ET Forecast Capital Additions'!$L12</f>
        <v>1</v>
      </c>
      <c r="M13" s="52">
        <f t="shared" si="3"/>
        <v>0</v>
      </c>
      <c r="N13" s="233">
        <f t="shared" si="4"/>
        <v>0</v>
      </c>
      <c r="O13" s="574">
        <f t="shared" si="5"/>
        <v>0</v>
      </c>
      <c r="P13" s="4">
        <f t="shared" ref="P13:P50" si="9">P12+1</f>
        <v>2</v>
      </c>
    </row>
    <row r="14" spans="1:16" x14ac:dyDescent="0.25">
      <c r="A14" s="4">
        <f t="shared" si="6"/>
        <v>3</v>
      </c>
      <c r="B14" s="540">
        <f>'ET Forecast Capital Additions'!B13</f>
        <v>45373</v>
      </c>
      <c r="C14" s="221">
        <v>0</v>
      </c>
      <c r="D14" s="675">
        <v>0</v>
      </c>
      <c r="E14" s="125">
        <f t="shared" si="0"/>
        <v>0</v>
      </c>
      <c r="F14" s="178">
        <f t="shared" si="7"/>
        <v>0</v>
      </c>
      <c r="G14" s="574">
        <f t="shared" si="7"/>
        <v>0</v>
      </c>
      <c r="H14" s="128">
        <f t="shared" si="1"/>
        <v>0</v>
      </c>
      <c r="I14" s="52">
        <f t="shared" si="8"/>
        <v>0</v>
      </c>
      <c r="J14" s="233">
        <f t="shared" si="8"/>
        <v>0</v>
      </c>
      <c r="K14" s="125">
        <f t="shared" si="2"/>
        <v>0</v>
      </c>
      <c r="L14" s="242">
        <f>'ET Forecast Capital Additions'!$L13</f>
        <v>1</v>
      </c>
      <c r="M14" s="52">
        <f t="shared" si="3"/>
        <v>0</v>
      </c>
      <c r="N14" s="233">
        <f t="shared" si="4"/>
        <v>0</v>
      </c>
      <c r="O14" s="574">
        <f t="shared" si="5"/>
        <v>0</v>
      </c>
      <c r="P14" s="4">
        <f t="shared" si="9"/>
        <v>3</v>
      </c>
    </row>
    <row r="15" spans="1:16" ht="16.5" thickBot="1" x14ac:dyDescent="0.3">
      <c r="A15" s="4">
        <f t="shared" si="6"/>
        <v>4</v>
      </c>
      <c r="B15" s="541">
        <f>'ET Forecast Capital Additions'!B14</f>
        <v>45404</v>
      </c>
      <c r="C15" s="222">
        <v>0</v>
      </c>
      <c r="D15" s="208">
        <v>0</v>
      </c>
      <c r="E15" s="180">
        <f t="shared" si="0"/>
        <v>0</v>
      </c>
      <c r="F15" s="181">
        <f t="shared" si="7"/>
        <v>0</v>
      </c>
      <c r="G15" s="183">
        <f t="shared" si="7"/>
        <v>0</v>
      </c>
      <c r="H15" s="213">
        <f t="shared" si="1"/>
        <v>0</v>
      </c>
      <c r="I15" s="184">
        <f t="shared" si="8"/>
        <v>0</v>
      </c>
      <c r="J15" s="182">
        <f t="shared" si="8"/>
        <v>0</v>
      </c>
      <c r="K15" s="180">
        <f t="shared" si="2"/>
        <v>0</v>
      </c>
      <c r="L15" s="243">
        <f>'ET Forecast Capital Additions'!$L14</f>
        <v>1</v>
      </c>
      <c r="M15" s="184">
        <f t="shared" si="3"/>
        <v>0</v>
      </c>
      <c r="N15" s="182">
        <f t="shared" si="4"/>
        <v>0</v>
      </c>
      <c r="O15" s="183">
        <f t="shared" si="5"/>
        <v>0</v>
      </c>
      <c r="P15" s="4">
        <f t="shared" si="9"/>
        <v>4</v>
      </c>
    </row>
    <row r="16" spans="1:16" x14ac:dyDescent="0.25">
      <c r="A16" s="4">
        <f t="shared" si="6"/>
        <v>5</v>
      </c>
      <c r="B16" s="540">
        <f>'ET Forecast Capital Additions'!B15</f>
        <v>45434</v>
      </c>
      <c r="C16" s="223">
        <v>0</v>
      </c>
      <c r="D16" s="185">
        <v>0</v>
      </c>
      <c r="E16" s="123">
        <f t="shared" si="0"/>
        <v>0</v>
      </c>
      <c r="F16" s="186">
        <f t="shared" si="7"/>
        <v>0</v>
      </c>
      <c r="G16" s="124">
        <f t="shared" si="7"/>
        <v>0</v>
      </c>
      <c r="H16" s="224">
        <f t="shared" si="1"/>
        <v>0</v>
      </c>
      <c r="I16" s="52">
        <f t="shared" si="8"/>
        <v>0</v>
      </c>
      <c r="J16" s="233">
        <f t="shared" si="8"/>
        <v>0</v>
      </c>
      <c r="K16" s="123">
        <f t="shared" si="2"/>
        <v>0</v>
      </c>
      <c r="L16" s="244">
        <f>'ET Forecast Capital Additions'!$L15</f>
        <v>1</v>
      </c>
      <c r="M16" s="52">
        <f t="shared" si="3"/>
        <v>0</v>
      </c>
      <c r="N16" s="233">
        <f t="shared" si="4"/>
        <v>0</v>
      </c>
      <c r="O16" s="124">
        <f t="shared" si="5"/>
        <v>0</v>
      </c>
      <c r="P16" s="4">
        <f t="shared" si="9"/>
        <v>5</v>
      </c>
    </row>
    <row r="17" spans="1:16" x14ac:dyDescent="0.25">
      <c r="A17" s="4">
        <f t="shared" si="6"/>
        <v>6</v>
      </c>
      <c r="B17" s="540">
        <f>'ET Forecast Capital Additions'!B16</f>
        <v>45465</v>
      </c>
      <c r="C17" s="221">
        <v>0</v>
      </c>
      <c r="D17" s="675">
        <v>0</v>
      </c>
      <c r="E17" s="125">
        <f t="shared" si="0"/>
        <v>0</v>
      </c>
      <c r="F17" s="178">
        <f t="shared" si="7"/>
        <v>0</v>
      </c>
      <c r="G17" s="574">
        <f t="shared" si="7"/>
        <v>0</v>
      </c>
      <c r="H17" s="128">
        <f t="shared" si="1"/>
        <v>0</v>
      </c>
      <c r="I17" s="52">
        <f t="shared" si="8"/>
        <v>0</v>
      </c>
      <c r="J17" s="233">
        <f t="shared" si="8"/>
        <v>0</v>
      </c>
      <c r="K17" s="125">
        <f t="shared" si="2"/>
        <v>0</v>
      </c>
      <c r="L17" s="242">
        <f>'ET Forecast Capital Additions'!$L16</f>
        <v>1</v>
      </c>
      <c r="M17" s="52">
        <f t="shared" si="3"/>
        <v>0</v>
      </c>
      <c r="N17" s="233">
        <f t="shared" si="4"/>
        <v>0</v>
      </c>
      <c r="O17" s="574">
        <f t="shared" si="5"/>
        <v>0</v>
      </c>
      <c r="P17" s="4">
        <f t="shared" si="9"/>
        <v>6</v>
      </c>
    </row>
    <row r="18" spans="1:16" x14ac:dyDescent="0.25">
      <c r="A18" s="4">
        <f t="shared" si="6"/>
        <v>7</v>
      </c>
      <c r="B18" s="540">
        <f>'ET Forecast Capital Additions'!B17</f>
        <v>45495</v>
      </c>
      <c r="C18" s="221">
        <v>0</v>
      </c>
      <c r="D18" s="675">
        <v>0</v>
      </c>
      <c r="E18" s="125">
        <f t="shared" si="0"/>
        <v>0</v>
      </c>
      <c r="F18" s="178">
        <f t="shared" si="7"/>
        <v>0</v>
      </c>
      <c r="G18" s="574">
        <f t="shared" si="7"/>
        <v>0</v>
      </c>
      <c r="H18" s="128">
        <f t="shared" si="1"/>
        <v>0</v>
      </c>
      <c r="I18" s="52">
        <f t="shared" si="8"/>
        <v>0</v>
      </c>
      <c r="J18" s="233">
        <f t="shared" si="8"/>
        <v>0</v>
      </c>
      <c r="K18" s="125">
        <f t="shared" si="2"/>
        <v>0</v>
      </c>
      <c r="L18" s="242">
        <f>'ET Forecast Capital Additions'!$L17</f>
        <v>1</v>
      </c>
      <c r="M18" s="52">
        <f t="shared" si="3"/>
        <v>0</v>
      </c>
      <c r="N18" s="233">
        <f t="shared" si="4"/>
        <v>0</v>
      </c>
      <c r="O18" s="574">
        <f t="shared" si="5"/>
        <v>0</v>
      </c>
      <c r="P18" s="4">
        <f t="shared" si="9"/>
        <v>7</v>
      </c>
    </row>
    <row r="19" spans="1:16" ht="16.5" thickBot="1" x14ac:dyDescent="0.3">
      <c r="A19" s="4">
        <f t="shared" si="6"/>
        <v>8</v>
      </c>
      <c r="B19" s="541">
        <f>'ET Forecast Capital Additions'!B18</f>
        <v>45526</v>
      </c>
      <c r="C19" s="222">
        <v>0</v>
      </c>
      <c r="D19" s="208">
        <v>0</v>
      </c>
      <c r="E19" s="180">
        <f t="shared" si="0"/>
        <v>0</v>
      </c>
      <c r="F19" s="181">
        <f t="shared" si="7"/>
        <v>0</v>
      </c>
      <c r="G19" s="183">
        <f t="shared" si="7"/>
        <v>0</v>
      </c>
      <c r="H19" s="213">
        <f t="shared" si="1"/>
        <v>0</v>
      </c>
      <c r="I19" s="184">
        <f t="shared" si="8"/>
        <v>0</v>
      </c>
      <c r="J19" s="182">
        <f t="shared" si="8"/>
        <v>0</v>
      </c>
      <c r="K19" s="180">
        <f t="shared" si="2"/>
        <v>0</v>
      </c>
      <c r="L19" s="243">
        <f>'ET Forecast Capital Additions'!$L18</f>
        <v>1</v>
      </c>
      <c r="M19" s="184">
        <f t="shared" si="3"/>
        <v>0</v>
      </c>
      <c r="N19" s="182">
        <f t="shared" si="4"/>
        <v>0</v>
      </c>
      <c r="O19" s="183">
        <f t="shared" si="5"/>
        <v>0</v>
      </c>
      <c r="P19" s="4">
        <f t="shared" si="9"/>
        <v>8</v>
      </c>
    </row>
    <row r="20" spans="1:16" x14ac:dyDescent="0.25">
      <c r="A20" s="4">
        <f t="shared" si="6"/>
        <v>9</v>
      </c>
      <c r="B20" s="540">
        <f>'ET Forecast Capital Additions'!B19</f>
        <v>45557</v>
      </c>
      <c r="C20" s="223">
        <v>0</v>
      </c>
      <c r="D20" s="185">
        <v>0</v>
      </c>
      <c r="E20" s="123">
        <f t="shared" si="0"/>
        <v>0</v>
      </c>
      <c r="F20" s="186">
        <f t="shared" si="7"/>
        <v>0</v>
      </c>
      <c r="G20" s="124">
        <f t="shared" si="7"/>
        <v>0</v>
      </c>
      <c r="H20" s="224">
        <f t="shared" si="1"/>
        <v>0</v>
      </c>
      <c r="I20" s="52">
        <f t="shared" si="8"/>
        <v>0</v>
      </c>
      <c r="J20" s="233">
        <f t="shared" si="8"/>
        <v>0</v>
      </c>
      <c r="K20" s="123">
        <f t="shared" si="2"/>
        <v>0</v>
      </c>
      <c r="L20" s="244">
        <f>'ET Forecast Capital Additions'!$L19</f>
        <v>1</v>
      </c>
      <c r="M20" s="52">
        <f t="shared" si="3"/>
        <v>0</v>
      </c>
      <c r="N20" s="233">
        <f t="shared" si="4"/>
        <v>0</v>
      </c>
      <c r="O20" s="124">
        <f t="shared" si="5"/>
        <v>0</v>
      </c>
      <c r="P20" s="4">
        <f t="shared" si="9"/>
        <v>9</v>
      </c>
    </row>
    <row r="21" spans="1:16" x14ac:dyDescent="0.25">
      <c r="A21" s="4">
        <f t="shared" si="6"/>
        <v>10</v>
      </c>
      <c r="B21" s="540">
        <f>'ET Forecast Capital Additions'!B20</f>
        <v>45587</v>
      </c>
      <c r="C21" s="221">
        <v>0</v>
      </c>
      <c r="D21" s="675">
        <v>0</v>
      </c>
      <c r="E21" s="125">
        <f t="shared" si="0"/>
        <v>0</v>
      </c>
      <c r="F21" s="178">
        <f t="shared" si="7"/>
        <v>0</v>
      </c>
      <c r="G21" s="574">
        <f t="shared" si="7"/>
        <v>0</v>
      </c>
      <c r="H21" s="128">
        <f t="shared" si="1"/>
        <v>0</v>
      </c>
      <c r="I21" s="52">
        <f t="shared" si="8"/>
        <v>0</v>
      </c>
      <c r="J21" s="233">
        <f t="shared" si="8"/>
        <v>0</v>
      </c>
      <c r="K21" s="125">
        <f t="shared" si="2"/>
        <v>0</v>
      </c>
      <c r="L21" s="242">
        <f>'ET Forecast Capital Additions'!$L20</f>
        <v>1</v>
      </c>
      <c r="M21" s="52">
        <f t="shared" si="3"/>
        <v>0</v>
      </c>
      <c r="N21" s="233">
        <f t="shared" si="4"/>
        <v>0</v>
      </c>
      <c r="O21" s="574">
        <f t="shared" si="5"/>
        <v>0</v>
      </c>
      <c r="P21" s="4">
        <f t="shared" si="9"/>
        <v>10</v>
      </c>
    </row>
    <row r="22" spans="1:16" x14ac:dyDescent="0.25">
      <c r="A22" s="4">
        <f t="shared" si="6"/>
        <v>11</v>
      </c>
      <c r="B22" s="540">
        <f>'ET Forecast Capital Additions'!B21</f>
        <v>45618</v>
      </c>
      <c r="C22" s="112">
        <v>0</v>
      </c>
      <c r="D22" s="675">
        <v>0</v>
      </c>
      <c r="E22" s="6">
        <f t="shared" si="0"/>
        <v>0</v>
      </c>
      <c r="F22" s="178">
        <f t="shared" si="7"/>
        <v>0</v>
      </c>
      <c r="G22" s="574">
        <f t="shared" si="7"/>
        <v>0</v>
      </c>
      <c r="H22" s="128">
        <f t="shared" si="1"/>
        <v>0</v>
      </c>
      <c r="I22" s="52">
        <f t="shared" si="8"/>
        <v>0</v>
      </c>
      <c r="J22" s="233">
        <f t="shared" si="8"/>
        <v>0</v>
      </c>
      <c r="K22" s="6">
        <f t="shared" si="2"/>
        <v>0</v>
      </c>
      <c r="L22" s="242">
        <f>'ET Forecast Capital Additions'!$L21</f>
        <v>1</v>
      </c>
      <c r="M22" s="52">
        <f t="shared" si="3"/>
        <v>0</v>
      </c>
      <c r="N22" s="233">
        <f t="shared" si="4"/>
        <v>0</v>
      </c>
      <c r="O22" s="128">
        <f t="shared" si="5"/>
        <v>0</v>
      </c>
      <c r="P22" s="4">
        <f t="shared" si="9"/>
        <v>11</v>
      </c>
    </row>
    <row r="23" spans="1:16" ht="16.5" thickBot="1" x14ac:dyDescent="0.3">
      <c r="A23" s="4">
        <f t="shared" si="6"/>
        <v>12</v>
      </c>
      <c r="B23" s="541">
        <f>'ET Forecast Capital Additions'!B22</f>
        <v>45648</v>
      </c>
      <c r="C23" s="222">
        <v>0</v>
      </c>
      <c r="D23" s="208">
        <v>0</v>
      </c>
      <c r="E23" s="180">
        <f t="shared" si="0"/>
        <v>0</v>
      </c>
      <c r="F23" s="181">
        <f t="shared" si="7"/>
        <v>0</v>
      </c>
      <c r="G23" s="183">
        <f t="shared" si="7"/>
        <v>0</v>
      </c>
      <c r="H23" s="213">
        <f t="shared" si="1"/>
        <v>0</v>
      </c>
      <c r="I23" s="184">
        <f t="shared" si="8"/>
        <v>0</v>
      </c>
      <c r="J23" s="182">
        <f t="shared" si="8"/>
        <v>0</v>
      </c>
      <c r="K23" s="180">
        <f t="shared" si="2"/>
        <v>0</v>
      </c>
      <c r="L23" s="243">
        <f>'ET Forecast Capital Additions'!$L22</f>
        <v>1</v>
      </c>
      <c r="M23" s="184">
        <f t="shared" si="3"/>
        <v>0</v>
      </c>
      <c r="N23" s="182">
        <f t="shared" si="4"/>
        <v>0</v>
      </c>
      <c r="O23" s="183">
        <f t="shared" si="5"/>
        <v>0</v>
      </c>
      <c r="P23" s="4">
        <f t="shared" si="9"/>
        <v>12</v>
      </c>
    </row>
    <row r="24" spans="1:16" x14ac:dyDescent="0.25">
      <c r="A24" s="4">
        <f t="shared" si="6"/>
        <v>13</v>
      </c>
      <c r="B24" s="540">
        <f>'ET Forecast Capital Additions'!B23</f>
        <v>45679</v>
      </c>
      <c r="C24" s="223">
        <v>0</v>
      </c>
      <c r="D24" s="185">
        <v>0</v>
      </c>
      <c r="E24" s="123">
        <f t="shared" si="0"/>
        <v>0</v>
      </c>
      <c r="F24" s="186">
        <f t="shared" si="7"/>
        <v>0</v>
      </c>
      <c r="G24" s="124">
        <f t="shared" si="7"/>
        <v>0</v>
      </c>
      <c r="H24" s="224">
        <f t="shared" si="1"/>
        <v>0</v>
      </c>
      <c r="I24" s="52">
        <f t="shared" si="8"/>
        <v>0</v>
      </c>
      <c r="J24" s="233">
        <f t="shared" si="8"/>
        <v>0</v>
      </c>
      <c r="K24" s="123">
        <f t="shared" si="2"/>
        <v>0</v>
      </c>
      <c r="L24" s="244">
        <f>'ET Forecast Capital Additions'!$L23</f>
        <v>1</v>
      </c>
      <c r="M24" s="52">
        <f t="shared" si="3"/>
        <v>0</v>
      </c>
      <c r="N24" s="233">
        <f t="shared" si="4"/>
        <v>0</v>
      </c>
      <c r="O24" s="124">
        <f t="shared" si="5"/>
        <v>0</v>
      </c>
      <c r="P24" s="4">
        <f t="shared" si="9"/>
        <v>13</v>
      </c>
    </row>
    <row r="25" spans="1:16" x14ac:dyDescent="0.25">
      <c r="A25" s="4">
        <f t="shared" si="6"/>
        <v>14</v>
      </c>
      <c r="B25" s="540">
        <f>'ET Forecast Capital Additions'!B24</f>
        <v>45710</v>
      </c>
      <c r="C25" s="221">
        <v>0</v>
      </c>
      <c r="D25" s="675">
        <v>0</v>
      </c>
      <c r="E25" s="125">
        <f t="shared" si="0"/>
        <v>0</v>
      </c>
      <c r="F25" s="178">
        <f t="shared" si="7"/>
        <v>0</v>
      </c>
      <c r="G25" s="574">
        <f t="shared" si="7"/>
        <v>0</v>
      </c>
      <c r="H25" s="128">
        <f t="shared" si="1"/>
        <v>0</v>
      </c>
      <c r="I25" s="52">
        <f t="shared" si="8"/>
        <v>0</v>
      </c>
      <c r="J25" s="233">
        <f t="shared" si="8"/>
        <v>0</v>
      </c>
      <c r="K25" s="125">
        <f t="shared" si="2"/>
        <v>0</v>
      </c>
      <c r="L25" s="242">
        <f>'ET Forecast Capital Additions'!$L24</f>
        <v>0.91666666666666663</v>
      </c>
      <c r="M25" s="52">
        <f t="shared" si="3"/>
        <v>0</v>
      </c>
      <c r="N25" s="233">
        <f t="shared" si="4"/>
        <v>0</v>
      </c>
      <c r="O25" s="574">
        <f t="shared" si="5"/>
        <v>0</v>
      </c>
      <c r="P25" s="4">
        <f t="shared" si="9"/>
        <v>14</v>
      </c>
    </row>
    <row r="26" spans="1:16" x14ac:dyDescent="0.25">
      <c r="A26" s="4">
        <f t="shared" si="6"/>
        <v>15</v>
      </c>
      <c r="B26" s="540">
        <f>'ET Forecast Capital Additions'!B25</f>
        <v>45738</v>
      </c>
      <c r="C26" s="221">
        <v>0</v>
      </c>
      <c r="D26" s="675">
        <v>0</v>
      </c>
      <c r="E26" s="125">
        <f t="shared" si="0"/>
        <v>0</v>
      </c>
      <c r="F26" s="178">
        <f t="shared" si="7"/>
        <v>0</v>
      </c>
      <c r="G26" s="574">
        <f t="shared" si="7"/>
        <v>0</v>
      </c>
      <c r="H26" s="128">
        <f t="shared" si="1"/>
        <v>0</v>
      </c>
      <c r="I26" s="52">
        <f t="shared" si="8"/>
        <v>0</v>
      </c>
      <c r="J26" s="233">
        <f t="shared" si="8"/>
        <v>0</v>
      </c>
      <c r="K26" s="125">
        <f t="shared" si="2"/>
        <v>0</v>
      </c>
      <c r="L26" s="242">
        <f>'ET Forecast Capital Additions'!$L25</f>
        <v>0.83333333333333337</v>
      </c>
      <c r="M26" s="52">
        <f t="shared" si="3"/>
        <v>0</v>
      </c>
      <c r="N26" s="233">
        <f t="shared" si="4"/>
        <v>0</v>
      </c>
      <c r="O26" s="574">
        <f t="shared" si="5"/>
        <v>0</v>
      </c>
      <c r="P26" s="4">
        <f t="shared" si="9"/>
        <v>15</v>
      </c>
    </row>
    <row r="27" spans="1:16" ht="16.5" thickBot="1" x14ac:dyDescent="0.3">
      <c r="A27" s="4">
        <f t="shared" si="6"/>
        <v>16</v>
      </c>
      <c r="B27" s="541">
        <f>'ET Forecast Capital Additions'!B26</f>
        <v>45769</v>
      </c>
      <c r="C27" s="222">
        <v>0</v>
      </c>
      <c r="D27" s="208">
        <v>0</v>
      </c>
      <c r="E27" s="180">
        <f t="shared" si="0"/>
        <v>0</v>
      </c>
      <c r="F27" s="181">
        <f t="shared" si="7"/>
        <v>0</v>
      </c>
      <c r="G27" s="183">
        <f t="shared" si="7"/>
        <v>0</v>
      </c>
      <c r="H27" s="213">
        <f t="shared" si="1"/>
        <v>0</v>
      </c>
      <c r="I27" s="184">
        <f t="shared" si="8"/>
        <v>0</v>
      </c>
      <c r="J27" s="182">
        <f t="shared" si="8"/>
        <v>0</v>
      </c>
      <c r="K27" s="180">
        <f t="shared" si="2"/>
        <v>0</v>
      </c>
      <c r="L27" s="243">
        <f>'ET Forecast Capital Additions'!$L26</f>
        <v>0.75</v>
      </c>
      <c r="M27" s="184">
        <f t="shared" si="3"/>
        <v>0</v>
      </c>
      <c r="N27" s="182">
        <f t="shared" si="4"/>
        <v>0</v>
      </c>
      <c r="O27" s="183">
        <f t="shared" si="5"/>
        <v>0</v>
      </c>
      <c r="P27" s="4">
        <f t="shared" si="9"/>
        <v>16</v>
      </c>
    </row>
    <row r="28" spans="1:16" x14ac:dyDescent="0.25">
      <c r="A28" s="4">
        <f t="shared" si="6"/>
        <v>17</v>
      </c>
      <c r="B28" s="540">
        <f>'ET Forecast Capital Additions'!B27</f>
        <v>45799</v>
      </c>
      <c r="C28" s="112">
        <v>0</v>
      </c>
      <c r="D28" s="675">
        <v>0</v>
      </c>
      <c r="E28" s="6">
        <f t="shared" si="0"/>
        <v>0</v>
      </c>
      <c r="F28" s="186">
        <f t="shared" si="7"/>
        <v>0</v>
      </c>
      <c r="G28" s="124">
        <f t="shared" si="7"/>
        <v>0</v>
      </c>
      <c r="H28" s="128">
        <f t="shared" si="1"/>
        <v>0</v>
      </c>
      <c r="I28" s="52">
        <f t="shared" si="8"/>
        <v>0</v>
      </c>
      <c r="J28" s="233">
        <f t="shared" si="8"/>
        <v>0</v>
      </c>
      <c r="K28" s="6">
        <f t="shared" si="2"/>
        <v>0</v>
      </c>
      <c r="L28" s="244">
        <f>'ET Forecast Capital Additions'!$L27</f>
        <v>0.66666666666666663</v>
      </c>
      <c r="M28" s="52">
        <f t="shared" si="3"/>
        <v>0</v>
      </c>
      <c r="N28" s="233">
        <f t="shared" si="4"/>
        <v>0</v>
      </c>
      <c r="O28" s="128">
        <f t="shared" si="5"/>
        <v>0</v>
      </c>
      <c r="P28" s="4">
        <f t="shared" si="9"/>
        <v>17</v>
      </c>
    </row>
    <row r="29" spans="1:16" x14ac:dyDescent="0.25">
      <c r="A29" s="4">
        <f t="shared" si="6"/>
        <v>18</v>
      </c>
      <c r="B29" s="540">
        <f>'ET Forecast Capital Additions'!B28</f>
        <v>45830</v>
      </c>
      <c r="C29" s="221">
        <v>0</v>
      </c>
      <c r="D29" s="675">
        <v>0</v>
      </c>
      <c r="E29" s="125">
        <f t="shared" si="0"/>
        <v>0</v>
      </c>
      <c r="F29" s="178">
        <f t="shared" si="7"/>
        <v>0</v>
      </c>
      <c r="G29" s="574">
        <f t="shared" si="7"/>
        <v>0</v>
      </c>
      <c r="H29" s="128">
        <f t="shared" si="1"/>
        <v>0</v>
      </c>
      <c r="I29" s="52">
        <f t="shared" si="8"/>
        <v>0</v>
      </c>
      <c r="J29" s="233">
        <f t="shared" si="8"/>
        <v>0</v>
      </c>
      <c r="K29" s="125">
        <f t="shared" si="2"/>
        <v>0</v>
      </c>
      <c r="L29" s="242">
        <f>'ET Forecast Capital Additions'!$L28</f>
        <v>0.58333333333333337</v>
      </c>
      <c r="M29" s="52">
        <f t="shared" si="3"/>
        <v>0</v>
      </c>
      <c r="N29" s="233">
        <f t="shared" si="4"/>
        <v>0</v>
      </c>
      <c r="O29" s="574">
        <f t="shared" si="5"/>
        <v>0</v>
      </c>
      <c r="P29" s="4">
        <f t="shared" si="9"/>
        <v>18</v>
      </c>
    </row>
    <row r="30" spans="1:16" x14ac:dyDescent="0.25">
      <c r="A30" s="4">
        <f t="shared" si="6"/>
        <v>19</v>
      </c>
      <c r="B30" s="540">
        <f>'ET Forecast Capital Additions'!B29</f>
        <v>45860</v>
      </c>
      <c r="C30" s="221">
        <v>0</v>
      </c>
      <c r="D30" s="675">
        <v>0</v>
      </c>
      <c r="E30" s="125">
        <f t="shared" si="0"/>
        <v>0</v>
      </c>
      <c r="F30" s="178">
        <f t="shared" si="7"/>
        <v>0</v>
      </c>
      <c r="G30" s="574">
        <f t="shared" si="7"/>
        <v>0</v>
      </c>
      <c r="H30" s="128">
        <f t="shared" si="1"/>
        <v>0</v>
      </c>
      <c r="I30" s="52">
        <f t="shared" si="8"/>
        <v>0</v>
      </c>
      <c r="J30" s="233">
        <f t="shared" si="8"/>
        <v>0</v>
      </c>
      <c r="K30" s="125">
        <f t="shared" si="2"/>
        <v>0</v>
      </c>
      <c r="L30" s="242">
        <f>'ET Forecast Capital Additions'!$L29</f>
        <v>0.5</v>
      </c>
      <c r="M30" s="52">
        <f t="shared" si="3"/>
        <v>0</v>
      </c>
      <c r="N30" s="233">
        <f t="shared" si="4"/>
        <v>0</v>
      </c>
      <c r="O30" s="574">
        <f t="shared" si="5"/>
        <v>0</v>
      </c>
      <c r="P30" s="4">
        <f t="shared" si="9"/>
        <v>19</v>
      </c>
    </row>
    <row r="31" spans="1:16" ht="16.5" thickBot="1" x14ac:dyDescent="0.3">
      <c r="A31" s="4">
        <f t="shared" si="6"/>
        <v>20</v>
      </c>
      <c r="B31" s="541">
        <f>'ET Forecast Capital Additions'!B30</f>
        <v>45891</v>
      </c>
      <c r="C31" s="222">
        <v>0</v>
      </c>
      <c r="D31" s="208">
        <v>0</v>
      </c>
      <c r="E31" s="180">
        <f t="shared" si="0"/>
        <v>0</v>
      </c>
      <c r="F31" s="181">
        <f t="shared" si="7"/>
        <v>0</v>
      </c>
      <c r="G31" s="183">
        <f t="shared" si="7"/>
        <v>0</v>
      </c>
      <c r="H31" s="213">
        <f t="shared" si="1"/>
        <v>0</v>
      </c>
      <c r="I31" s="184">
        <f t="shared" si="8"/>
        <v>0</v>
      </c>
      <c r="J31" s="182">
        <f t="shared" si="8"/>
        <v>0</v>
      </c>
      <c r="K31" s="180">
        <f t="shared" si="2"/>
        <v>0</v>
      </c>
      <c r="L31" s="243">
        <f>'ET Forecast Capital Additions'!$L30</f>
        <v>0.41666666666666669</v>
      </c>
      <c r="M31" s="184">
        <f t="shared" si="3"/>
        <v>0</v>
      </c>
      <c r="N31" s="182">
        <f t="shared" si="4"/>
        <v>0</v>
      </c>
      <c r="O31" s="183">
        <f t="shared" si="5"/>
        <v>0</v>
      </c>
      <c r="P31" s="4">
        <f t="shared" si="9"/>
        <v>20</v>
      </c>
    </row>
    <row r="32" spans="1:16" x14ac:dyDescent="0.25">
      <c r="A32" s="4">
        <f t="shared" si="6"/>
        <v>21</v>
      </c>
      <c r="B32" s="540">
        <f>'ET Forecast Capital Additions'!B31</f>
        <v>45922</v>
      </c>
      <c r="C32" s="221">
        <v>0</v>
      </c>
      <c r="D32" s="675">
        <v>0</v>
      </c>
      <c r="E32" s="125">
        <f t="shared" si="0"/>
        <v>0</v>
      </c>
      <c r="F32" s="178">
        <f t="shared" si="7"/>
        <v>0</v>
      </c>
      <c r="G32" s="233">
        <f t="shared" si="7"/>
        <v>0</v>
      </c>
      <c r="H32" s="574">
        <f t="shared" si="1"/>
        <v>0</v>
      </c>
      <c r="I32" s="52">
        <f t="shared" si="8"/>
        <v>0</v>
      </c>
      <c r="J32" s="233">
        <f t="shared" si="8"/>
        <v>0</v>
      </c>
      <c r="K32" s="125">
        <f t="shared" si="2"/>
        <v>0</v>
      </c>
      <c r="L32" s="244">
        <f>'ET Forecast Capital Additions'!$L31</f>
        <v>0.33333333333333331</v>
      </c>
      <c r="M32" s="52">
        <f t="shared" si="3"/>
        <v>0</v>
      </c>
      <c r="N32" s="233">
        <f t="shared" si="4"/>
        <v>0</v>
      </c>
      <c r="O32" s="574">
        <f t="shared" si="5"/>
        <v>0</v>
      </c>
      <c r="P32" s="4">
        <f t="shared" si="9"/>
        <v>21</v>
      </c>
    </row>
    <row r="33" spans="1:18" x14ac:dyDescent="0.25">
      <c r="A33" s="4">
        <f t="shared" si="6"/>
        <v>22</v>
      </c>
      <c r="B33" s="540">
        <f>'ET Forecast Capital Additions'!B32</f>
        <v>45952</v>
      </c>
      <c r="C33" s="112">
        <v>0</v>
      </c>
      <c r="D33" s="675">
        <v>0</v>
      </c>
      <c r="E33" s="6">
        <f t="shared" si="0"/>
        <v>0</v>
      </c>
      <c r="F33" s="178">
        <f t="shared" si="7"/>
        <v>0</v>
      </c>
      <c r="G33" s="233">
        <f t="shared" si="7"/>
        <v>0</v>
      </c>
      <c r="H33" s="128">
        <f t="shared" si="1"/>
        <v>0</v>
      </c>
      <c r="I33" s="52">
        <f t="shared" si="8"/>
        <v>0</v>
      </c>
      <c r="J33" s="233">
        <f t="shared" si="8"/>
        <v>0</v>
      </c>
      <c r="K33" s="6">
        <f t="shared" si="2"/>
        <v>0</v>
      </c>
      <c r="L33" s="242">
        <f>'ET Forecast Capital Additions'!$L32</f>
        <v>0.25</v>
      </c>
      <c r="M33" s="52">
        <f t="shared" si="3"/>
        <v>0</v>
      </c>
      <c r="N33" s="233">
        <f t="shared" si="4"/>
        <v>0</v>
      </c>
      <c r="O33" s="128">
        <f t="shared" si="5"/>
        <v>0</v>
      </c>
      <c r="P33" s="4">
        <f t="shared" si="9"/>
        <v>22</v>
      </c>
    </row>
    <row r="34" spans="1:18" x14ac:dyDescent="0.25">
      <c r="A34" s="4">
        <f t="shared" si="6"/>
        <v>23</v>
      </c>
      <c r="B34" s="540">
        <f>'ET Forecast Capital Additions'!B33</f>
        <v>45983</v>
      </c>
      <c r="C34" s="221">
        <v>0</v>
      </c>
      <c r="D34" s="675">
        <v>0</v>
      </c>
      <c r="E34" s="125">
        <f t="shared" si="0"/>
        <v>0</v>
      </c>
      <c r="F34" s="178">
        <f t="shared" si="7"/>
        <v>0</v>
      </c>
      <c r="G34" s="233">
        <f t="shared" si="7"/>
        <v>0</v>
      </c>
      <c r="H34" s="574">
        <f t="shared" si="1"/>
        <v>0</v>
      </c>
      <c r="I34" s="52">
        <f t="shared" si="8"/>
        <v>0</v>
      </c>
      <c r="J34" s="233">
        <f t="shared" si="8"/>
        <v>0</v>
      </c>
      <c r="K34" s="125">
        <f t="shared" si="2"/>
        <v>0</v>
      </c>
      <c r="L34" s="242">
        <f>'ET Forecast Capital Additions'!$L33</f>
        <v>0.16666666666666666</v>
      </c>
      <c r="M34" s="52">
        <f t="shared" si="3"/>
        <v>0</v>
      </c>
      <c r="N34" s="233">
        <f t="shared" si="4"/>
        <v>0</v>
      </c>
      <c r="O34" s="574">
        <f t="shared" si="5"/>
        <v>0</v>
      </c>
      <c r="P34" s="4">
        <f t="shared" si="9"/>
        <v>23</v>
      </c>
    </row>
    <row r="35" spans="1:18" ht="16.5" thickBot="1" x14ac:dyDescent="0.3">
      <c r="A35" s="4">
        <f t="shared" si="6"/>
        <v>24</v>
      </c>
      <c r="B35" s="540">
        <f>'ET Forecast Capital Additions'!B34</f>
        <v>46013</v>
      </c>
      <c r="C35" s="221">
        <v>0</v>
      </c>
      <c r="D35" s="675">
        <v>0</v>
      </c>
      <c r="E35" s="125">
        <f t="shared" si="0"/>
        <v>0</v>
      </c>
      <c r="F35" s="178">
        <f t="shared" si="7"/>
        <v>0</v>
      </c>
      <c r="G35" s="233">
        <f t="shared" si="7"/>
        <v>0</v>
      </c>
      <c r="H35" s="574">
        <f t="shared" si="1"/>
        <v>0</v>
      </c>
      <c r="I35" s="184">
        <f t="shared" si="8"/>
        <v>0</v>
      </c>
      <c r="J35" s="182">
        <f t="shared" si="8"/>
        <v>0</v>
      </c>
      <c r="K35" s="125">
        <f t="shared" si="2"/>
        <v>0</v>
      </c>
      <c r="L35" s="242">
        <f>'ET Forecast Capital Additions'!$L34</f>
        <v>8.3333333333333329E-2</v>
      </c>
      <c r="M35" s="184">
        <f t="shared" si="3"/>
        <v>0</v>
      </c>
      <c r="N35" s="182">
        <f t="shared" si="4"/>
        <v>0</v>
      </c>
      <c r="O35" s="574">
        <f t="shared" si="5"/>
        <v>0</v>
      </c>
      <c r="P35" s="4">
        <f t="shared" si="9"/>
        <v>24</v>
      </c>
      <c r="R35" s="428"/>
    </row>
    <row r="36" spans="1:18" ht="16.5" thickBot="1" x14ac:dyDescent="0.3">
      <c r="A36" s="4">
        <f t="shared" si="6"/>
        <v>25</v>
      </c>
      <c r="B36" s="542" t="s">
        <v>177</v>
      </c>
      <c r="C36" s="192">
        <f t="shared" ref="C36:K36" si="10">SUM(C12:C35)</f>
        <v>0</v>
      </c>
      <c r="D36" s="189">
        <f t="shared" si="10"/>
        <v>0</v>
      </c>
      <c r="E36" s="190">
        <f t="shared" si="10"/>
        <v>0</v>
      </c>
      <c r="F36" s="188">
        <f t="shared" si="10"/>
        <v>0</v>
      </c>
      <c r="G36" s="189">
        <f t="shared" si="10"/>
        <v>0</v>
      </c>
      <c r="H36" s="191">
        <f t="shared" si="10"/>
        <v>0</v>
      </c>
      <c r="I36" s="192">
        <f t="shared" si="10"/>
        <v>0</v>
      </c>
      <c r="J36" s="189">
        <f t="shared" si="10"/>
        <v>0</v>
      </c>
      <c r="K36" s="190">
        <f t="shared" si="10"/>
        <v>0</v>
      </c>
      <c r="L36" s="193"/>
      <c r="M36" s="192">
        <f>SUM(M12:M35)</f>
        <v>0</v>
      </c>
      <c r="N36" s="189">
        <f>SUM(N12:N35)</f>
        <v>0</v>
      </c>
      <c r="O36" s="191">
        <f>SUM(O12:O35)</f>
        <v>0</v>
      </c>
      <c r="P36" s="4">
        <f t="shared" si="9"/>
        <v>25</v>
      </c>
    </row>
    <row r="37" spans="1:18" x14ac:dyDescent="0.25">
      <c r="A37" s="4">
        <f>A36+1</f>
        <v>26</v>
      </c>
      <c r="B37" s="516"/>
      <c r="C37" s="6"/>
      <c r="D37" s="6"/>
      <c r="E37" s="543"/>
      <c r="H37" s="6"/>
      <c r="K37" s="6"/>
      <c r="O37" s="128"/>
      <c r="P37" s="4">
        <f>P36+1</f>
        <v>26</v>
      </c>
    </row>
    <row r="38" spans="1:18" s="414" customFormat="1" x14ac:dyDescent="0.25">
      <c r="A38" s="4">
        <f>A37+1</f>
        <v>27</v>
      </c>
      <c r="B38" s="544"/>
      <c r="E38" s="31" t="s">
        <v>1440</v>
      </c>
      <c r="F38" s="545"/>
      <c r="G38" s="545"/>
      <c r="H38" s="28">
        <f>'ET Forecast Capital Additions'!H37</f>
        <v>17819.405999999999</v>
      </c>
      <c r="I38" s="194"/>
      <c r="J38" s="31" t="str">
        <f>'ET Forecast Capital Additions'!J37</f>
        <v>Form 1; Page 204-207; Line 58; Col. d</v>
      </c>
      <c r="K38" s="194"/>
      <c r="O38" s="546"/>
      <c r="P38" s="4">
        <f>P37+1</f>
        <v>27</v>
      </c>
      <c r="Q38" s="31"/>
    </row>
    <row r="39" spans="1:18" s="414" customFormat="1" x14ac:dyDescent="0.25">
      <c r="A39" s="4">
        <f>A38+1</f>
        <v>28</v>
      </c>
      <c r="B39" s="544"/>
      <c r="E39" s="31"/>
      <c r="F39" s="545"/>
      <c r="G39" s="545"/>
      <c r="H39" s="6"/>
      <c r="I39" s="194"/>
      <c r="J39" s="31"/>
      <c r="K39" s="194"/>
      <c r="O39" s="546"/>
      <c r="P39" s="4">
        <f>P38+1</f>
        <v>28</v>
      </c>
    </row>
    <row r="40" spans="1:18" s="414" customFormat="1" x14ac:dyDescent="0.25">
      <c r="A40" s="4">
        <f t="shared" ref="A40:A47" si="11">A39+1</f>
        <v>29</v>
      </c>
      <c r="B40" s="544"/>
      <c r="E40" s="31" t="s">
        <v>1442</v>
      </c>
      <c r="F40" s="545"/>
      <c r="G40" s="545"/>
      <c r="H40" s="915">
        <f>'ET Forecast Capital Additions'!H39</f>
        <v>8390028.6160000004</v>
      </c>
      <c r="I40" s="194"/>
      <c r="J40" s="31" t="str">
        <f>'ET Forecast Capital Additions'!J39</f>
        <v>Form 1; Page 204-207; Line 58; Col. g</v>
      </c>
      <c r="K40" s="194"/>
      <c r="O40" s="546"/>
      <c r="P40" s="4">
        <f t="shared" ref="P40:P42" si="12">P39+1</f>
        <v>29</v>
      </c>
    </row>
    <row r="41" spans="1:18" ht="16.5" thickBot="1" x14ac:dyDescent="0.3">
      <c r="A41" s="4">
        <f t="shared" si="11"/>
        <v>30</v>
      </c>
      <c r="B41" s="516"/>
      <c r="E41" s="1"/>
      <c r="F41" s="1"/>
      <c r="G41" s="1"/>
      <c r="O41" s="381"/>
      <c r="P41" s="4">
        <f t="shared" si="12"/>
        <v>30</v>
      </c>
      <c r="Q41" s="414"/>
      <c r="R41" s="414"/>
    </row>
    <row r="42" spans="1:18" ht="16.5" thickBot="1" x14ac:dyDescent="0.3">
      <c r="A42" s="4">
        <f t="shared" si="11"/>
        <v>31</v>
      </c>
      <c r="B42" s="516"/>
      <c r="E42" s="1" t="s">
        <v>1444</v>
      </c>
      <c r="H42" s="195">
        <f>IFERROR(H38/H40,0)</f>
        <v>2.1238790492344607E-3</v>
      </c>
      <c r="J42" s="31" t="s">
        <v>1445</v>
      </c>
      <c r="K42" s="47"/>
      <c r="O42" s="381"/>
      <c r="P42" s="4">
        <f t="shared" si="12"/>
        <v>31</v>
      </c>
    </row>
    <row r="43" spans="1:18" ht="16.5" thickBot="1" x14ac:dyDescent="0.3">
      <c r="A43" s="4">
        <f t="shared" si="11"/>
        <v>32</v>
      </c>
      <c r="B43" s="547"/>
      <c r="C43" s="863"/>
      <c r="D43" s="863"/>
      <c r="E43" s="894"/>
      <c r="F43" s="863"/>
      <c r="G43" s="863"/>
      <c r="H43" s="1075"/>
      <c r="I43" s="863"/>
      <c r="J43" s="863"/>
      <c r="K43" s="863"/>
      <c r="L43" s="863"/>
      <c r="M43" s="863"/>
      <c r="N43" s="863"/>
      <c r="O43" s="196"/>
      <c r="P43" s="4">
        <f t="shared" si="9"/>
        <v>32</v>
      </c>
      <c r="Q43" s="414"/>
    </row>
    <row r="44" spans="1:18" ht="16.5" thickBot="1" x14ac:dyDescent="0.3">
      <c r="A44" s="4">
        <f t="shared" si="11"/>
        <v>33</v>
      </c>
      <c r="B44" s="516"/>
      <c r="E44" s="6"/>
      <c r="K44" s="6" t="s">
        <v>1</v>
      </c>
      <c r="M44" s="47"/>
      <c r="N44" s="47"/>
      <c r="O44" s="548"/>
      <c r="P44" s="4">
        <f t="shared" si="9"/>
        <v>33</v>
      </c>
      <c r="Q44" s="414"/>
    </row>
    <row r="45" spans="1:18" ht="16.5" thickBot="1" x14ac:dyDescent="0.3">
      <c r="A45" s="4">
        <f t="shared" si="11"/>
        <v>34</v>
      </c>
      <c r="B45" s="549"/>
      <c r="D45" s="251"/>
      <c r="E45" s="550"/>
      <c r="F45" s="1076"/>
      <c r="G45" s="1077"/>
      <c r="H45" s="1077" t="s">
        <v>1446</v>
      </c>
      <c r="I45" s="551" t="s">
        <v>1447</v>
      </c>
      <c r="J45" s="552" t="s">
        <v>1448</v>
      </c>
      <c r="K45" s="553" t="s">
        <v>1405</v>
      </c>
      <c r="L45" s="1"/>
      <c r="M45" s="554" t="s">
        <v>1408</v>
      </c>
      <c r="N45" s="555" t="s">
        <v>1409</v>
      </c>
      <c r="O45" s="556" t="s">
        <v>1449</v>
      </c>
      <c r="P45" s="4">
        <f t="shared" si="9"/>
        <v>34</v>
      </c>
      <c r="Q45" s="414"/>
    </row>
    <row r="46" spans="1:18" ht="16.5" thickBot="1" x14ac:dyDescent="0.3">
      <c r="A46" s="4">
        <f t="shared" si="11"/>
        <v>35</v>
      </c>
      <c r="B46" s="516"/>
      <c r="E46" s="557"/>
      <c r="F46" s="364"/>
      <c r="G46" s="558"/>
      <c r="H46" s="558" t="s">
        <v>1450</v>
      </c>
      <c r="I46" s="197">
        <f>+I36</f>
        <v>0</v>
      </c>
      <c r="J46" s="197">
        <f>+J36</f>
        <v>0</v>
      </c>
      <c r="K46" s="197">
        <f>+K36</f>
        <v>0</v>
      </c>
      <c r="L46" s="43"/>
      <c r="M46" s="197">
        <f>+M36</f>
        <v>0</v>
      </c>
      <c r="N46" s="197">
        <f>+N36</f>
        <v>0</v>
      </c>
      <c r="O46" s="197">
        <f>+O36</f>
        <v>0</v>
      </c>
      <c r="P46" s="4">
        <f t="shared" si="9"/>
        <v>35</v>
      </c>
    </row>
    <row r="47" spans="1:18" ht="16.5" thickTop="1" x14ac:dyDescent="0.25">
      <c r="A47" s="4">
        <f t="shared" si="11"/>
        <v>36</v>
      </c>
      <c r="B47" s="516"/>
      <c r="E47" s="516"/>
      <c r="G47" s="29"/>
      <c r="H47" s="29"/>
      <c r="I47" s="217"/>
      <c r="J47" s="217"/>
      <c r="K47" s="217"/>
      <c r="M47" s="217"/>
      <c r="N47" s="217"/>
      <c r="O47" s="217"/>
      <c r="P47" s="4">
        <f t="shared" si="9"/>
        <v>36</v>
      </c>
    </row>
    <row r="48" spans="1:18" ht="16.5" thickBot="1" x14ac:dyDescent="0.3">
      <c r="A48" s="4">
        <f>A47+1</f>
        <v>37</v>
      </c>
      <c r="B48" s="516"/>
      <c r="E48" s="516"/>
      <c r="G48" s="29"/>
      <c r="H48" s="472" t="s">
        <v>1451</v>
      </c>
      <c r="I48" s="201">
        <f>IFERROR((+I46/K46),0)</f>
        <v>0</v>
      </c>
      <c r="J48" s="201">
        <f>IFERROR((+J46/K46),0)</f>
        <v>0</v>
      </c>
      <c r="K48" s="201">
        <f>I48+J48</f>
        <v>0</v>
      </c>
      <c r="L48" s="1"/>
      <c r="M48" s="201">
        <f>IFERROR((+M46/O46),0)</f>
        <v>0</v>
      </c>
      <c r="N48" s="201">
        <f>IFERROR((+N46/O46),0)</f>
        <v>0</v>
      </c>
      <c r="O48" s="201">
        <f>M48+N48</f>
        <v>0</v>
      </c>
      <c r="P48" s="4">
        <f>P47+1</f>
        <v>37</v>
      </c>
    </row>
    <row r="49" spans="1:16" ht="17.25" thickTop="1" thickBot="1" x14ac:dyDescent="0.3">
      <c r="A49" s="4">
        <f t="shared" si="6"/>
        <v>38</v>
      </c>
      <c r="B49" s="515"/>
      <c r="E49" s="547"/>
      <c r="F49" s="863"/>
      <c r="G49" s="863"/>
      <c r="H49" s="863"/>
      <c r="I49" s="205"/>
      <c r="J49" s="205"/>
      <c r="K49" s="196"/>
      <c r="M49" s="206"/>
      <c r="N49" s="207"/>
      <c r="O49" s="196"/>
      <c r="P49" s="4">
        <f t="shared" si="9"/>
        <v>38</v>
      </c>
    </row>
    <row r="50" spans="1:16" ht="16.5" thickBot="1" x14ac:dyDescent="0.3">
      <c r="A50" s="4">
        <f t="shared" si="6"/>
        <v>39</v>
      </c>
      <c r="B50" s="520"/>
      <c r="C50" s="863"/>
      <c r="D50" s="863"/>
      <c r="E50" s="863"/>
      <c r="F50" s="863"/>
      <c r="G50" s="863"/>
      <c r="H50" s="863"/>
      <c r="I50" s="863"/>
      <c r="J50" s="863"/>
      <c r="K50" s="863"/>
      <c r="L50" s="863"/>
      <c r="M50" s="863"/>
      <c r="N50" s="863"/>
      <c r="O50" s="196"/>
      <c r="P50" s="4">
        <f t="shared" si="9"/>
        <v>39</v>
      </c>
    </row>
    <row r="51" spans="1:16" x14ac:dyDescent="0.25">
      <c r="B51" s="1"/>
    </row>
    <row r="52" spans="1:16" x14ac:dyDescent="0.25">
      <c r="B52" s="1"/>
    </row>
    <row r="53" spans="1:16" x14ac:dyDescent="0.25">
      <c r="B53" s="1"/>
    </row>
    <row r="54" spans="1:16" x14ac:dyDescent="0.25">
      <c r="B54" s="566"/>
      <c r="C54" s="6"/>
      <c r="D54" s="6"/>
      <c r="E54" s="6"/>
      <c r="F54" s="6"/>
      <c r="G54" s="6"/>
      <c r="H54" s="6"/>
      <c r="I54" s="6"/>
      <c r="J54" s="6"/>
      <c r="K54" s="6"/>
      <c r="L54" s="428"/>
      <c r="M54" s="6"/>
      <c r="N54" s="6"/>
      <c r="O54" s="6"/>
    </row>
    <row r="55" spans="1:16" x14ac:dyDescent="0.25">
      <c r="B55" s="566"/>
      <c r="C55" s="6"/>
      <c r="D55" s="6"/>
      <c r="E55" s="6"/>
      <c r="F55" s="6"/>
      <c r="G55" s="6"/>
      <c r="H55" s="6"/>
      <c r="I55" s="6"/>
      <c r="J55" s="6"/>
      <c r="K55" s="6"/>
      <c r="L55" s="428"/>
      <c r="M55" s="6"/>
      <c r="N55" s="6"/>
      <c r="O55" s="6"/>
    </row>
    <row r="56" spans="1:16" x14ac:dyDescent="0.25">
      <c r="B56" s="566"/>
      <c r="C56" s="6"/>
      <c r="D56" s="6"/>
      <c r="E56" s="6"/>
      <c r="F56" s="6"/>
      <c r="G56" s="6"/>
      <c r="H56" s="6"/>
      <c r="I56" s="6"/>
      <c r="J56" s="6"/>
      <c r="K56" s="6"/>
      <c r="L56" s="428"/>
      <c r="M56" s="6"/>
      <c r="N56" s="6"/>
      <c r="O56" s="6"/>
    </row>
    <row r="57" spans="1:16" x14ac:dyDescent="0.25">
      <c r="B57" s="566"/>
      <c r="C57" s="6"/>
      <c r="D57" s="6"/>
      <c r="E57" s="6"/>
      <c r="F57" s="6"/>
      <c r="G57" s="6"/>
      <c r="H57" s="6"/>
      <c r="I57" s="6"/>
      <c r="J57" s="6"/>
      <c r="K57" s="6"/>
      <c r="L57" s="428"/>
      <c r="M57" s="6"/>
      <c r="N57" s="6"/>
      <c r="O57" s="6"/>
    </row>
    <row r="58" spans="1:16" x14ac:dyDescent="0.25">
      <c r="B58" s="566"/>
      <c r="C58" s="6"/>
      <c r="D58" s="6"/>
      <c r="E58" s="6"/>
      <c r="F58" s="6"/>
      <c r="G58" s="6"/>
      <c r="H58" s="6"/>
      <c r="I58" s="6"/>
      <c r="J58" s="6"/>
      <c r="K58" s="6"/>
      <c r="L58" s="428"/>
      <c r="M58" s="6"/>
      <c r="N58" s="6"/>
      <c r="O58" s="6"/>
    </row>
    <row r="59" spans="1:16" x14ac:dyDescent="0.25">
      <c r="B59" s="566"/>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customProperties>
    <customPr name="_pios_id" r:id="rId2"/>
  </customPropertie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Normal="100" workbookViewId="0"/>
  </sheetViews>
  <sheetFormatPr defaultColWidth="8.7109375" defaultRowHeight="15.75" x14ac:dyDescent="0.25"/>
  <cols>
    <col min="1" max="1" width="5.28515625" style="4" customWidth="1"/>
    <col min="2" max="2" width="8.5703125" style="5" customWidth="1"/>
    <col min="3" max="11" width="15.7109375" style="5" customWidth="1"/>
    <col min="12" max="12" width="11.28515625" style="5" customWidth="1"/>
    <col min="13" max="15" width="15.7109375" style="5" customWidth="1"/>
    <col min="16" max="16" width="5.28515625" style="4" customWidth="1"/>
    <col min="17" max="16384" width="8.7109375" style="5"/>
  </cols>
  <sheetData>
    <row r="1" spans="1:16" x14ac:dyDescent="0.25">
      <c r="B1" s="31"/>
      <c r="C1" s="255"/>
      <c r="D1" s="31"/>
      <c r="E1" s="31"/>
      <c r="F1" s="31"/>
      <c r="G1" s="31"/>
      <c r="H1" s="31"/>
      <c r="I1" s="31"/>
      <c r="J1" s="31"/>
      <c r="K1" s="31"/>
      <c r="L1" s="31"/>
      <c r="M1" s="31"/>
      <c r="N1" s="31"/>
      <c r="O1" s="31"/>
    </row>
    <row r="2" spans="1:16" x14ac:dyDescent="0.25">
      <c r="B2" s="1294" t="s">
        <v>0</v>
      </c>
      <c r="C2" s="1294"/>
      <c r="D2" s="1294"/>
      <c r="E2" s="1294"/>
      <c r="F2" s="1294"/>
      <c r="G2" s="1294"/>
      <c r="H2" s="1294"/>
      <c r="I2" s="1294"/>
      <c r="J2" s="1294"/>
      <c r="K2" s="1294"/>
      <c r="L2" s="1294"/>
      <c r="M2" s="1294"/>
      <c r="N2" s="1294"/>
      <c r="O2" s="1294"/>
    </row>
    <row r="3" spans="1:16" x14ac:dyDescent="0.25">
      <c r="B3" s="1294" t="s">
        <v>1431</v>
      </c>
      <c r="C3" s="1294"/>
      <c r="D3" s="1294"/>
      <c r="E3" s="1294"/>
      <c r="F3" s="1294"/>
      <c r="G3" s="1294"/>
      <c r="H3" s="1294"/>
      <c r="I3" s="1294"/>
      <c r="J3" s="1294"/>
      <c r="K3" s="1294"/>
      <c r="L3" s="1294"/>
      <c r="M3" s="1294"/>
      <c r="N3" s="1294"/>
      <c r="O3" s="1294"/>
    </row>
    <row r="4" spans="1:16" x14ac:dyDescent="0.25">
      <c r="B4" s="1300" t="str">
        <f>'Summary of HV-LV Splits'!B4</f>
        <v>24-Month Forecast Period (January 1, 2024 - December 31, 2025)</v>
      </c>
      <c r="C4" s="1300"/>
      <c r="D4" s="1300"/>
      <c r="E4" s="1300"/>
      <c r="F4" s="1300"/>
      <c r="G4" s="1300"/>
      <c r="H4" s="1300"/>
      <c r="I4" s="1300"/>
      <c r="J4" s="1300"/>
      <c r="K4" s="1300"/>
      <c r="L4" s="1300"/>
      <c r="M4" s="1300"/>
      <c r="N4" s="1300"/>
      <c r="O4" s="1300"/>
    </row>
    <row r="5" spans="1:16" x14ac:dyDescent="0.25">
      <c r="B5" s="1294" t="s">
        <v>1457</v>
      </c>
      <c r="C5" s="1294"/>
      <c r="D5" s="1294"/>
      <c r="E5" s="1294"/>
      <c r="F5" s="1294"/>
      <c r="G5" s="1294"/>
      <c r="H5" s="1294"/>
      <c r="I5" s="1294"/>
      <c r="J5" s="1294"/>
      <c r="K5" s="1294"/>
      <c r="L5" s="1294"/>
      <c r="M5" s="1294"/>
      <c r="N5" s="1294"/>
      <c r="O5" s="1294"/>
    </row>
    <row r="6" spans="1:16" x14ac:dyDescent="0.25">
      <c r="B6" s="1294" t="s">
        <v>1459</v>
      </c>
      <c r="C6" s="1294"/>
      <c r="D6" s="1294"/>
      <c r="E6" s="1294"/>
      <c r="F6" s="1294"/>
      <c r="G6" s="1294"/>
      <c r="H6" s="1294"/>
      <c r="I6" s="1294"/>
      <c r="J6" s="1294"/>
      <c r="K6" s="1294"/>
      <c r="L6" s="1294"/>
      <c r="M6" s="1294"/>
      <c r="N6" s="1294"/>
      <c r="O6" s="1294"/>
    </row>
    <row r="7" spans="1:16" x14ac:dyDescent="0.25">
      <c r="B7" s="1325">
        <v>-1000</v>
      </c>
      <c r="C7" s="1325"/>
      <c r="D7" s="1325"/>
      <c r="E7" s="1325"/>
      <c r="F7" s="1325"/>
      <c r="G7" s="1325"/>
      <c r="H7" s="1325"/>
      <c r="I7" s="1325"/>
      <c r="J7" s="1325"/>
      <c r="K7" s="1325"/>
      <c r="L7" s="1325"/>
      <c r="M7" s="1325"/>
      <c r="N7" s="1325"/>
      <c r="O7" s="1325"/>
    </row>
    <row r="8" spans="1:16" ht="16.5" thickBot="1" x14ac:dyDescent="0.3">
      <c r="B8" s="31"/>
      <c r="C8" s="31"/>
      <c r="D8" s="31"/>
      <c r="E8" s="31"/>
      <c r="F8" s="31"/>
      <c r="G8" s="31"/>
      <c r="H8" s="31"/>
      <c r="I8" s="31"/>
      <c r="J8" s="31"/>
      <c r="K8" s="31"/>
      <c r="L8" s="31"/>
      <c r="M8" s="31"/>
      <c r="N8" s="31"/>
      <c r="O8" s="31"/>
    </row>
    <row r="9" spans="1:16" x14ac:dyDescent="0.25">
      <c r="A9" s="4" t="s">
        <v>5</v>
      </c>
      <c r="B9" s="231"/>
      <c r="C9" s="229" t="s">
        <v>1456</v>
      </c>
      <c r="D9" s="227"/>
      <c r="E9" s="230"/>
      <c r="F9" s="226" t="s">
        <v>1434</v>
      </c>
      <c r="G9" s="227"/>
      <c r="H9" s="228"/>
      <c r="I9" s="229" t="s">
        <v>1435</v>
      </c>
      <c r="J9" s="230"/>
      <c r="K9" s="567"/>
      <c r="L9" s="231" t="s">
        <v>1436</v>
      </c>
      <c r="M9" s="229" t="s">
        <v>1437</v>
      </c>
      <c r="N9" s="227"/>
      <c r="O9" s="228"/>
      <c r="P9" s="4" t="s">
        <v>5</v>
      </c>
    </row>
    <row r="10" spans="1:16" ht="16.5" thickBot="1" x14ac:dyDescent="0.3">
      <c r="A10" s="4" t="s">
        <v>6</v>
      </c>
      <c r="B10" s="530" t="s">
        <v>1438</v>
      </c>
      <c r="C10" s="535" t="s">
        <v>1406</v>
      </c>
      <c r="D10" s="532" t="s">
        <v>1407</v>
      </c>
      <c r="E10" s="533" t="s">
        <v>177</v>
      </c>
      <c r="F10" s="531" t="s">
        <v>1406</v>
      </c>
      <c r="G10" s="532" t="s">
        <v>1407</v>
      </c>
      <c r="H10" s="534" t="s">
        <v>177</v>
      </c>
      <c r="I10" s="535" t="s">
        <v>1406</v>
      </c>
      <c r="J10" s="532" t="s">
        <v>1407</v>
      </c>
      <c r="K10" s="533" t="s">
        <v>177</v>
      </c>
      <c r="L10" s="530" t="s">
        <v>1439</v>
      </c>
      <c r="M10" s="535" t="s">
        <v>1406</v>
      </c>
      <c r="N10" s="532" t="s">
        <v>1407</v>
      </c>
      <c r="O10" s="534" t="s">
        <v>177</v>
      </c>
      <c r="P10" s="4" t="s">
        <v>6</v>
      </c>
    </row>
    <row r="11" spans="1:16" x14ac:dyDescent="0.25">
      <c r="A11" s="218"/>
      <c r="B11" s="231"/>
      <c r="C11" s="218"/>
      <c r="D11" s="458"/>
      <c r="E11" s="218"/>
      <c r="F11" s="508"/>
      <c r="G11" s="458"/>
      <c r="H11" s="539"/>
      <c r="I11" s="218"/>
      <c r="J11" s="458"/>
      <c r="K11" s="218"/>
      <c r="L11" s="536"/>
      <c r="M11" s="218"/>
      <c r="N11" s="458"/>
      <c r="O11" s="539"/>
      <c r="P11" s="218"/>
    </row>
    <row r="12" spans="1:16" x14ac:dyDescent="0.25">
      <c r="A12" s="4">
        <v>1</v>
      </c>
      <c r="B12" s="540">
        <f>'ET Forecast Capital Additions'!B11</f>
        <v>45313</v>
      </c>
      <c r="C12" s="219">
        <v>0</v>
      </c>
      <c r="D12" s="674">
        <v>0</v>
      </c>
      <c r="E12" s="120">
        <f t="shared" ref="E12:E35" si="0">C12+D12</f>
        <v>0</v>
      </c>
      <c r="F12" s="176">
        <f>C12*$H$42</f>
        <v>0</v>
      </c>
      <c r="G12" s="232">
        <f>D12*$H$42</f>
        <v>0</v>
      </c>
      <c r="H12" s="220">
        <f t="shared" ref="H12:H35" si="1">F12+G12</f>
        <v>0</v>
      </c>
      <c r="I12" s="58">
        <f>C12-F12</f>
        <v>0</v>
      </c>
      <c r="J12" s="232">
        <f>D12-G12</f>
        <v>0</v>
      </c>
      <c r="K12" s="120">
        <f t="shared" ref="K12:K35" si="2">I12+J12</f>
        <v>0</v>
      </c>
      <c r="L12" s="242">
        <f>'ET Forecast Capital Additions'!$L11</f>
        <v>1</v>
      </c>
      <c r="M12" s="58">
        <f t="shared" ref="M12:M35" si="3">I12*L12</f>
        <v>0</v>
      </c>
      <c r="N12" s="232">
        <f t="shared" ref="N12:N35" si="4">J12*L12</f>
        <v>0</v>
      </c>
      <c r="O12" s="593">
        <f t="shared" ref="O12:O35" si="5">M12+N12</f>
        <v>0</v>
      </c>
      <c r="P12" s="4">
        <f>A12</f>
        <v>1</v>
      </c>
    </row>
    <row r="13" spans="1:16" x14ac:dyDescent="0.25">
      <c r="A13" s="4">
        <f t="shared" ref="A13:A50" si="6">A12+1</f>
        <v>2</v>
      </c>
      <c r="B13" s="540">
        <f>'ET Forecast Capital Additions'!B12</f>
        <v>45344</v>
      </c>
      <c r="C13" s="221">
        <v>0</v>
      </c>
      <c r="D13" s="675">
        <v>0</v>
      </c>
      <c r="E13" s="125">
        <f t="shared" si="0"/>
        <v>0</v>
      </c>
      <c r="F13" s="178">
        <f t="shared" ref="F13:G35" si="7">C13*$H$42</f>
        <v>0</v>
      </c>
      <c r="G13" s="233">
        <f t="shared" si="7"/>
        <v>0</v>
      </c>
      <c r="H13" s="128">
        <f t="shared" si="1"/>
        <v>0</v>
      </c>
      <c r="I13" s="52">
        <f t="shared" ref="I13:J35" si="8">C13-F13</f>
        <v>0</v>
      </c>
      <c r="J13" s="233">
        <f t="shared" si="8"/>
        <v>0</v>
      </c>
      <c r="K13" s="125">
        <f t="shared" si="2"/>
        <v>0</v>
      </c>
      <c r="L13" s="242">
        <f>'ET Forecast Capital Additions'!$L12</f>
        <v>1</v>
      </c>
      <c r="M13" s="52">
        <f t="shared" si="3"/>
        <v>0</v>
      </c>
      <c r="N13" s="233">
        <f t="shared" si="4"/>
        <v>0</v>
      </c>
      <c r="O13" s="574">
        <f t="shared" si="5"/>
        <v>0</v>
      </c>
      <c r="P13" s="4">
        <f t="shared" ref="P13:P50" si="9">P12+1</f>
        <v>2</v>
      </c>
    </row>
    <row r="14" spans="1:16" x14ac:dyDescent="0.25">
      <c r="A14" s="4">
        <f t="shared" si="6"/>
        <v>3</v>
      </c>
      <c r="B14" s="540">
        <f>'ET Forecast Capital Additions'!B13</f>
        <v>45373</v>
      </c>
      <c r="C14" s="221">
        <v>0</v>
      </c>
      <c r="D14" s="675">
        <v>0</v>
      </c>
      <c r="E14" s="125">
        <f t="shared" si="0"/>
        <v>0</v>
      </c>
      <c r="F14" s="178">
        <f t="shared" si="7"/>
        <v>0</v>
      </c>
      <c r="G14" s="233">
        <f t="shared" si="7"/>
        <v>0</v>
      </c>
      <c r="H14" s="128">
        <f t="shared" si="1"/>
        <v>0</v>
      </c>
      <c r="I14" s="52">
        <f t="shared" si="8"/>
        <v>0</v>
      </c>
      <c r="J14" s="233">
        <f t="shared" si="8"/>
        <v>0</v>
      </c>
      <c r="K14" s="125">
        <f t="shared" si="2"/>
        <v>0</v>
      </c>
      <c r="L14" s="242">
        <f>'ET Forecast Capital Additions'!$L13</f>
        <v>1</v>
      </c>
      <c r="M14" s="52">
        <f t="shared" si="3"/>
        <v>0</v>
      </c>
      <c r="N14" s="233">
        <f t="shared" si="4"/>
        <v>0</v>
      </c>
      <c r="O14" s="574">
        <f t="shared" si="5"/>
        <v>0</v>
      </c>
      <c r="P14" s="4">
        <f t="shared" si="9"/>
        <v>3</v>
      </c>
    </row>
    <row r="15" spans="1:16" ht="16.5" thickBot="1" x14ac:dyDescent="0.3">
      <c r="A15" s="4">
        <f t="shared" si="6"/>
        <v>4</v>
      </c>
      <c r="B15" s="541">
        <f>'ET Forecast Capital Additions'!B14</f>
        <v>45404</v>
      </c>
      <c r="C15" s="222">
        <v>0</v>
      </c>
      <c r="D15" s="208">
        <v>0</v>
      </c>
      <c r="E15" s="180">
        <f t="shared" si="0"/>
        <v>0</v>
      </c>
      <c r="F15" s="181">
        <f t="shared" si="7"/>
        <v>0</v>
      </c>
      <c r="G15" s="182">
        <f t="shared" si="7"/>
        <v>0</v>
      </c>
      <c r="H15" s="213">
        <f t="shared" si="1"/>
        <v>0</v>
      </c>
      <c r="I15" s="184">
        <f t="shared" si="8"/>
        <v>0</v>
      </c>
      <c r="J15" s="182">
        <f t="shared" si="8"/>
        <v>0</v>
      </c>
      <c r="K15" s="180">
        <f t="shared" si="2"/>
        <v>0</v>
      </c>
      <c r="L15" s="243">
        <f>'ET Forecast Capital Additions'!$L14</f>
        <v>1</v>
      </c>
      <c r="M15" s="184">
        <f t="shared" si="3"/>
        <v>0</v>
      </c>
      <c r="N15" s="182">
        <f t="shared" si="4"/>
        <v>0</v>
      </c>
      <c r="O15" s="183">
        <f t="shared" si="5"/>
        <v>0</v>
      </c>
      <c r="P15" s="4">
        <f t="shared" si="9"/>
        <v>4</v>
      </c>
    </row>
    <row r="16" spans="1:16" x14ac:dyDescent="0.25">
      <c r="A16" s="4">
        <f t="shared" si="6"/>
        <v>5</v>
      </c>
      <c r="B16" s="540">
        <f>'ET Forecast Capital Additions'!B15</f>
        <v>45434</v>
      </c>
      <c r="C16" s="223">
        <v>0</v>
      </c>
      <c r="D16" s="185">
        <v>0</v>
      </c>
      <c r="E16" s="123">
        <f t="shared" si="0"/>
        <v>0</v>
      </c>
      <c r="F16" s="186">
        <f t="shared" si="7"/>
        <v>0</v>
      </c>
      <c r="G16" s="129">
        <f t="shared" si="7"/>
        <v>0</v>
      </c>
      <c r="H16" s="224">
        <f t="shared" si="1"/>
        <v>0</v>
      </c>
      <c r="I16" s="52">
        <f t="shared" si="8"/>
        <v>0</v>
      </c>
      <c r="J16" s="233">
        <f t="shared" si="8"/>
        <v>0</v>
      </c>
      <c r="K16" s="123">
        <f t="shared" si="2"/>
        <v>0</v>
      </c>
      <c r="L16" s="244">
        <f>'ET Forecast Capital Additions'!$L15</f>
        <v>1</v>
      </c>
      <c r="M16" s="52">
        <f t="shared" si="3"/>
        <v>0</v>
      </c>
      <c r="N16" s="233">
        <f t="shared" si="4"/>
        <v>0</v>
      </c>
      <c r="O16" s="124">
        <f t="shared" si="5"/>
        <v>0</v>
      </c>
      <c r="P16" s="4">
        <f t="shared" si="9"/>
        <v>5</v>
      </c>
    </row>
    <row r="17" spans="1:16" x14ac:dyDescent="0.25">
      <c r="A17" s="4">
        <f t="shared" si="6"/>
        <v>6</v>
      </c>
      <c r="B17" s="540">
        <f>'ET Forecast Capital Additions'!B16</f>
        <v>45465</v>
      </c>
      <c r="C17" s="221">
        <v>0</v>
      </c>
      <c r="D17" s="675">
        <v>0</v>
      </c>
      <c r="E17" s="125">
        <f t="shared" si="0"/>
        <v>0</v>
      </c>
      <c r="F17" s="178">
        <f t="shared" si="7"/>
        <v>0</v>
      </c>
      <c r="G17" s="233">
        <f t="shared" si="7"/>
        <v>0</v>
      </c>
      <c r="H17" s="128">
        <f t="shared" si="1"/>
        <v>0</v>
      </c>
      <c r="I17" s="52">
        <f t="shared" si="8"/>
        <v>0</v>
      </c>
      <c r="J17" s="233">
        <f t="shared" si="8"/>
        <v>0</v>
      </c>
      <c r="K17" s="125">
        <f t="shared" si="2"/>
        <v>0</v>
      </c>
      <c r="L17" s="242">
        <f>'ET Forecast Capital Additions'!$L16</f>
        <v>1</v>
      </c>
      <c r="M17" s="52">
        <f t="shared" si="3"/>
        <v>0</v>
      </c>
      <c r="N17" s="233">
        <f t="shared" si="4"/>
        <v>0</v>
      </c>
      <c r="O17" s="574">
        <f t="shared" si="5"/>
        <v>0</v>
      </c>
      <c r="P17" s="4">
        <f t="shared" si="9"/>
        <v>6</v>
      </c>
    </row>
    <row r="18" spans="1:16" x14ac:dyDescent="0.25">
      <c r="A18" s="4">
        <f t="shared" si="6"/>
        <v>7</v>
      </c>
      <c r="B18" s="540">
        <f>'ET Forecast Capital Additions'!B17</f>
        <v>45495</v>
      </c>
      <c r="C18" s="221">
        <v>0</v>
      </c>
      <c r="D18" s="675">
        <v>0</v>
      </c>
      <c r="E18" s="125">
        <f t="shared" si="0"/>
        <v>0</v>
      </c>
      <c r="F18" s="178">
        <f t="shared" si="7"/>
        <v>0</v>
      </c>
      <c r="G18" s="233">
        <f t="shared" si="7"/>
        <v>0</v>
      </c>
      <c r="H18" s="128">
        <f t="shared" si="1"/>
        <v>0</v>
      </c>
      <c r="I18" s="52">
        <f t="shared" si="8"/>
        <v>0</v>
      </c>
      <c r="J18" s="233">
        <f t="shared" si="8"/>
        <v>0</v>
      </c>
      <c r="K18" s="125">
        <f t="shared" si="2"/>
        <v>0</v>
      </c>
      <c r="L18" s="242">
        <f>'ET Forecast Capital Additions'!$L17</f>
        <v>1</v>
      </c>
      <c r="M18" s="52">
        <f t="shared" si="3"/>
        <v>0</v>
      </c>
      <c r="N18" s="233">
        <f t="shared" si="4"/>
        <v>0</v>
      </c>
      <c r="O18" s="574">
        <f t="shared" si="5"/>
        <v>0</v>
      </c>
      <c r="P18" s="4">
        <f t="shared" si="9"/>
        <v>7</v>
      </c>
    </row>
    <row r="19" spans="1:16" ht="16.5" thickBot="1" x14ac:dyDescent="0.3">
      <c r="A19" s="4">
        <f t="shared" si="6"/>
        <v>8</v>
      </c>
      <c r="B19" s="541">
        <f>'ET Forecast Capital Additions'!B18</f>
        <v>45526</v>
      </c>
      <c r="C19" s="222">
        <v>0</v>
      </c>
      <c r="D19" s="208">
        <v>0</v>
      </c>
      <c r="E19" s="180">
        <f t="shared" si="0"/>
        <v>0</v>
      </c>
      <c r="F19" s="181">
        <f t="shared" si="7"/>
        <v>0</v>
      </c>
      <c r="G19" s="182">
        <f t="shared" si="7"/>
        <v>0</v>
      </c>
      <c r="H19" s="213">
        <f t="shared" si="1"/>
        <v>0</v>
      </c>
      <c r="I19" s="184">
        <f t="shared" si="8"/>
        <v>0</v>
      </c>
      <c r="J19" s="182">
        <f t="shared" si="8"/>
        <v>0</v>
      </c>
      <c r="K19" s="180">
        <f t="shared" si="2"/>
        <v>0</v>
      </c>
      <c r="L19" s="243">
        <f>'ET Forecast Capital Additions'!$L18</f>
        <v>1</v>
      </c>
      <c r="M19" s="184">
        <f t="shared" si="3"/>
        <v>0</v>
      </c>
      <c r="N19" s="182">
        <f t="shared" si="4"/>
        <v>0</v>
      </c>
      <c r="O19" s="183">
        <f t="shared" si="5"/>
        <v>0</v>
      </c>
      <c r="P19" s="4">
        <f t="shared" si="9"/>
        <v>8</v>
      </c>
    </row>
    <row r="20" spans="1:16" x14ac:dyDescent="0.25">
      <c r="A20" s="4">
        <f t="shared" si="6"/>
        <v>9</v>
      </c>
      <c r="B20" s="540">
        <f>'ET Forecast Capital Additions'!B19</f>
        <v>45557</v>
      </c>
      <c r="C20" s="223">
        <v>0</v>
      </c>
      <c r="D20" s="185">
        <v>0</v>
      </c>
      <c r="E20" s="123">
        <f t="shared" si="0"/>
        <v>0</v>
      </c>
      <c r="F20" s="186">
        <f t="shared" si="7"/>
        <v>0</v>
      </c>
      <c r="G20" s="129">
        <f t="shared" si="7"/>
        <v>0</v>
      </c>
      <c r="H20" s="224">
        <f t="shared" si="1"/>
        <v>0</v>
      </c>
      <c r="I20" s="52">
        <f t="shared" si="8"/>
        <v>0</v>
      </c>
      <c r="J20" s="233">
        <f t="shared" si="8"/>
        <v>0</v>
      </c>
      <c r="K20" s="123">
        <f t="shared" si="2"/>
        <v>0</v>
      </c>
      <c r="L20" s="244">
        <f>'ET Forecast Capital Additions'!$L19</f>
        <v>1</v>
      </c>
      <c r="M20" s="52">
        <f t="shared" si="3"/>
        <v>0</v>
      </c>
      <c r="N20" s="233">
        <f t="shared" si="4"/>
        <v>0</v>
      </c>
      <c r="O20" s="124">
        <f t="shared" si="5"/>
        <v>0</v>
      </c>
      <c r="P20" s="4">
        <f t="shared" si="9"/>
        <v>9</v>
      </c>
    </row>
    <row r="21" spans="1:16" x14ac:dyDescent="0.25">
      <c r="A21" s="4">
        <f t="shared" si="6"/>
        <v>10</v>
      </c>
      <c r="B21" s="540">
        <f>'ET Forecast Capital Additions'!B20</f>
        <v>45587</v>
      </c>
      <c r="C21" s="221">
        <v>0</v>
      </c>
      <c r="D21" s="675">
        <v>0</v>
      </c>
      <c r="E21" s="125">
        <f t="shared" si="0"/>
        <v>0</v>
      </c>
      <c r="F21" s="178">
        <f t="shared" si="7"/>
        <v>0</v>
      </c>
      <c r="G21" s="233">
        <f t="shared" si="7"/>
        <v>0</v>
      </c>
      <c r="H21" s="128">
        <f t="shared" si="1"/>
        <v>0</v>
      </c>
      <c r="I21" s="52">
        <f t="shared" si="8"/>
        <v>0</v>
      </c>
      <c r="J21" s="233">
        <f t="shared" si="8"/>
        <v>0</v>
      </c>
      <c r="K21" s="125">
        <f t="shared" si="2"/>
        <v>0</v>
      </c>
      <c r="L21" s="242">
        <f>'ET Forecast Capital Additions'!$L20</f>
        <v>1</v>
      </c>
      <c r="M21" s="52">
        <f t="shared" si="3"/>
        <v>0</v>
      </c>
      <c r="N21" s="233">
        <f t="shared" si="4"/>
        <v>0</v>
      </c>
      <c r="O21" s="574">
        <f t="shared" si="5"/>
        <v>0</v>
      </c>
      <c r="P21" s="4">
        <f t="shared" si="9"/>
        <v>10</v>
      </c>
    </row>
    <row r="22" spans="1:16" x14ac:dyDescent="0.25">
      <c r="A22" s="4">
        <f t="shared" si="6"/>
        <v>11</v>
      </c>
      <c r="B22" s="540">
        <f>'ET Forecast Capital Additions'!B21</f>
        <v>45618</v>
      </c>
      <c r="C22" s="112">
        <v>0</v>
      </c>
      <c r="D22" s="675">
        <v>0</v>
      </c>
      <c r="E22" s="6">
        <f t="shared" si="0"/>
        <v>0</v>
      </c>
      <c r="F22" s="178">
        <f t="shared" si="7"/>
        <v>0</v>
      </c>
      <c r="G22" s="233">
        <f t="shared" si="7"/>
        <v>0</v>
      </c>
      <c r="H22" s="128">
        <f t="shared" si="1"/>
        <v>0</v>
      </c>
      <c r="I22" s="52">
        <f t="shared" si="8"/>
        <v>0</v>
      </c>
      <c r="J22" s="233">
        <f t="shared" si="8"/>
        <v>0</v>
      </c>
      <c r="K22" s="6">
        <f t="shared" si="2"/>
        <v>0</v>
      </c>
      <c r="L22" s="242">
        <f>'ET Forecast Capital Additions'!$L21</f>
        <v>1</v>
      </c>
      <c r="M22" s="52">
        <f t="shared" si="3"/>
        <v>0</v>
      </c>
      <c r="N22" s="233">
        <f t="shared" si="4"/>
        <v>0</v>
      </c>
      <c r="O22" s="128">
        <f t="shared" si="5"/>
        <v>0</v>
      </c>
      <c r="P22" s="4">
        <f t="shared" si="9"/>
        <v>11</v>
      </c>
    </row>
    <row r="23" spans="1:16" ht="16.5" thickBot="1" x14ac:dyDescent="0.3">
      <c r="A23" s="4">
        <f t="shared" si="6"/>
        <v>12</v>
      </c>
      <c r="B23" s="541">
        <f>'ET Forecast Capital Additions'!B22</f>
        <v>45648</v>
      </c>
      <c r="C23" s="222">
        <v>0</v>
      </c>
      <c r="D23" s="208">
        <v>0</v>
      </c>
      <c r="E23" s="180">
        <f t="shared" si="0"/>
        <v>0</v>
      </c>
      <c r="F23" s="181">
        <f t="shared" si="7"/>
        <v>0</v>
      </c>
      <c r="G23" s="182">
        <f t="shared" si="7"/>
        <v>0</v>
      </c>
      <c r="H23" s="213">
        <f t="shared" si="1"/>
        <v>0</v>
      </c>
      <c r="I23" s="184">
        <f t="shared" si="8"/>
        <v>0</v>
      </c>
      <c r="J23" s="182">
        <f t="shared" si="8"/>
        <v>0</v>
      </c>
      <c r="K23" s="180">
        <f t="shared" si="2"/>
        <v>0</v>
      </c>
      <c r="L23" s="243">
        <f>'ET Forecast Capital Additions'!$L22</f>
        <v>1</v>
      </c>
      <c r="M23" s="184">
        <f t="shared" si="3"/>
        <v>0</v>
      </c>
      <c r="N23" s="182">
        <f t="shared" si="4"/>
        <v>0</v>
      </c>
      <c r="O23" s="183">
        <f t="shared" si="5"/>
        <v>0</v>
      </c>
      <c r="P23" s="4">
        <f t="shared" si="9"/>
        <v>12</v>
      </c>
    </row>
    <row r="24" spans="1:16" x14ac:dyDescent="0.25">
      <c r="A24" s="4">
        <f t="shared" si="6"/>
        <v>13</v>
      </c>
      <c r="B24" s="540">
        <f>'ET Forecast Capital Additions'!B23</f>
        <v>45679</v>
      </c>
      <c r="C24" s="223">
        <v>0</v>
      </c>
      <c r="D24" s="185">
        <v>0</v>
      </c>
      <c r="E24" s="123">
        <f t="shared" si="0"/>
        <v>0</v>
      </c>
      <c r="F24" s="178">
        <f t="shared" si="7"/>
        <v>0</v>
      </c>
      <c r="G24" s="233">
        <f t="shared" si="7"/>
        <v>0</v>
      </c>
      <c r="H24" s="224">
        <f t="shared" si="1"/>
        <v>0</v>
      </c>
      <c r="I24" s="52">
        <f t="shared" si="8"/>
        <v>0</v>
      </c>
      <c r="J24" s="233">
        <f t="shared" si="8"/>
        <v>0</v>
      </c>
      <c r="K24" s="123">
        <f t="shared" si="2"/>
        <v>0</v>
      </c>
      <c r="L24" s="244">
        <f>'ET Forecast Capital Additions'!$L23</f>
        <v>1</v>
      </c>
      <c r="M24" s="52">
        <f t="shared" si="3"/>
        <v>0</v>
      </c>
      <c r="N24" s="233">
        <f t="shared" si="4"/>
        <v>0</v>
      </c>
      <c r="O24" s="124">
        <f t="shared" si="5"/>
        <v>0</v>
      </c>
      <c r="P24" s="4">
        <f t="shared" si="9"/>
        <v>13</v>
      </c>
    </row>
    <row r="25" spans="1:16" x14ac:dyDescent="0.25">
      <c r="A25" s="4">
        <f t="shared" si="6"/>
        <v>14</v>
      </c>
      <c r="B25" s="540">
        <f>'ET Forecast Capital Additions'!B24</f>
        <v>45710</v>
      </c>
      <c r="C25" s="221">
        <v>0</v>
      </c>
      <c r="D25" s="675">
        <v>0</v>
      </c>
      <c r="E25" s="125">
        <f t="shared" si="0"/>
        <v>0</v>
      </c>
      <c r="F25" s="178">
        <f t="shared" si="7"/>
        <v>0</v>
      </c>
      <c r="G25" s="233">
        <f t="shared" si="7"/>
        <v>0</v>
      </c>
      <c r="H25" s="128">
        <f t="shared" si="1"/>
        <v>0</v>
      </c>
      <c r="I25" s="52">
        <f t="shared" si="8"/>
        <v>0</v>
      </c>
      <c r="J25" s="233">
        <f t="shared" si="8"/>
        <v>0</v>
      </c>
      <c r="K25" s="125">
        <f t="shared" si="2"/>
        <v>0</v>
      </c>
      <c r="L25" s="242">
        <f>'ET Forecast Capital Additions'!$L24</f>
        <v>0.91666666666666663</v>
      </c>
      <c r="M25" s="52">
        <f t="shared" si="3"/>
        <v>0</v>
      </c>
      <c r="N25" s="233">
        <f t="shared" si="4"/>
        <v>0</v>
      </c>
      <c r="O25" s="574">
        <f t="shared" si="5"/>
        <v>0</v>
      </c>
      <c r="P25" s="4">
        <f t="shared" si="9"/>
        <v>14</v>
      </c>
    </row>
    <row r="26" spans="1:16" x14ac:dyDescent="0.25">
      <c r="A26" s="4">
        <f t="shared" si="6"/>
        <v>15</v>
      </c>
      <c r="B26" s="540">
        <f>'ET Forecast Capital Additions'!B25</f>
        <v>45738</v>
      </c>
      <c r="C26" s="221">
        <v>0</v>
      </c>
      <c r="D26" s="675">
        <v>0</v>
      </c>
      <c r="E26" s="125">
        <f t="shared" si="0"/>
        <v>0</v>
      </c>
      <c r="F26" s="178">
        <f t="shared" si="7"/>
        <v>0</v>
      </c>
      <c r="G26" s="233">
        <f t="shared" si="7"/>
        <v>0</v>
      </c>
      <c r="H26" s="128">
        <f t="shared" si="1"/>
        <v>0</v>
      </c>
      <c r="I26" s="52">
        <f t="shared" si="8"/>
        <v>0</v>
      </c>
      <c r="J26" s="233">
        <f t="shared" si="8"/>
        <v>0</v>
      </c>
      <c r="K26" s="125">
        <f t="shared" si="2"/>
        <v>0</v>
      </c>
      <c r="L26" s="242">
        <f>'ET Forecast Capital Additions'!$L25</f>
        <v>0.83333333333333337</v>
      </c>
      <c r="M26" s="52">
        <f t="shared" si="3"/>
        <v>0</v>
      </c>
      <c r="N26" s="233">
        <f t="shared" si="4"/>
        <v>0</v>
      </c>
      <c r="O26" s="574">
        <f t="shared" si="5"/>
        <v>0</v>
      </c>
      <c r="P26" s="4">
        <f t="shared" si="9"/>
        <v>15</v>
      </c>
    </row>
    <row r="27" spans="1:16" ht="16.5" thickBot="1" x14ac:dyDescent="0.3">
      <c r="A27" s="4">
        <f t="shared" si="6"/>
        <v>16</v>
      </c>
      <c r="B27" s="541">
        <f>'ET Forecast Capital Additions'!B26</f>
        <v>45769</v>
      </c>
      <c r="C27" s="222">
        <v>0</v>
      </c>
      <c r="D27" s="208">
        <v>0</v>
      </c>
      <c r="E27" s="180">
        <f t="shared" si="0"/>
        <v>0</v>
      </c>
      <c r="F27" s="181">
        <f t="shared" si="7"/>
        <v>0</v>
      </c>
      <c r="G27" s="182">
        <f t="shared" si="7"/>
        <v>0</v>
      </c>
      <c r="H27" s="213">
        <f t="shared" si="1"/>
        <v>0</v>
      </c>
      <c r="I27" s="184">
        <f t="shared" si="8"/>
        <v>0</v>
      </c>
      <c r="J27" s="182">
        <f t="shared" si="8"/>
        <v>0</v>
      </c>
      <c r="K27" s="180">
        <f t="shared" si="2"/>
        <v>0</v>
      </c>
      <c r="L27" s="243">
        <f>'ET Forecast Capital Additions'!$L26</f>
        <v>0.75</v>
      </c>
      <c r="M27" s="184">
        <f t="shared" si="3"/>
        <v>0</v>
      </c>
      <c r="N27" s="182">
        <f t="shared" si="4"/>
        <v>0</v>
      </c>
      <c r="O27" s="183">
        <f t="shared" si="5"/>
        <v>0</v>
      </c>
      <c r="P27" s="4">
        <f t="shared" si="9"/>
        <v>16</v>
      </c>
    </row>
    <row r="28" spans="1:16" x14ac:dyDescent="0.25">
      <c r="A28" s="4">
        <f t="shared" si="6"/>
        <v>17</v>
      </c>
      <c r="B28" s="540">
        <f>'ET Forecast Capital Additions'!B27</f>
        <v>45799</v>
      </c>
      <c r="C28" s="112">
        <v>0</v>
      </c>
      <c r="D28" s="675">
        <v>0</v>
      </c>
      <c r="E28" s="6">
        <f t="shared" si="0"/>
        <v>0</v>
      </c>
      <c r="F28" s="178">
        <f t="shared" si="7"/>
        <v>0</v>
      </c>
      <c r="G28" s="233">
        <f t="shared" si="7"/>
        <v>0</v>
      </c>
      <c r="H28" s="128">
        <f t="shared" si="1"/>
        <v>0</v>
      </c>
      <c r="I28" s="52">
        <f t="shared" si="8"/>
        <v>0</v>
      </c>
      <c r="J28" s="233">
        <f t="shared" si="8"/>
        <v>0</v>
      </c>
      <c r="K28" s="6">
        <f t="shared" si="2"/>
        <v>0</v>
      </c>
      <c r="L28" s="244">
        <f>'ET Forecast Capital Additions'!$L27</f>
        <v>0.66666666666666663</v>
      </c>
      <c r="M28" s="52">
        <f t="shared" si="3"/>
        <v>0</v>
      </c>
      <c r="N28" s="233">
        <f t="shared" si="4"/>
        <v>0</v>
      </c>
      <c r="O28" s="128">
        <f t="shared" si="5"/>
        <v>0</v>
      </c>
      <c r="P28" s="4">
        <f t="shared" si="9"/>
        <v>17</v>
      </c>
    </row>
    <row r="29" spans="1:16" x14ac:dyDescent="0.25">
      <c r="A29" s="4">
        <f t="shared" si="6"/>
        <v>18</v>
      </c>
      <c r="B29" s="540">
        <f>'ET Forecast Capital Additions'!B28</f>
        <v>45830</v>
      </c>
      <c r="C29" s="221">
        <v>0</v>
      </c>
      <c r="D29" s="675">
        <v>0</v>
      </c>
      <c r="E29" s="125">
        <f t="shared" si="0"/>
        <v>0</v>
      </c>
      <c r="F29" s="178">
        <f t="shared" si="7"/>
        <v>0</v>
      </c>
      <c r="G29" s="233">
        <f t="shared" si="7"/>
        <v>0</v>
      </c>
      <c r="H29" s="128">
        <f t="shared" si="1"/>
        <v>0</v>
      </c>
      <c r="I29" s="52">
        <f t="shared" si="8"/>
        <v>0</v>
      </c>
      <c r="J29" s="233">
        <f t="shared" si="8"/>
        <v>0</v>
      </c>
      <c r="K29" s="125">
        <f t="shared" si="2"/>
        <v>0</v>
      </c>
      <c r="L29" s="242">
        <f>'ET Forecast Capital Additions'!$L28</f>
        <v>0.58333333333333337</v>
      </c>
      <c r="M29" s="52">
        <f t="shared" si="3"/>
        <v>0</v>
      </c>
      <c r="N29" s="233">
        <f t="shared" si="4"/>
        <v>0</v>
      </c>
      <c r="O29" s="574">
        <f t="shared" si="5"/>
        <v>0</v>
      </c>
      <c r="P29" s="4">
        <f t="shared" si="9"/>
        <v>18</v>
      </c>
    </row>
    <row r="30" spans="1:16" x14ac:dyDescent="0.25">
      <c r="A30" s="4">
        <f t="shared" si="6"/>
        <v>19</v>
      </c>
      <c r="B30" s="540">
        <f>'ET Forecast Capital Additions'!B29</f>
        <v>45860</v>
      </c>
      <c r="C30" s="221">
        <v>0</v>
      </c>
      <c r="D30" s="675">
        <v>0</v>
      </c>
      <c r="E30" s="125">
        <f t="shared" si="0"/>
        <v>0</v>
      </c>
      <c r="F30" s="178">
        <f t="shared" si="7"/>
        <v>0</v>
      </c>
      <c r="G30" s="233">
        <f t="shared" si="7"/>
        <v>0</v>
      </c>
      <c r="H30" s="128">
        <f t="shared" si="1"/>
        <v>0</v>
      </c>
      <c r="I30" s="52">
        <f t="shared" si="8"/>
        <v>0</v>
      </c>
      <c r="J30" s="233">
        <f t="shared" si="8"/>
        <v>0</v>
      </c>
      <c r="K30" s="125">
        <f t="shared" si="2"/>
        <v>0</v>
      </c>
      <c r="L30" s="242">
        <f>'ET Forecast Capital Additions'!$L29</f>
        <v>0.5</v>
      </c>
      <c r="M30" s="52">
        <f t="shared" si="3"/>
        <v>0</v>
      </c>
      <c r="N30" s="233">
        <f t="shared" si="4"/>
        <v>0</v>
      </c>
      <c r="O30" s="574">
        <f t="shared" si="5"/>
        <v>0</v>
      </c>
      <c r="P30" s="4">
        <f t="shared" si="9"/>
        <v>19</v>
      </c>
    </row>
    <row r="31" spans="1:16" ht="16.5" thickBot="1" x14ac:dyDescent="0.3">
      <c r="A31" s="4">
        <f t="shared" si="6"/>
        <v>20</v>
      </c>
      <c r="B31" s="541">
        <f>'ET Forecast Capital Additions'!B30</f>
        <v>45891</v>
      </c>
      <c r="C31" s="222">
        <v>0</v>
      </c>
      <c r="D31" s="208">
        <v>0</v>
      </c>
      <c r="E31" s="180">
        <f t="shared" si="0"/>
        <v>0</v>
      </c>
      <c r="F31" s="181">
        <f t="shared" si="7"/>
        <v>0</v>
      </c>
      <c r="G31" s="182">
        <f t="shared" si="7"/>
        <v>0</v>
      </c>
      <c r="H31" s="213">
        <f t="shared" si="1"/>
        <v>0</v>
      </c>
      <c r="I31" s="184">
        <f t="shared" si="8"/>
        <v>0</v>
      </c>
      <c r="J31" s="182">
        <f t="shared" si="8"/>
        <v>0</v>
      </c>
      <c r="K31" s="180">
        <f t="shared" si="2"/>
        <v>0</v>
      </c>
      <c r="L31" s="243">
        <f>'ET Forecast Capital Additions'!$L30</f>
        <v>0.41666666666666669</v>
      </c>
      <c r="M31" s="184">
        <f t="shared" si="3"/>
        <v>0</v>
      </c>
      <c r="N31" s="182">
        <f t="shared" si="4"/>
        <v>0</v>
      </c>
      <c r="O31" s="183">
        <f t="shared" si="5"/>
        <v>0</v>
      </c>
      <c r="P31" s="4">
        <f t="shared" si="9"/>
        <v>20</v>
      </c>
    </row>
    <row r="32" spans="1:16" x14ac:dyDescent="0.25">
      <c r="A32" s="4">
        <f t="shared" si="6"/>
        <v>21</v>
      </c>
      <c r="B32" s="540">
        <f>'ET Forecast Capital Additions'!B31</f>
        <v>45922</v>
      </c>
      <c r="C32" s="221">
        <v>0</v>
      </c>
      <c r="D32" s="675">
        <v>0</v>
      </c>
      <c r="E32" s="125">
        <f t="shared" si="0"/>
        <v>0</v>
      </c>
      <c r="F32" s="178">
        <f t="shared" si="7"/>
        <v>0</v>
      </c>
      <c r="G32" s="233">
        <f t="shared" si="7"/>
        <v>0</v>
      </c>
      <c r="H32" s="128">
        <f t="shared" si="1"/>
        <v>0</v>
      </c>
      <c r="I32" s="52">
        <f t="shared" si="8"/>
        <v>0</v>
      </c>
      <c r="J32" s="233">
        <f t="shared" si="8"/>
        <v>0</v>
      </c>
      <c r="K32" s="125">
        <f t="shared" si="2"/>
        <v>0</v>
      </c>
      <c r="L32" s="244">
        <f>'ET Forecast Capital Additions'!$L31</f>
        <v>0.33333333333333331</v>
      </c>
      <c r="M32" s="52">
        <f t="shared" si="3"/>
        <v>0</v>
      </c>
      <c r="N32" s="233">
        <f t="shared" si="4"/>
        <v>0</v>
      </c>
      <c r="O32" s="574">
        <f t="shared" si="5"/>
        <v>0</v>
      </c>
      <c r="P32" s="4">
        <f t="shared" si="9"/>
        <v>21</v>
      </c>
    </row>
    <row r="33" spans="1:18" x14ac:dyDescent="0.25">
      <c r="A33" s="4">
        <f t="shared" si="6"/>
        <v>22</v>
      </c>
      <c r="B33" s="540">
        <f>'ET Forecast Capital Additions'!B32</f>
        <v>45952</v>
      </c>
      <c r="C33" s="112">
        <v>0</v>
      </c>
      <c r="D33" s="675">
        <v>0</v>
      </c>
      <c r="E33" s="6">
        <f t="shared" si="0"/>
        <v>0</v>
      </c>
      <c r="F33" s="178">
        <f t="shared" si="7"/>
        <v>0</v>
      </c>
      <c r="G33" s="233">
        <f t="shared" si="7"/>
        <v>0</v>
      </c>
      <c r="H33" s="128">
        <f t="shared" si="1"/>
        <v>0</v>
      </c>
      <c r="I33" s="52">
        <f t="shared" si="8"/>
        <v>0</v>
      </c>
      <c r="J33" s="233">
        <f t="shared" si="8"/>
        <v>0</v>
      </c>
      <c r="K33" s="6">
        <f t="shared" si="2"/>
        <v>0</v>
      </c>
      <c r="L33" s="242">
        <f>'ET Forecast Capital Additions'!$L32</f>
        <v>0.25</v>
      </c>
      <c r="M33" s="52">
        <f t="shared" si="3"/>
        <v>0</v>
      </c>
      <c r="N33" s="233">
        <f t="shared" si="4"/>
        <v>0</v>
      </c>
      <c r="O33" s="128">
        <f t="shared" si="5"/>
        <v>0</v>
      </c>
      <c r="P33" s="4">
        <f t="shared" si="9"/>
        <v>22</v>
      </c>
    </row>
    <row r="34" spans="1:18" x14ac:dyDescent="0.25">
      <c r="A34" s="4">
        <f t="shared" si="6"/>
        <v>23</v>
      </c>
      <c r="B34" s="540">
        <f>'ET Forecast Capital Additions'!B33</f>
        <v>45983</v>
      </c>
      <c r="C34" s="221">
        <v>0</v>
      </c>
      <c r="D34" s="675">
        <v>0</v>
      </c>
      <c r="E34" s="125">
        <f t="shared" si="0"/>
        <v>0</v>
      </c>
      <c r="F34" s="178">
        <f t="shared" si="7"/>
        <v>0</v>
      </c>
      <c r="G34" s="233">
        <f t="shared" si="7"/>
        <v>0</v>
      </c>
      <c r="H34" s="128">
        <f t="shared" si="1"/>
        <v>0</v>
      </c>
      <c r="I34" s="52">
        <f t="shared" si="8"/>
        <v>0</v>
      </c>
      <c r="J34" s="233">
        <f t="shared" si="8"/>
        <v>0</v>
      </c>
      <c r="K34" s="125">
        <f t="shared" si="2"/>
        <v>0</v>
      </c>
      <c r="L34" s="242">
        <f>'ET Forecast Capital Additions'!$L33</f>
        <v>0.16666666666666666</v>
      </c>
      <c r="M34" s="52">
        <f t="shared" si="3"/>
        <v>0</v>
      </c>
      <c r="N34" s="233">
        <f t="shared" si="4"/>
        <v>0</v>
      </c>
      <c r="O34" s="574">
        <f t="shared" si="5"/>
        <v>0</v>
      </c>
      <c r="P34" s="4">
        <f t="shared" si="9"/>
        <v>23</v>
      </c>
    </row>
    <row r="35" spans="1:18" ht="16.5" thickBot="1" x14ac:dyDescent="0.3">
      <c r="A35" s="4">
        <f t="shared" si="6"/>
        <v>24</v>
      </c>
      <c r="B35" s="540">
        <f>'ET Forecast Capital Additions'!B34</f>
        <v>46013</v>
      </c>
      <c r="C35" s="221">
        <v>0</v>
      </c>
      <c r="D35" s="675">
        <v>0</v>
      </c>
      <c r="E35" s="125">
        <f t="shared" si="0"/>
        <v>0</v>
      </c>
      <c r="F35" s="178">
        <f t="shared" si="7"/>
        <v>0</v>
      </c>
      <c r="G35" s="233">
        <f t="shared" si="7"/>
        <v>0</v>
      </c>
      <c r="H35" s="574">
        <f t="shared" si="1"/>
        <v>0</v>
      </c>
      <c r="I35" s="184">
        <f t="shared" si="8"/>
        <v>0</v>
      </c>
      <c r="J35" s="182">
        <f t="shared" si="8"/>
        <v>0</v>
      </c>
      <c r="K35" s="125">
        <f t="shared" si="2"/>
        <v>0</v>
      </c>
      <c r="L35" s="242">
        <f>'ET Forecast Capital Additions'!$L34</f>
        <v>8.3333333333333329E-2</v>
      </c>
      <c r="M35" s="184">
        <f t="shared" si="3"/>
        <v>0</v>
      </c>
      <c r="N35" s="182">
        <f t="shared" si="4"/>
        <v>0</v>
      </c>
      <c r="O35" s="574">
        <f t="shared" si="5"/>
        <v>0</v>
      </c>
      <c r="P35" s="4">
        <f t="shared" si="9"/>
        <v>24</v>
      </c>
    </row>
    <row r="36" spans="1:18" ht="16.5" thickBot="1" x14ac:dyDescent="0.3">
      <c r="A36" s="4">
        <f t="shared" si="6"/>
        <v>25</v>
      </c>
      <c r="B36" s="542" t="s">
        <v>177</v>
      </c>
      <c r="C36" s="192">
        <f t="shared" ref="C36:K36" si="10">SUM(C12:C35)</f>
        <v>0</v>
      </c>
      <c r="D36" s="189">
        <f t="shared" si="10"/>
        <v>0</v>
      </c>
      <c r="E36" s="190">
        <f t="shared" si="10"/>
        <v>0</v>
      </c>
      <c r="F36" s="188">
        <f t="shared" si="10"/>
        <v>0</v>
      </c>
      <c r="G36" s="189">
        <f t="shared" si="10"/>
        <v>0</v>
      </c>
      <c r="H36" s="191">
        <f t="shared" si="10"/>
        <v>0</v>
      </c>
      <c r="I36" s="192">
        <f t="shared" si="10"/>
        <v>0</v>
      </c>
      <c r="J36" s="189">
        <f t="shared" si="10"/>
        <v>0</v>
      </c>
      <c r="K36" s="190">
        <f t="shared" si="10"/>
        <v>0</v>
      </c>
      <c r="L36" s="193"/>
      <c r="M36" s="192">
        <f>SUM(M12:M35)</f>
        <v>0</v>
      </c>
      <c r="N36" s="189">
        <f>SUM(N12:N35)</f>
        <v>0</v>
      </c>
      <c r="O36" s="191">
        <f>SUM(O12:O35)</f>
        <v>0</v>
      </c>
      <c r="P36" s="4">
        <f t="shared" si="9"/>
        <v>25</v>
      </c>
    </row>
    <row r="37" spans="1:18" x14ac:dyDescent="0.25">
      <c r="A37" s="4">
        <f>A36+1</f>
        <v>26</v>
      </c>
      <c r="B37" s="516"/>
      <c r="C37" s="6"/>
      <c r="D37" s="6"/>
      <c r="E37" s="543"/>
      <c r="F37" s="31"/>
      <c r="G37" s="31"/>
      <c r="H37" s="6"/>
      <c r="I37" s="31"/>
      <c r="J37" s="31"/>
      <c r="K37" s="6"/>
      <c r="L37" s="31"/>
      <c r="M37" s="31"/>
      <c r="N37" s="31"/>
      <c r="O37" s="128"/>
      <c r="P37" s="4">
        <f>P36+1</f>
        <v>26</v>
      </c>
      <c r="Q37" s="31"/>
      <c r="R37" s="31"/>
    </row>
    <row r="38" spans="1:18" s="414" customFormat="1" x14ac:dyDescent="0.25">
      <c r="A38" s="4">
        <f>A37+1</f>
        <v>27</v>
      </c>
      <c r="B38" s="544"/>
      <c r="E38" s="31" t="s">
        <v>1440</v>
      </c>
      <c r="F38" s="545"/>
      <c r="G38" s="545"/>
      <c r="H38" s="28">
        <f>'ET Forecast Capital Additions'!H37</f>
        <v>17819.405999999999</v>
      </c>
      <c r="I38" s="194"/>
      <c r="J38" s="31" t="str">
        <f>'ET Forecast Capital Additions'!J37</f>
        <v>Form 1; Page 204-207; Line 58; Col. d</v>
      </c>
      <c r="O38" s="546"/>
      <c r="P38" s="4">
        <f>P37+1</f>
        <v>27</v>
      </c>
      <c r="Q38" s="31"/>
    </row>
    <row r="39" spans="1:18" s="414" customFormat="1" x14ac:dyDescent="0.25">
      <c r="A39" s="4">
        <f>A38+1</f>
        <v>28</v>
      </c>
      <c r="B39" s="544"/>
      <c r="E39" s="31"/>
      <c r="F39" s="545"/>
      <c r="G39" s="545"/>
      <c r="H39" s="6"/>
      <c r="I39" s="194"/>
      <c r="J39" s="31"/>
      <c r="O39" s="546"/>
      <c r="P39" s="4">
        <f>P38+1</f>
        <v>28</v>
      </c>
    </row>
    <row r="40" spans="1:18" s="414" customFormat="1" x14ac:dyDescent="0.25">
      <c r="A40" s="4">
        <f t="shared" ref="A40:A42" si="11">A39+1</f>
        <v>29</v>
      </c>
      <c r="B40" s="544"/>
      <c r="E40" s="31" t="s">
        <v>1442</v>
      </c>
      <c r="F40" s="545"/>
      <c r="G40" s="545"/>
      <c r="H40" s="915">
        <f>'ET Forecast Capital Additions'!H39</f>
        <v>8390028.6160000004</v>
      </c>
      <c r="I40" s="194"/>
      <c r="J40" s="31" t="str">
        <f>'ET Forecast Capital Additions'!J39</f>
        <v>Form 1; Page 204-207; Line 58; Col. g</v>
      </c>
      <c r="O40" s="546"/>
      <c r="P40" s="4">
        <f t="shared" ref="P40:P47" si="12">P39+1</f>
        <v>29</v>
      </c>
    </row>
    <row r="41" spans="1:18" s="31" customFormat="1" ht="16.5" thickBot="1" x14ac:dyDescent="0.3">
      <c r="A41" s="4">
        <f t="shared" si="11"/>
        <v>30</v>
      </c>
      <c r="B41" s="516"/>
      <c r="E41" s="1"/>
      <c r="F41" s="1"/>
      <c r="G41" s="1"/>
      <c r="O41" s="381"/>
      <c r="P41" s="4">
        <f t="shared" si="12"/>
        <v>30</v>
      </c>
      <c r="Q41" s="414"/>
      <c r="R41" s="414"/>
    </row>
    <row r="42" spans="1:18" ht="16.5" thickBot="1" x14ac:dyDescent="0.3">
      <c r="A42" s="4">
        <f t="shared" si="11"/>
        <v>31</v>
      </c>
      <c r="B42" s="516"/>
      <c r="C42" s="31"/>
      <c r="D42" s="31"/>
      <c r="E42" s="1" t="s">
        <v>1444</v>
      </c>
      <c r="F42" s="31"/>
      <c r="G42" s="31"/>
      <c r="H42" s="195">
        <f>IFERROR(H38/H40,0)</f>
        <v>2.1238790492344607E-3</v>
      </c>
      <c r="I42" s="31"/>
      <c r="J42" s="31" t="s">
        <v>1445</v>
      </c>
      <c r="K42" s="47"/>
      <c r="L42" s="31"/>
      <c r="M42" s="31"/>
      <c r="N42" s="31"/>
      <c r="O42" s="381"/>
      <c r="P42" s="4">
        <f t="shared" si="12"/>
        <v>31</v>
      </c>
      <c r="Q42" s="31"/>
      <c r="R42" s="31"/>
    </row>
    <row r="43" spans="1:18" ht="16.5" thickBot="1" x14ac:dyDescent="0.3">
      <c r="A43" s="4">
        <f t="shared" si="6"/>
        <v>32</v>
      </c>
      <c r="B43" s="547"/>
      <c r="C43" s="863"/>
      <c r="D43" s="863"/>
      <c r="E43" s="894"/>
      <c r="F43" s="863"/>
      <c r="G43" s="863"/>
      <c r="H43" s="1075"/>
      <c r="I43" s="863"/>
      <c r="J43" s="863"/>
      <c r="K43" s="863"/>
      <c r="L43" s="863"/>
      <c r="M43" s="863"/>
      <c r="N43" s="863"/>
      <c r="O43" s="196"/>
      <c r="P43" s="4">
        <f t="shared" si="12"/>
        <v>32</v>
      </c>
      <c r="Q43" s="414"/>
      <c r="R43" s="31"/>
    </row>
    <row r="44" spans="1:18" ht="16.5" thickBot="1" x14ac:dyDescent="0.3">
      <c r="A44" s="4">
        <f t="shared" si="6"/>
        <v>33</v>
      </c>
      <c r="B44" s="516"/>
      <c r="C44" s="31"/>
      <c r="D44" s="31"/>
      <c r="E44" s="6"/>
      <c r="F44" s="31"/>
      <c r="G44" s="31"/>
      <c r="H44" s="31"/>
      <c r="I44" s="31"/>
      <c r="J44" s="31"/>
      <c r="K44" s="6" t="s">
        <v>1</v>
      </c>
      <c r="L44" s="31"/>
      <c r="M44" s="47"/>
      <c r="N44" s="47"/>
      <c r="O44" s="548"/>
      <c r="P44" s="4">
        <f t="shared" si="12"/>
        <v>33</v>
      </c>
      <c r="Q44" s="414"/>
      <c r="R44" s="31"/>
    </row>
    <row r="45" spans="1:18" ht="16.5" thickBot="1" x14ac:dyDescent="0.3">
      <c r="A45" s="4">
        <f t="shared" si="6"/>
        <v>34</v>
      </c>
      <c r="B45" s="549"/>
      <c r="C45" s="31"/>
      <c r="D45" s="251"/>
      <c r="E45" s="550"/>
      <c r="F45" s="1076"/>
      <c r="G45" s="1077"/>
      <c r="H45" s="1077" t="s">
        <v>1446</v>
      </c>
      <c r="I45" s="551" t="s">
        <v>1447</v>
      </c>
      <c r="J45" s="552" t="s">
        <v>1448</v>
      </c>
      <c r="K45" s="553" t="s">
        <v>1405</v>
      </c>
      <c r="L45" s="1"/>
      <c r="M45" s="554" t="s">
        <v>1408</v>
      </c>
      <c r="N45" s="555" t="s">
        <v>1409</v>
      </c>
      <c r="O45" s="556" t="s">
        <v>1449</v>
      </c>
      <c r="P45" s="4">
        <f t="shared" si="12"/>
        <v>34</v>
      </c>
      <c r="Q45" s="414"/>
      <c r="R45" s="31"/>
    </row>
    <row r="46" spans="1:18" ht="16.5" thickBot="1" x14ac:dyDescent="0.3">
      <c r="A46" s="4">
        <f t="shared" si="6"/>
        <v>35</v>
      </c>
      <c r="B46" s="516"/>
      <c r="C46" s="31"/>
      <c r="D46" s="31"/>
      <c r="E46" s="557"/>
      <c r="F46" s="364"/>
      <c r="G46" s="558"/>
      <c r="H46" s="558" t="s">
        <v>1450</v>
      </c>
      <c r="I46" s="197">
        <f>+I36</f>
        <v>0</v>
      </c>
      <c r="J46" s="197">
        <f>+J36</f>
        <v>0</v>
      </c>
      <c r="K46" s="197">
        <f>+K36</f>
        <v>0</v>
      </c>
      <c r="L46" s="43"/>
      <c r="M46" s="197">
        <f>+M36</f>
        <v>0</v>
      </c>
      <c r="N46" s="197">
        <f>+N36</f>
        <v>0</v>
      </c>
      <c r="O46" s="197">
        <f>+O36</f>
        <v>0</v>
      </c>
      <c r="P46" s="4">
        <f t="shared" si="12"/>
        <v>35</v>
      </c>
      <c r="Q46" s="31"/>
      <c r="R46" s="31"/>
    </row>
    <row r="47" spans="1:18" ht="16.5" thickTop="1" x14ac:dyDescent="0.25">
      <c r="A47" s="4">
        <f t="shared" si="6"/>
        <v>36</v>
      </c>
      <c r="B47" s="516"/>
      <c r="C47" s="31"/>
      <c r="D47" s="31"/>
      <c r="E47" s="516"/>
      <c r="F47" s="31"/>
      <c r="G47" s="29"/>
      <c r="H47" s="29"/>
      <c r="I47" s="217"/>
      <c r="J47" s="217"/>
      <c r="K47" s="217"/>
      <c r="L47" s="31"/>
      <c r="M47" s="217"/>
      <c r="N47" s="217"/>
      <c r="O47" s="217"/>
      <c r="P47" s="4">
        <f t="shared" si="12"/>
        <v>36</v>
      </c>
      <c r="Q47" s="31"/>
      <c r="R47" s="31"/>
    </row>
    <row r="48" spans="1:18" ht="16.5" thickBot="1" x14ac:dyDescent="0.3">
      <c r="A48" s="4">
        <f>A47+1</f>
        <v>37</v>
      </c>
      <c r="B48" s="516"/>
      <c r="C48" s="31"/>
      <c r="D48" s="31"/>
      <c r="E48" s="516"/>
      <c r="F48" s="31"/>
      <c r="G48" s="29"/>
      <c r="H48" s="472" t="s">
        <v>1451</v>
      </c>
      <c r="I48" s="201">
        <f>IFERROR((+I46/K46),0)</f>
        <v>0</v>
      </c>
      <c r="J48" s="201">
        <f>IFERROR((+J46/K46),0)</f>
        <v>0</v>
      </c>
      <c r="K48" s="201">
        <f>I48+J48</f>
        <v>0</v>
      </c>
      <c r="L48" s="1"/>
      <c r="M48" s="201">
        <f>IFERROR((+M46/O46),0)</f>
        <v>0</v>
      </c>
      <c r="N48" s="201">
        <f>IFERROR((+N46/O46),0)</f>
        <v>0</v>
      </c>
      <c r="O48" s="201">
        <f>M48+N48</f>
        <v>0</v>
      </c>
      <c r="P48" s="4">
        <f>P47+1</f>
        <v>37</v>
      </c>
      <c r="Q48" s="31"/>
      <c r="R48" s="31"/>
    </row>
    <row r="49" spans="1:18" ht="17.25" thickTop="1" thickBot="1" x14ac:dyDescent="0.3">
      <c r="A49" s="4">
        <f t="shared" si="6"/>
        <v>38</v>
      </c>
      <c r="B49" s="515"/>
      <c r="C49" s="31"/>
      <c r="D49" s="31"/>
      <c r="E49" s="547"/>
      <c r="F49" s="863"/>
      <c r="G49" s="863"/>
      <c r="H49" s="863"/>
      <c r="I49" s="205"/>
      <c r="J49" s="205"/>
      <c r="K49" s="196"/>
      <c r="L49" s="31"/>
      <c r="M49" s="206"/>
      <c r="N49" s="207"/>
      <c r="O49" s="196"/>
      <c r="P49" s="4">
        <f t="shared" si="9"/>
        <v>38</v>
      </c>
      <c r="Q49" s="31"/>
      <c r="R49" s="31"/>
    </row>
    <row r="50" spans="1:18" ht="16.5" thickBot="1" x14ac:dyDescent="0.3">
      <c r="A50" s="4">
        <f t="shared" si="6"/>
        <v>39</v>
      </c>
      <c r="B50" s="520"/>
      <c r="C50" s="863"/>
      <c r="D50" s="863"/>
      <c r="E50" s="863"/>
      <c r="F50" s="863"/>
      <c r="G50" s="863"/>
      <c r="H50" s="863"/>
      <c r="I50" s="863"/>
      <c r="J50" s="863"/>
      <c r="K50" s="863"/>
      <c r="L50" s="863"/>
      <c r="M50" s="863"/>
      <c r="N50" s="863"/>
      <c r="O50" s="196"/>
      <c r="P50" s="4">
        <f t="shared" si="9"/>
        <v>39</v>
      </c>
      <c r="R50" s="31"/>
    </row>
    <row r="51" spans="1:18" x14ac:dyDescent="0.25">
      <c r="B51" s="1"/>
      <c r="C51" s="31"/>
      <c r="D51" s="31"/>
      <c r="E51" s="31"/>
      <c r="F51" s="31"/>
      <c r="G51" s="31"/>
      <c r="H51" s="31"/>
      <c r="I51" s="31"/>
      <c r="J51" s="31"/>
      <c r="K51" s="31"/>
      <c r="L51" s="31"/>
      <c r="M51" s="31"/>
      <c r="N51" s="31"/>
      <c r="O51" s="31"/>
    </row>
    <row r="52" spans="1:18" x14ac:dyDescent="0.25">
      <c r="B52" s="1"/>
      <c r="C52" s="31"/>
      <c r="D52" s="31"/>
      <c r="E52" s="31"/>
      <c r="F52" s="31"/>
      <c r="G52" s="31"/>
      <c r="H52" s="31"/>
      <c r="I52" s="31"/>
      <c r="J52" s="31"/>
      <c r="K52" s="31"/>
      <c r="L52" s="31"/>
      <c r="M52" s="31"/>
      <c r="N52" s="31"/>
      <c r="O52" s="31"/>
    </row>
    <row r="53" spans="1:18" x14ac:dyDescent="0.25">
      <c r="B53" s="1"/>
      <c r="C53" s="31"/>
      <c r="D53" s="31"/>
      <c r="E53" s="31"/>
      <c r="F53" s="31"/>
      <c r="G53" s="31"/>
      <c r="H53" s="31"/>
      <c r="I53" s="31"/>
      <c r="J53" s="31"/>
      <c r="K53" s="31"/>
      <c r="L53" s="31"/>
      <c r="M53" s="31"/>
      <c r="N53" s="31"/>
      <c r="O53" s="31"/>
    </row>
    <row r="54" spans="1:18" x14ac:dyDescent="0.25">
      <c r="B54" s="566"/>
      <c r="C54" s="6"/>
      <c r="D54" s="6"/>
      <c r="E54" s="6"/>
      <c r="F54" s="6"/>
      <c r="G54" s="6"/>
      <c r="H54" s="6"/>
      <c r="I54" s="6"/>
      <c r="J54" s="6"/>
      <c r="K54" s="6"/>
      <c r="L54" s="428"/>
      <c r="M54" s="6"/>
      <c r="N54" s="6"/>
      <c r="O54" s="6"/>
    </row>
    <row r="55" spans="1:18" x14ac:dyDescent="0.25">
      <c r="B55" s="566"/>
      <c r="C55" s="6"/>
      <c r="D55" s="6"/>
      <c r="E55" s="6"/>
      <c r="F55" s="6"/>
      <c r="G55" s="6"/>
      <c r="H55" s="6"/>
      <c r="I55" s="6"/>
      <c r="J55" s="6"/>
      <c r="K55" s="6"/>
      <c r="L55" s="428"/>
      <c r="M55" s="6"/>
      <c r="N55" s="6"/>
      <c r="O55" s="6"/>
    </row>
    <row r="56" spans="1:18" x14ac:dyDescent="0.25">
      <c r="B56" s="566"/>
      <c r="C56" s="6"/>
      <c r="D56" s="6"/>
      <c r="E56" s="6"/>
      <c r="F56" s="6"/>
      <c r="G56" s="6"/>
      <c r="H56" s="6"/>
      <c r="I56" s="6"/>
      <c r="J56" s="6"/>
      <c r="K56" s="6"/>
      <c r="L56" s="428"/>
      <c r="M56" s="6"/>
      <c r="N56" s="6"/>
      <c r="O56" s="6"/>
    </row>
    <row r="57" spans="1:18" x14ac:dyDescent="0.25">
      <c r="B57" s="566"/>
      <c r="C57" s="6"/>
      <c r="D57" s="6"/>
      <c r="E57" s="6"/>
      <c r="F57" s="6"/>
      <c r="G57" s="6"/>
      <c r="H57" s="6"/>
      <c r="I57" s="6"/>
      <c r="J57" s="6"/>
      <c r="K57" s="6"/>
      <c r="L57" s="428"/>
      <c r="M57" s="6"/>
      <c r="N57" s="6"/>
      <c r="O57" s="6"/>
    </row>
    <row r="58" spans="1:18" x14ac:dyDescent="0.25">
      <c r="B58" s="566"/>
      <c r="C58" s="6"/>
      <c r="D58" s="6"/>
      <c r="E58" s="6"/>
      <c r="F58" s="6"/>
      <c r="G58" s="6"/>
      <c r="H58" s="6"/>
      <c r="I58" s="6"/>
      <c r="J58" s="6"/>
      <c r="K58" s="6"/>
      <c r="L58" s="428"/>
      <c r="M58" s="6"/>
      <c r="N58" s="6"/>
      <c r="O58" s="6"/>
    </row>
    <row r="59" spans="1:18" x14ac:dyDescent="0.25">
      <c r="B59" s="566"/>
      <c r="C59" s="31"/>
      <c r="D59" s="31"/>
      <c r="E59" s="31"/>
      <c r="F59" s="31"/>
      <c r="G59" s="31"/>
      <c r="H59" s="31"/>
      <c r="I59" s="31"/>
      <c r="J59" s="31"/>
      <c r="K59" s="31"/>
      <c r="L59" s="31"/>
      <c r="M59" s="31"/>
      <c r="N59" s="31"/>
      <c r="O59" s="31"/>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C66BA30F6EC541B9CEB3D9AC6A7FD3" ma:contentTypeVersion="4" ma:contentTypeDescription="Create a new document." ma:contentTypeScope="" ma:versionID="e771938ab00236982f99d2b4820e74ca">
  <xsd:schema xmlns:xsd="http://www.w3.org/2001/XMLSchema" xmlns:xs="http://www.w3.org/2001/XMLSchema" xmlns:p="http://schemas.microsoft.com/office/2006/metadata/properties" xmlns:ns2="2402e27d-cbdc-4559-a5c7-f7461c001834" targetNamespace="http://schemas.microsoft.com/office/2006/metadata/properties" ma:root="true" ma:fieldsID="412d9caf41c8aede63add79f91b5de69" ns2:_="">
    <xsd:import namespace="2402e27d-cbdc-4559-a5c7-f7461c0018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27d-cbdc-4559-a5c7-f7461c001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http://www.w3.org/XML/1998/namespace"/>
    <ds:schemaRef ds:uri="http://purl.org/dc/elements/1.1/"/>
    <ds:schemaRef ds:uri="http://schemas.microsoft.com/office/2006/documentManagement/types"/>
    <ds:schemaRef ds:uri="2402e27d-cbdc-4559-a5c7-f7461c001834"/>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B13E8B2-8055-43E7-90D2-B0D8F1A58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27d-cbdc-4559-a5c7-f7461c0018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8</vt:i4>
      </vt:variant>
    </vt:vector>
  </HeadingPairs>
  <TitlesOfParts>
    <vt:vector size="107" baseType="lpstr">
      <vt:lpstr>BK-1 BTRR - EU</vt:lpstr>
      <vt:lpstr>BK-2 BTRR - CAISO</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AL-1.1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Misc.-2</vt:lpstr>
      <vt:lpstr>Order 864-1</vt:lpstr>
      <vt:lpstr>Order 864-2</vt:lpstr>
      <vt:lpstr>Order 864-3</vt:lpstr>
      <vt:lpstr>Order 864-4</vt:lpstr>
      <vt:lpstr>True-Up</vt:lpstr>
      <vt:lpstr>TO5 True-up</vt:lpstr>
      <vt:lpstr>TO5 True-Up BK-1</vt:lpstr>
      <vt:lpstr>TO5 Stmt AF Proration</vt:lpstr>
      <vt:lpstr>True Up Stmt AD</vt:lpstr>
      <vt:lpstr>True-Up Stmt AE</vt:lpstr>
      <vt:lpstr>True-Up Stmt AH</vt:lpstr>
      <vt:lpstr>True-up Stmt AH-1</vt:lpstr>
      <vt:lpstr>True-Up AH-2</vt:lpstr>
      <vt:lpstr>True-Up Stmt AI</vt:lpstr>
      <vt:lpstr>True-Up Stmt AJ</vt:lpstr>
      <vt:lpstr>True-Up Stmt AK</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BTRR - EU'!Print_Area</vt:lpstr>
      <vt:lpstr>'BK-2 BTRR - CAISO'!Print_Area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Pham, Jenny L.</cp:lastModifiedBy>
  <cp:revision/>
  <cp:lastPrinted>2026-03-21T06:50:31Z</cp:lastPrinted>
  <dcterms:created xsi:type="dcterms:W3CDTF">2016-08-29T13:22:03Z</dcterms:created>
  <dcterms:modified xsi:type="dcterms:W3CDTF">2026-03-21T06:59:12Z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0x010100B2C66BA30F6EC541B9CEB3D9AC6A7FD3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