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customProperty23.bin" ContentType="application/vnd.openxmlformats-officedocument.spreadsheetml.customProperty"/>
  <Override PartName="/xl/customProperty24.bin" ContentType="application/vnd.openxmlformats-officedocument.spreadsheetml.customProperty"/>
  <Override PartName="/xl/customProperty25.bin" ContentType="application/vnd.openxmlformats-officedocument.spreadsheetml.customProperty"/>
  <Override PartName="/xl/customProperty26.bin" ContentType="application/vnd.openxmlformats-officedocument.spreadsheetml.customProperty"/>
  <Override PartName="/xl/customProperty27.bin" ContentType="application/vnd.openxmlformats-officedocument.spreadsheetml.customProperty"/>
  <Override PartName="/xl/customProperty28.bin" ContentType="application/vnd.openxmlformats-officedocument.spreadsheetml.customProperty"/>
  <Override PartName="/xl/customProperty29.bin" ContentType="application/vnd.openxmlformats-officedocument.spreadsheetml.customProperty"/>
  <Override PartName="/xl/customProperty30.bin" ContentType="application/vnd.openxmlformats-officedocument.spreadsheetml.customProperty"/>
  <Override PartName="/xl/customProperty31.bin" ContentType="application/vnd.openxmlformats-officedocument.spreadsheetml.customProperty"/>
  <Override PartName="/xl/customProperty32.bin" ContentType="application/vnd.openxmlformats-officedocument.spreadsheetml.customProperty"/>
  <Override PartName="/xl/customProperty33.bin" ContentType="application/vnd.openxmlformats-officedocument.spreadsheetml.customProperty"/>
  <Override PartName="/xl/customProperty34.bin" ContentType="application/vnd.openxmlformats-officedocument.spreadsheetml.customProperty"/>
  <Override PartName="/xl/customProperty35.bin" ContentType="application/vnd.openxmlformats-officedocument.spreadsheetml.customProperty"/>
  <Override PartName="/xl/customProperty36.bin" ContentType="application/vnd.openxmlformats-officedocument.spreadsheetml.customProperty"/>
  <Override PartName="/xl/customProperty37.bin" ContentType="application/vnd.openxmlformats-officedocument.spreadsheetml.customProperty"/>
  <Override PartName="/xl/customProperty38.bin" ContentType="application/vnd.openxmlformats-officedocument.spreadsheetml.customProperty"/>
  <Override PartName="/xl/customProperty39.bin" ContentType="application/vnd.openxmlformats-officedocument.spreadsheetml.customProperty"/>
  <Override PartName="/xl/customProperty40.bin" ContentType="application/vnd.openxmlformats-officedocument.spreadsheetml.customProperty"/>
  <Override PartName="/xl/customProperty41.bin" ContentType="application/vnd.openxmlformats-officedocument.spreadsheetml.customProperty"/>
  <Override PartName="/xl/customProperty42.bin" ContentType="application/vnd.openxmlformats-officedocument.spreadsheetml.customProperty"/>
  <Override PartName="/xl/customProperty43.bin" ContentType="application/vnd.openxmlformats-officedocument.spreadsheetml.customProperty"/>
  <Override PartName="/xl/customProperty44.bin" ContentType="application/vnd.openxmlformats-officedocument.spreadsheetml.customProperty"/>
  <Override PartName="/xl/customProperty45.bin" ContentType="application/vnd.openxmlformats-officedocument.spreadsheetml.customProperty"/>
  <Override PartName="/xl/customProperty46.bin" ContentType="application/vnd.openxmlformats-officedocument.spreadsheetml.customProperty"/>
  <Override PartName="/xl/customProperty47.bin" ContentType="application/vnd.openxmlformats-officedocument.spreadsheetml.customProperty"/>
  <Override PartName="/xl/customProperty48.bin" ContentType="application/vnd.openxmlformats-officedocument.spreadsheetml.customProperty"/>
  <Override PartName="/xl/customProperty49.bin" ContentType="application/vnd.openxmlformats-officedocument.spreadsheetml.customProperty"/>
  <Override PartName="/xl/drawings/drawing1.xml" ContentType="application/vnd.openxmlformats-officedocument.drawing+xml"/>
  <Override PartName="/xl/customProperty50.bin" ContentType="application/vnd.openxmlformats-officedocument.spreadsheetml.customProperty"/>
  <Override PartName="/xl/customProperty51.bin" ContentType="application/vnd.openxmlformats-officedocument.spreadsheetml.customProperty"/>
  <Override PartName="/xl/customProperty52.bin" ContentType="application/vnd.openxmlformats-officedocument.spreadsheetml.customProperty"/>
  <Override PartName="/xl/customProperty53.bin" ContentType="application/vnd.openxmlformats-officedocument.spreadsheetml.customProperty"/>
  <Override PartName="/xl/customProperty54.bin" ContentType="application/vnd.openxmlformats-officedocument.spreadsheetml.customProperty"/>
  <Override PartName="/xl/customProperty55.bin" ContentType="application/vnd.openxmlformats-officedocument.spreadsheetml.customProperty"/>
  <Override PartName="/xl/drawings/drawing2.xml" ContentType="application/vnd.openxmlformats-officedocument.drawing+xml"/>
  <Override PartName="/xl/customProperty56.bin" ContentType="application/vnd.openxmlformats-officedocument.spreadsheetml.customProperty"/>
  <Override PartName="/xl/customProperty57.bin" ContentType="application/vnd.openxmlformats-officedocument.spreadsheetml.customProperty"/>
  <Override PartName="/xl/customProperty58.bin" ContentType="application/vnd.openxmlformats-officedocument.spreadsheetml.customProperty"/>
  <Override PartName="/xl/customProperty59.bin" ContentType="application/vnd.openxmlformats-officedocument.spreadsheetml.customProperty"/>
  <Override PartName="/xl/customProperty60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Citizens/SX-PQ/Cycle 7 Annual Filing/SX-PQ Cycle 7 Oct Filing/"/>
    </mc:Choice>
  </mc:AlternateContent>
  <xr:revisionPtr revIDLastSave="5" documentId="8_{AC53E64D-4945-447A-B6C0-E0A1DEB92074}" xr6:coauthVersionLast="47" xr6:coauthVersionMax="47" xr10:uidLastSave="{A059F46A-1099-4EAC-882F-1C12C65EED8C}"/>
  <bookViews>
    <workbookView xWindow="28680" yWindow="3660" windowWidth="20730" windowHeight="11160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6 Invoice Summary" sheetId="154" r:id="rId6"/>
    <sheet name="D2. Sec.4 - C5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#REF!</definedName>
    <definedName name="__123Graph_A" localSheetId="38" hidden="1">#REF!</definedName>
    <definedName name="__123Graph_A" localSheetId="53" hidden="1">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48" hidden="1">#REF!</definedName>
    <definedName name="__123Graph_A" localSheetId="54" hidden="1">#REF!</definedName>
    <definedName name="__123Graph_A" localSheetId="58" hidden="1">#REF!</definedName>
    <definedName name="__123Graph_A" hidden="1">#REF!</definedName>
    <definedName name="__123Graph_AGraph2" localSheetId="34" hidden="1">#REF!</definedName>
    <definedName name="__123Graph_AGraph2" localSheetId="38" hidden="1">#REF!</definedName>
    <definedName name="__123Graph_AGraph2" localSheetId="53" hidden="1">#REF!</definedName>
    <definedName name="__123Graph_AGraph2" localSheetId="4" hidden="1">#REF!</definedName>
    <definedName name="__123Graph_AGraph2" localSheetId="5" hidden="1">#REF!</definedName>
    <definedName name="__123Graph_AGraph2" localSheetId="58" hidden="1">#REF!</definedName>
    <definedName name="__123Graph_AGraph2" hidden="1">#REF!</definedName>
    <definedName name="__123Graph_AGraph4" localSheetId="34" hidden="1">#REF!</definedName>
    <definedName name="__123Graph_AGraph4" localSheetId="38" hidden="1">#REF!</definedName>
    <definedName name="__123Graph_AGraph4" localSheetId="53" hidden="1">#REF!</definedName>
    <definedName name="__123Graph_AGraph4" localSheetId="4" hidden="1">#REF!</definedName>
    <definedName name="__123Graph_AGraph4" localSheetId="5" hidden="1">#REF!</definedName>
    <definedName name="__123Graph_AGraph4" localSheetId="58" hidden="1">#REF!</definedName>
    <definedName name="__123Graph_AGraph4" hidden="1">#REF!</definedName>
    <definedName name="__123Graph_B" localSheetId="34" hidden="1">#REF!</definedName>
    <definedName name="__123Graph_B" localSheetId="38" hidden="1">#REF!</definedName>
    <definedName name="__123Graph_B" localSheetId="53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48" hidden="1">#REF!</definedName>
    <definedName name="__123Graph_B" localSheetId="54" hidden="1">#REF!</definedName>
    <definedName name="__123Graph_B" localSheetId="58" hidden="1">#REF!</definedName>
    <definedName name="__123Graph_B" hidden="1">#REF!</definedName>
    <definedName name="__123Graph_C" localSheetId="34" hidden="1">#REF!</definedName>
    <definedName name="__123Graph_C" localSheetId="38" hidden="1">#REF!</definedName>
    <definedName name="__123Graph_C" localSheetId="53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48" hidden="1">#REF!</definedName>
    <definedName name="__123Graph_C" localSheetId="54" hidden="1">#REF!</definedName>
    <definedName name="__123Graph_C" localSheetId="58" hidden="1">#REF!</definedName>
    <definedName name="__123Graph_C" hidden="1">#REF!</definedName>
    <definedName name="__123Graph_CCHART1" localSheetId="34" hidden="1">#REF!</definedName>
    <definedName name="__123Graph_CCHART1" localSheetId="53" hidden="1">#REF!</definedName>
    <definedName name="__123Graph_CCHART1" localSheetId="5" hidden="1">#REF!</definedName>
    <definedName name="__123Graph_CCHART1" hidden="1">#REF!</definedName>
    <definedName name="__123Graph_CCHART2" localSheetId="34" hidden="1">#REF!</definedName>
    <definedName name="__123Graph_CCHART2" localSheetId="53" hidden="1">#REF!</definedName>
    <definedName name="__123Graph_CCHART2" localSheetId="5" hidden="1">#REF!</definedName>
    <definedName name="__123Graph_CCHART2" hidden="1">#REF!</definedName>
    <definedName name="__123Graph_CCHART3" localSheetId="34" hidden="1">#REF!</definedName>
    <definedName name="__123Graph_CCHART3" localSheetId="53" hidden="1">#REF!</definedName>
    <definedName name="__123Graph_CCHART3" localSheetId="5" hidden="1">#REF!</definedName>
    <definedName name="__123Graph_CCHART3" hidden="1">#REF!</definedName>
    <definedName name="__123Graph_CCHART4" localSheetId="34" hidden="1">#REF!</definedName>
    <definedName name="__123Graph_CCHART4" localSheetId="53" hidden="1">#REF!</definedName>
    <definedName name="__123Graph_CCHART4" localSheetId="5" hidden="1">#REF!</definedName>
    <definedName name="__123Graph_CCHART4" hidden="1">#REF!</definedName>
    <definedName name="__123Graph_CCHART5" localSheetId="34" hidden="1">#REF!</definedName>
    <definedName name="__123Graph_CCHART5" localSheetId="53" hidden="1">#REF!</definedName>
    <definedName name="__123Graph_CCHART5" localSheetId="5" hidden="1">#REF!</definedName>
    <definedName name="__123Graph_CCHART5" hidden="1">#REF!</definedName>
    <definedName name="__123Graph_D" localSheetId="34" hidden="1">#REF!</definedName>
    <definedName name="__123Graph_D" localSheetId="38" hidden="1">#REF!</definedName>
    <definedName name="__123Graph_D" localSheetId="53" hidden="1">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48" hidden="1">#REF!</definedName>
    <definedName name="__123Graph_D" localSheetId="54" hidden="1">#REF!</definedName>
    <definedName name="__123Graph_D" localSheetId="58" hidden="1">#REF!</definedName>
    <definedName name="__123Graph_D" hidden="1">#REF!</definedName>
    <definedName name="__123Graph_DCHART1" localSheetId="34" hidden="1">#REF!</definedName>
    <definedName name="__123Graph_DCHART1" localSheetId="53" hidden="1">#REF!</definedName>
    <definedName name="__123Graph_DCHART1" localSheetId="5" hidden="1">#REF!</definedName>
    <definedName name="__123Graph_DCHART1" hidden="1">#REF!</definedName>
    <definedName name="__123Graph_DCHART2" localSheetId="34" hidden="1">#REF!</definedName>
    <definedName name="__123Graph_DCHART2" localSheetId="53" hidden="1">#REF!</definedName>
    <definedName name="__123Graph_DCHART2" localSheetId="5" hidden="1">#REF!</definedName>
    <definedName name="__123Graph_DCHART2" hidden="1">#REF!</definedName>
    <definedName name="__123Graph_DCHART3" localSheetId="34" hidden="1">#REF!</definedName>
    <definedName name="__123Graph_DCHART3" localSheetId="53" hidden="1">#REF!</definedName>
    <definedName name="__123Graph_DCHART3" localSheetId="5" hidden="1">#REF!</definedName>
    <definedName name="__123Graph_DCHART3" hidden="1">#REF!</definedName>
    <definedName name="__123Graph_DCHART4" localSheetId="34" hidden="1">#REF!</definedName>
    <definedName name="__123Graph_DCHART4" localSheetId="53" hidden="1">#REF!</definedName>
    <definedName name="__123Graph_DCHART4" localSheetId="5" hidden="1">#REF!</definedName>
    <definedName name="__123Graph_DCHART4" hidden="1">#REF!</definedName>
    <definedName name="__123Graph_DCHART5" localSheetId="34" hidden="1">#REF!</definedName>
    <definedName name="__123Graph_DCHART5" localSheetId="53" hidden="1">#REF!</definedName>
    <definedName name="__123Graph_DCHART5" localSheetId="5" hidden="1">#REF!</definedName>
    <definedName name="__123Graph_DCHART5" hidden="1">#REF!</definedName>
    <definedName name="__123Graph_E" localSheetId="34" hidden="1">#REF!</definedName>
    <definedName name="__123Graph_E" localSheetId="38" hidden="1">#REF!</definedName>
    <definedName name="__123Graph_E" localSheetId="53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48" hidden="1">#REF!</definedName>
    <definedName name="__123Graph_E" localSheetId="54" hidden="1">#REF!</definedName>
    <definedName name="__123Graph_E" localSheetId="58" hidden="1">#REF!</definedName>
    <definedName name="__123Graph_E" hidden="1">#REF!</definedName>
    <definedName name="__123Graph_F" hidden="1">#REF!</definedName>
    <definedName name="__123Graph_FCHART4" localSheetId="34" hidden="1">#REF!</definedName>
    <definedName name="__123Graph_FCHART4" localSheetId="53" hidden="1">#REF!</definedName>
    <definedName name="__123Graph_FCHART4" localSheetId="5" hidden="1">#REF!</definedName>
    <definedName name="__123Graph_FCHART4" hidden="1">#REF!</definedName>
    <definedName name="__123Graph_FCHART5" localSheetId="34" hidden="1">#REF!</definedName>
    <definedName name="__123Graph_FCHART5" localSheetId="53" hidden="1">#REF!</definedName>
    <definedName name="__123Graph_FCHART5" localSheetId="5" hidden="1">#REF!</definedName>
    <definedName name="__123Graph_FCHART5" hidden="1">#REF!</definedName>
    <definedName name="__123Graph_X" localSheetId="34" hidden="1">#REF!</definedName>
    <definedName name="__123Graph_X" localSheetId="38" hidden="1">#REF!</definedName>
    <definedName name="__123Graph_X" localSheetId="53" hidden="1">#REF!</definedName>
    <definedName name="__123Graph_X" localSheetId="4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48" hidden="1">#REF!</definedName>
    <definedName name="__123Graph_X" localSheetId="54" hidden="1">#REF!</definedName>
    <definedName name="__123Graph_X" localSheetId="58" hidden="1">#REF!</definedName>
    <definedName name="__123Graph_X" hidden="1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#REF!</definedName>
    <definedName name="_123Graph_CHART3" localSheetId="34" hidden="1">#REF!</definedName>
    <definedName name="_123Graph_CHART3" localSheetId="38" hidden="1">#REF!</definedName>
    <definedName name="_123Graph_CHART3" localSheetId="53" hidden="1">#REF!</definedName>
    <definedName name="_123Graph_CHART3" localSheetId="4" hidden="1">#REF!</definedName>
    <definedName name="_123Graph_CHART3" localSheetId="5" hidden="1">#REF!</definedName>
    <definedName name="_123Graph_CHART3" localSheetId="58" hidden="1">#REF!</definedName>
    <definedName name="_123Graph_CHART3" hidden="1">#REF!</definedName>
    <definedName name="_123Graph_E" localSheetId="17" hidden="1">#REF!</definedName>
    <definedName name="_123Graph_E" localSheetId="20" hidden="1">#REF!</definedName>
    <definedName name="_123Graph_E" localSheetId="34" hidden="1">#REF!</definedName>
    <definedName name="_123Graph_E" localSheetId="53" hidden="1">#REF!</definedName>
    <definedName name="_123Graph_E" localSheetId="4" hidden="1">#REF!</definedName>
    <definedName name="_123Graph_E" localSheetId="7" hidden="1">#REF!</definedName>
    <definedName name="_123Graph_E" localSheetId="8" hidden="1">#REF!</definedName>
    <definedName name="_123Graph_E" localSheetId="58" hidden="1">#REF!</definedName>
    <definedName name="_123Graph_E" hidden="1">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#REF!</definedName>
    <definedName name="_Fill" localSheetId="34" hidden="1">#REF!</definedName>
    <definedName name="_Fill" localSheetId="38" hidden="1">#REF!</definedName>
    <definedName name="_Fill" localSheetId="53" hidden="1">#REF!</definedName>
    <definedName name="_Fill" localSheetId="4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48" hidden="1">#REF!</definedName>
    <definedName name="_Fill" localSheetId="52" hidden="1">#REF!</definedName>
    <definedName name="_Fill" localSheetId="54" hidden="1">#REF!</definedName>
    <definedName name="_Fill" localSheetId="58" hidden="1">#REF!</definedName>
    <definedName name="_Fill" hidden="1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#REF!</definedName>
    <definedName name="_Key1" localSheetId="38" hidden="1">#REF!</definedName>
    <definedName name="_Key1" localSheetId="53" hidden="1">#REF!</definedName>
    <definedName name="_Key1" localSheetId="4" hidden="1">#REF!</definedName>
    <definedName name="_Key1" localSheetId="5" hidden="1">#REF!</definedName>
    <definedName name="_Key1" localSheetId="43" hidden="1">#REF!</definedName>
    <definedName name="_Key1" localSheetId="48" hidden="1">#REF!</definedName>
    <definedName name="_Key1" localSheetId="52" hidden="1">#REF!</definedName>
    <definedName name="_Key1" localSheetId="54" hidden="1">#REF!</definedName>
    <definedName name="_Key1" localSheetId="58" hidden="1">#REF!</definedName>
    <definedName name="_Key1" hidden="1">#REF!</definedName>
    <definedName name="_Key2" localSheetId="34" hidden="1">#REF!</definedName>
    <definedName name="_Key2" localSheetId="38" hidden="1">#REF!</definedName>
    <definedName name="_Key2" localSheetId="53" hidden="1">#REF!</definedName>
    <definedName name="_Key2" localSheetId="4" hidden="1">#REF!</definedName>
    <definedName name="_Key2" localSheetId="5" hidden="1">#REF!</definedName>
    <definedName name="_Key2" localSheetId="43" hidden="1">#REF!</definedName>
    <definedName name="_Key2" localSheetId="48" hidden="1">#REF!</definedName>
    <definedName name="_Key2" localSheetId="52" hidden="1">#REF!</definedName>
    <definedName name="_Key2" localSheetId="54" hidden="1">#REF!</definedName>
    <definedName name="_Key2" localSheetId="5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34" hidden="1">#REF!</definedName>
    <definedName name="_Sort" localSheetId="38" hidden="1">#REF!</definedName>
    <definedName name="_Sort" localSheetId="53" hidden="1">#REF!</definedName>
    <definedName name="_Sort" localSheetId="4" hidden="1">#REF!</definedName>
    <definedName name="_Sort" localSheetId="5" hidden="1">#REF!</definedName>
    <definedName name="_Sort" localSheetId="43" hidden="1">#REF!</definedName>
    <definedName name="_Sort" localSheetId="48" hidden="1">#REF!</definedName>
    <definedName name="_Sort" localSheetId="52" hidden="1">#REF!</definedName>
    <definedName name="_Sort" localSheetId="54" hidden="1">#REF!</definedName>
    <definedName name="_Sort" localSheetId="5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#REF!</definedName>
    <definedName name="AG" localSheetId="20" hidden="1">#REF!</definedName>
    <definedName name="AG" localSheetId="34" hidden="1">#REF!</definedName>
    <definedName name="AG" localSheetId="38" hidden="1">#REF!</definedName>
    <definedName name="AG" localSheetId="53" hidden="1">#REF!</definedName>
    <definedName name="AG" localSheetId="4" hidden="1">#REF!</definedName>
    <definedName name="AG" localSheetId="5" hidden="1">#REF!</definedName>
    <definedName name="AG" localSheetId="58" hidden="1">#REF!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#REF!</definedName>
    <definedName name="dd" localSheetId="53" hidden="1">#REF!</definedName>
    <definedName name="dd" localSheetId="5" hidden="1">#REF!</definedName>
    <definedName name="dd" hidden="1">#REF!</definedName>
    <definedName name="ddd" hidden="1">{"SourcesUses",#N/A,TRUE,#N/A;"TransOverview",#N/A,TRUE,"CFMODEL"}</definedName>
    <definedName name="dddd" localSheetId="34" hidden="1">#REF!</definedName>
    <definedName name="dddd" localSheetId="53" hidden="1">#REF!</definedName>
    <definedName name="dddd" localSheetId="5" hidden="1">#REF!</definedName>
    <definedName name="dddd" hidden="1">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37">'AG-1'!$A$1:$E$32</definedName>
    <definedName name="_xlnm.Print_Area" localSheetId="50">'AL-1'!$A$1:$E$38</definedName>
    <definedName name="_xlnm.Print_Area" localSheetId="48">'Stmt AK'!$A$1:$H$47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localSheetId="17" hidden="1">#REF!</definedName>
    <definedName name="TUCU" localSheetId="20" hidden="1">#REF!</definedName>
    <definedName name="TUCU" localSheetId="34" hidden="1">#REF!</definedName>
    <definedName name="TUCU" localSheetId="38" hidden="1">#REF!</definedName>
    <definedName name="TUCU" localSheetId="53" hidden="1">#REF!</definedName>
    <definedName name="TUCU" localSheetId="4" hidden="1">#REF!</definedName>
    <definedName name="TUCU" localSheetId="5" hidden="1">#REF!</definedName>
    <definedName name="TUCU" localSheetId="58" hidden="1">#REF!</definedName>
    <definedName name="TUCU" hidden="1">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localSheetId="17" hidden="1">#REF!</definedName>
    <definedName name="xxx" localSheetId="20" hidden="1">#REF!</definedName>
    <definedName name="xxx" localSheetId="34" hidden="1">#REF!</definedName>
    <definedName name="xxx" localSheetId="38" hidden="1">#REF!</definedName>
    <definedName name="xxx" localSheetId="53" hidden="1">#REF!</definedName>
    <definedName name="xxx" localSheetId="4" hidden="1">#REF!</definedName>
    <definedName name="xxx" localSheetId="5" hidden="1">#REF!</definedName>
    <definedName name="xxx" localSheetId="58" hidden="1">#REF!</definedName>
    <definedName name="xxx" hidden="1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7" i="42" l="1"/>
  <c r="A57" i="42"/>
  <c r="H76" i="41"/>
  <c r="A76" i="41"/>
  <c r="E42" i="40" l="1"/>
  <c r="E14" i="42"/>
  <c r="E63" i="41"/>
  <c r="F26" i="168" l="1"/>
  <c r="E33" i="40" l="1"/>
  <c r="E41" i="40"/>
  <c r="E40" i="40"/>
  <c r="E39" i="40"/>
  <c r="E38" i="40"/>
  <c r="E36" i="40"/>
  <c r="E35" i="40"/>
  <c r="E34" i="40"/>
  <c r="E24" i="69" s="1"/>
  <c r="E32" i="40"/>
  <c r="E24" i="42"/>
  <c r="F24" i="42" s="1"/>
  <c r="E21" i="42"/>
  <c r="E20" i="42"/>
  <c r="E18" i="42"/>
  <c r="F18" i="42" s="1"/>
  <c r="E17" i="42"/>
  <c r="E48" i="42"/>
  <c r="E22" i="42" s="1"/>
  <c r="F22" i="42" s="1"/>
  <c r="E44" i="42"/>
  <c r="E19" i="42" s="1"/>
  <c r="F19" i="42" s="1"/>
  <c r="E37" i="42"/>
  <c r="D56" i="84"/>
  <c r="D57" i="84"/>
  <c r="D58" i="84"/>
  <c r="D59" i="84"/>
  <c r="D60" i="84"/>
  <c r="D61" i="84"/>
  <c r="D62" i="84"/>
  <c r="A56" i="84"/>
  <c r="A57" i="84"/>
  <c r="A58" i="84"/>
  <c r="A59" i="84"/>
  <c r="A60" i="84"/>
  <c r="A61" i="84"/>
  <c r="C48" i="154"/>
  <c r="C23" i="154"/>
  <c r="E55" i="41"/>
  <c r="E21" i="41" s="1"/>
  <c r="F21" i="41" s="1"/>
  <c r="E14" i="27"/>
  <c r="E13" i="27"/>
  <c r="D14" i="26"/>
  <c r="D14" i="25"/>
  <c r="F14" i="23"/>
  <c r="F26" i="23"/>
  <c r="F31" i="23"/>
  <c r="D16" i="26"/>
  <c r="D16" i="25"/>
  <c r="E65" i="41"/>
  <c r="E37" i="41" s="1"/>
  <c r="E66" i="41"/>
  <c r="E25" i="40" s="1"/>
  <c r="E64" i="41"/>
  <c r="E36" i="41" s="1"/>
  <c r="F36" i="41" s="1"/>
  <c r="E54" i="41"/>
  <c r="E19" i="40" s="1"/>
  <c r="G36" i="82"/>
  <c r="E26" i="40"/>
  <c r="K45" i="165"/>
  <c r="K40" i="165"/>
  <c r="K30" i="165"/>
  <c r="J30" i="167"/>
  <c r="E23" i="40"/>
  <c r="E38" i="41"/>
  <c r="F38" i="41" s="1"/>
  <c r="E11" i="41"/>
  <c r="F11" i="41" s="1"/>
  <c r="E24" i="41"/>
  <c r="F24" i="41" s="1"/>
  <c r="E22" i="40"/>
  <c r="B52" i="169"/>
  <c r="C46" i="169"/>
  <c r="G19" i="156"/>
  <c r="B46" i="169"/>
  <c r="B44" i="169"/>
  <c r="B42" i="169"/>
  <c r="C38" i="169"/>
  <c r="B38" i="169"/>
  <c r="B36" i="169"/>
  <c r="D34" i="169"/>
  <c r="C34" i="169"/>
  <c r="B34" i="169"/>
  <c r="D32" i="169"/>
  <c r="C32" i="169"/>
  <c r="C44" i="169"/>
  <c r="C42" i="169"/>
  <c r="F19" i="156"/>
  <c r="C17" i="169"/>
  <c r="C23" i="169"/>
  <c r="C27" i="169"/>
  <c r="A13" i="169"/>
  <c r="D36" i="169"/>
  <c r="A12" i="169"/>
  <c r="E11" i="169"/>
  <c r="E12" i="169"/>
  <c r="E13" i="169"/>
  <c r="E14" i="169"/>
  <c r="E15" i="169"/>
  <c r="E16" i="169"/>
  <c r="E17" i="169"/>
  <c r="E18" i="169"/>
  <c r="E19" i="169"/>
  <c r="E20" i="169"/>
  <c r="E21" i="169"/>
  <c r="E22" i="169"/>
  <c r="E23" i="169"/>
  <c r="E24" i="169"/>
  <c r="E25" i="169"/>
  <c r="E26" i="169"/>
  <c r="E27" i="169"/>
  <c r="E28" i="169"/>
  <c r="E33" i="169"/>
  <c r="E34" i="169"/>
  <c r="E35" i="169"/>
  <c r="E36" i="169"/>
  <c r="E37" i="169"/>
  <c r="E38" i="169"/>
  <c r="E39" i="169"/>
  <c r="E40" i="169"/>
  <c r="E41" i="169"/>
  <c r="E42" i="169"/>
  <c r="E43" i="169"/>
  <c r="E44" i="169"/>
  <c r="E45" i="169"/>
  <c r="E46" i="169"/>
  <c r="E47" i="169"/>
  <c r="E48" i="169"/>
  <c r="E49" i="169"/>
  <c r="E50" i="169"/>
  <c r="E51" i="169"/>
  <c r="E52" i="169"/>
  <c r="E53" i="169"/>
  <c r="C36" i="169"/>
  <c r="C40" i="169"/>
  <c r="C48" i="169"/>
  <c r="A14" i="169"/>
  <c r="A15" i="169"/>
  <c r="C52" i="169"/>
  <c r="E19" i="156"/>
  <c r="D38" i="169"/>
  <c r="A16" i="169"/>
  <c r="A17" i="169"/>
  <c r="D17" i="169"/>
  <c r="A18" i="169"/>
  <c r="A19" i="169"/>
  <c r="D42" i="169"/>
  <c r="A20" i="169"/>
  <c r="A21" i="169"/>
  <c r="D23" i="169"/>
  <c r="A22" i="169"/>
  <c r="A23" i="169"/>
  <c r="D44" i="169"/>
  <c r="A24" i="169"/>
  <c r="A25" i="169"/>
  <c r="D46" i="169"/>
  <c r="A26" i="169"/>
  <c r="A27" i="169"/>
  <c r="A28" i="169"/>
  <c r="A33" i="169"/>
  <c r="A34" i="169"/>
  <c r="D27" i="169"/>
  <c r="A35" i="169"/>
  <c r="A36" i="169"/>
  <c r="A37" i="169"/>
  <c r="A38" i="169"/>
  <c r="A39" i="169"/>
  <c r="A40" i="169"/>
  <c r="A41" i="169"/>
  <c r="A42" i="169"/>
  <c r="A43" i="169"/>
  <c r="A44" i="169"/>
  <c r="A45" i="169"/>
  <c r="A46" i="169"/>
  <c r="A47" i="169"/>
  <c r="A48" i="169"/>
  <c r="D40" i="169"/>
  <c r="A49" i="169"/>
  <c r="A50" i="169"/>
  <c r="A51" i="169"/>
  <c r="A52" i="169"/>
  <c r="A53" i="169"/>
  <c r="D52" i="169"/>
  <c r="D48" i="169"/>
  <c r="B5" i="156"/>
  <c r="G43" i="40"/>
  <c r="H43" i="40"/>
  <c r="A43" i="40"/>
  <c r="A44" i="40"/>
  <c r="F28" i="42"/>
  <c r="F13" i="42"/>
  <c r="F15" i="42"/>
  <c r="E44" i="40" s="1"/>
  <c r="F20" i="42"/>
  <c r="F23" i="42"/>
  <c r="F25" i="41"/>
  <c r="F13" i="41"/>
  <c r="F14" i="41"/>
  <c r="F16" i="41"/>
  <c r="F17" i="41"/>
  <c r="F18" i="41"/>
  <c r="F22" i="41"/>
  <c r="F12" i="41"/>
  <c r="D15" i="27"/>
  <c r="B6" i="24"/>
  <c r="B5" i="10"/>
  <c r="D15" i="14"/>
  <c r="F17" i="42"/>
  <c r="F14" i="42"/>
  <c r="F11" i="42"/>
  <c r="D26" i="42"/>
  <c r="D30" i="42" s="1"/>
  <c r="E30" i="40" s="1"/>
  <c r="D57" i="150"/>
  <c r="F10" i="150"/>
  <c r="A14" i="150"/>
  <c r="A15" i="150"/>
  <c r="A16" i="150"/>
  <c r="A17" i="150"/>
  <c r="A18" i="150"/>
  <c r="A19" i="150"/>
  <c r="A20" i="150"/>
  <c r="A21" i="150"/>
  <c r="A22" i="150"/>
  <c r="A23" i="150"/>
  <c r="A24" i="150"/>
  <c r="A25" i="150"/>
  <c r="A26" i="150"/>
  <c r="A27" i="150"/>
  <c r="A28" i="150"/>
  <c r="A29" i="150"/>
  <c r="A30" i="150"/>
  <c r="A31" i="150"/>
  <c r="A32" i="150"/>
  <c r="A33" i="150"/>
  <c r="A34" i="150"/>
  <c r="A35" i="150"/>
  <c r="A36" i="150"/>
  <c r="A37" i="150"/>
  <c r="A38" i="150"/>
  <c r="A39" i="150"/>
  <c r="A40" i="150"/>
  <c r="A41" i="150"/>
  <c r="A42" i="150"/>
  <c r="A43" i="150"/>
  <c r="A44" i="150"/>
  <c r="A45" i="150"/>
  <c r="A46" i="150"/>
  <c r="A47" i="150"/>
  <c r="A48" i="150"/>
  <c r="A49" i="150"/>
  <c r="A50" i="150"/>
  <c r="A51" i="150"/>
  <c r="A52" i="150"/>
  <c r="A53" i="150"/>
  <c r="A54" i="150"/>
  <c r="A55" i="150"/>
  <c r="A56" i="150"/>
  <c r="A57" i="150"/>
  <c r="A58" i="150"/>
  <c r="A59" i="150"/>
  <c r="A60" i="150"/>
  <c r="A12" i="150"/>
  <c r="A13" i="150"/>
  <c r="A11" i="150"/>
  <c r="B5" i="167"/>
  <c r="B5" i="165"/>
  <c r="G30" i="156"/>
  <c r="F30" i="156"/>
  <c r="E30" i="156"/>
  <c r="G29" i="156"/>
  <c r="F29" i="156"/>
  <c r="E29" i="156"/>
  <c r="G28" i="156"/>
  <c r="F28" i="156"/>
  <c r="E28" i="156"/>
  <c r="G27" i="156"/>
  <c r="F27" i="156"/>
  <c r="E27" i="156"/>
  <c r="G26" i="156"/>
  <c r="F26" i="156"/>
  <c r="E26" i="156"/>
  <c r="G25" i="156"/>
  <c r="F25" i="156"/>
  <c r="E25" i="156"/>
  <c r="G24" i="156"/>
  <c r="F24" i="156"/>
  <c r="E24" i="156"/>
  <c r="G23" i="156"/>
  <c r="F23" i="156"/>
  <c r="E23" i="156"/>
  <c r="G22" i="156"/>
  <c r="F22" i="156"/>
  <c r="E22" i="156"/>
  <c r="G21" i="156"/>
  <c r="F21" i="156"/>
  <c r="E21" i="156"/>
  <c r="G20" i="156"/>
  <c r="F20" i="156"/>
  <c r="E20" i="156"/>
  <c r="I45" i="165"/>
  <c r="G42" i="165"/>
  <c r="E42" i="165"/>
  <c r="C42" i="165"/>
  <c r="I41" i="165"/>
  <c r="I40" i="165"/>
  <c r="I42" i="165"/>
  <c r="G37" i="165"/>
  <c r="E37" i="165"/>
  <c r="C37" i="165"/>
  <c r="I36" i="165"/>
  <c r="I35" i="165"/>
  <c r="I37" i="165"/>
  <c r="G32" i="165"/>
  <c r="E32" i="165"/>
  <c r="C32" i="165"/>
  <c r="I31" i="165"/>
  <c r="I30" i="165"/>
  <c r="G26" i="165"/>
  <c r="E26" i="165"/>
  <c r="C26" i="165"/>
  <c r="I25" i="165"/>
  <c r="I24" i="165"/>
  <c r="I26" i="165"/>
  <c r="G21" i="165"/>
  <c r="E21" i="165"/>
  <c r="C21" i="165"/>
  <c r="I20" i="165"/>
  <c r="I19" i="165"/>
  <c r="G16" i="165"/>
  <c r="E16" i="165"/>
  <c r="C16" i="165"/>
  <c r="I15" i="165"/>
  <c r="I14" i="165"/>
  <c r="I13" i="165"/>
  <c r="A13" i="165"/>
  <c r="A14" i="165"/>
  <c r="A15" i="165"/>
  <c r="A16" i="165"/>
  <c r="A17" i="165"/>
  <c r="A18" i="165"/>
  <c r="A19" i="165"/>
  <c r="L12" i="165"/>
  <c r="L13" i="165"/>
  <c r="L14" i="165"/>
  <c r="L15" i="165"/>
  <c r="L16" i="165"/>
  <c r="L17" i="165"/>
  <c r="L18" i="165"/>
  <c r="L19" i="165"/>
  <c r="L20" i="165"/>
  <c r="L21" i="165"/>
  <c r="L22" i="165"/>
  <c r="L23" i="165"/>
  <c r="L24" i="165"/>
  <c r="L25" i="165"/>
  <c r="L26" i="165"/>
  <c r="L27" i="165"/>
  <c r="L28" i="165"/>
  <c r="L29" i="165"/>
  <c r="L30" i="165"/>
  <c r="L31" i="165"/>
  <c r="L32" i="165"/>
  <c r="L33" i="165"/>
  <c r="L34" i="165"/>
  <c r="L35" i="165"/>
  <c r="L36" i="165"/>
  <c r="L37" i="165"/>
  <c r="L38" i="165"/>
  <c r="L39" i="165"/>
  <c r="L40" i="165"/>
  <c r="L41" i="165"/>
  <c r="L42" i="165"/>
  <c r="L43" i="165"/>
  <c r="L44" i="165"/>
  <c r="L45" i="165"/>
  <c r="J34" i="152"/>
  <c r="J36" i="152"/>
  <c r="I34" i="152"/>
  <c r="I36" i="152"/>
  <c r="H34" i="152"/>
  <c r="H36" i="152"/>
  <c r="G34" i="152"/>
  <c r="G36" i="152"/>
  <c r="F34" i="152"/>
  <c r="E34" i="152"/>
  <c r="D34" i="152"/>
  <c r="D36" i="152"/>
  <c r="K32" i="152"/>
  <c r="K31" i="152"/>
  <c r="K30" i="152"/>
  <c r="K29" i="152"/>
  <c r="K28" i="152"/>
  <c r="K27" i="152"/>
  <c r="K26" i="152"/>
  <c r="K25" i="152"/>
  <c r="K24" i="152"/>
  <c r="J22" i="152"/>
  <c r="I22" i="152"/>
  <c r="H22" i="152"/>
  <c r="G22" i="152"/>
  <c r="F22" i="152"/>
  <c r="E22" i="152"/>
  <c r="D22" i="152"/>
  <c r="K20" i="152"/>
  <c r="K19" i="152"/>
  <c r="A19" i="152"/>
  <c r="A20" i="152"/>
  <c r="K18" i="152"/>
  <c r="A18" i="152"/>
  <c r="M17" i="152"/>
  <c r="M18" i="152"/>
  <c r="M19" i="152"/>
  <c r="M20" i="152"/>
  <c r="M21" i="152"/>
  <c r="M22" i="152"/>
  <c r="M23" i="152"/>
  <c r="M24" i="152"/>
  <c r="M25" i="152"/>
  <c r="M26" i="152"/>
  <c r="M27" i="152"/>
  <c r="M28" i="152"/>
  <c r="M29" i="152"/>
  <c r="M30" i="152"/>
  <c r="M31" i="152"/>
  <c r="M32" i="152"/>
  <c r="M33" i="152"/>
  <c r="M34" i="152"/>
  <c r="M35" i="152"/>
  <c r="M36" i="152"/>
  <c r="K17" i="152"/>
  <c r="A17" i="152"/>
  <c r="M16" i="152"/>
  <c r="K16" i="152"/>
  <c r="B6" i="152"/>
  <c r="J33" i="10"/>
  <c r="I33" i="10"/>
  <c r="H33" i="10"/>
  <c r="G33" i="10"/>
  <c r="F33" i="10"/>
  <c r="E33" i="10"/>
  <c r="D33" i="10"/>
  <c r="K31" i="10"/>
  <c r="K30" i="10"/>
  <c r="K29" i="10"/>
  <c r="K28" i="10"/>
  <c r="K27" i="10"/>
  <c r="K26" i="10"/>
  <c r="K25" i="10"/>
  <c r="K24" i="10"/>
  <c r="K23" i="10"/>
  <c r="J21" i="10"/>
  <c r="I21" i="10"/>
  <c r="I35" i="10"/>
  <c r="H21" i="10"/>
  <c r="G21" i="10"/>
  <c r="F21" i="10"/>
  <c r="F35" i="10"/>
  <c r="E21" i="10"/>
  <c r="E35" i="10"/>
  <c r="D21" i="10"/>
  <c r="K19" i="10"/>
  <c r="K18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K17" i="10"/>
  <c r="M16" i="10"/>
  <c r="K16" i="10"/>
  <c r="A16" i="10"/>
  <c r="A17" i="10"/>
  <c r="A18" i="10"/>
  <c r="A19" i="10"/>
  <c r="M15" i="10"/>
  <c r="K15" i="10"/>
  <c r="I21" i="165"/>
  <c r="I32" i="165"/>
  <c r="E36" i="152"/>
  <c r="I16" i="165"/>
  <c r="K34" i="152"/>
  <c r="K22" i="152"/>
  <c r="D35" i="10"/>
  <c r="J35" i="10"/>
  <c r="H35" i="10"/>
  <c r="G35" i="10"/>
  <c r="K33" i="10"/>
  <c r="K21" i="10"/>
  <c r="F36" i="152"/>
  <c r="A20" i="165"/>
  <c r="A21" i="165"/>
  <c r="A22" i="165"/>
  <c r="A23" i="165"/>
  <c r="A24" i="165"/>
  <c r="K16" i="165"/>
  <c r="A21" i="152"/>
  <c r="A22" i="152"/>
  <c r="L22" i="152"/>
  <c r="L21" i="10"/>
  <c r="A20" i="10"/>
  <c r="A21" i="10"/>
  <c r="K36" i="152"/>
  <c r="K35" i="10"/>
  <c r="A25" i="165"/>
  <c r="A26" i="165"/>
  <c r="A27" i="165"/>
  <c r="A28" i="165"/>
  <c r="A29" i="165"/>
  <c r="A30" i="165"/>
  <c r="K21" i="165"/>
  <c r="A23" i="152"/>
  <c r="A24" i="152"/>
  <c r="A22" i="10"/>
  <c r="A23" i="10"/>
  <c r="A31" i="165"/>
  <c r="A32" i="165"/>
  <c r="A33" i="165"/>
  <c r="A34" i="165"/>
  <c r="A35" i="165"/>
  <c r="K26" i="165"/>
  <c r="A25" i="152"/>
  <c r="A26" i="152"/>
  <c r="A27" i="152"/>
  <c r="A28" i="152"/>
  <c r="A29" i="152"/>
  <c r="A30" i="152"/>
  <c r="A31" i="152"/>
  <c r="A32" i="152"/>
  <c r="A33" i="152"/>
  <c r="A34" i="152"/>
  <c r="A24" i="10"/>
  <c r="A25" i="10"/>
  <c r="A26" i="10"/>
  <c r="A27" i="10"/>
  <c r="A28" i="10"/>
  <c r="A29" i="10"/>
  <c r="A30" i="10"/>
  <c r="A31" i="10"/>
  <c r="A32" i="10"/>
  <c r="A33" i="10"/>
  <c r="A36" i="165"/>
  <c r="A37" i="165"/>
  <c r="A38" i="165"/>
  <c r="A39" i="165"/>
  <c r="A40" i="165"/>
  <c r="K32" i="165"/>
  <c r="A35" i="152"/>
  <c r="A36" i="152"/>
  <c r="L36" i="152"/>
  <c r="L34" i="152"/>
  <c r="A34" i="10"/>
  <c r="A35" i="10"/>
  <c r="L35" i="10"/>
  <c r="L33" i="10"/>
  <c r="A41" i="165"/>
  <c r="A42" i="165"/>
  <c r="A43" i="165"/>
  <c r="A44" i="165"/>
  <c r="A45" i="165"/>
  <c r="K37" i="165"/>
  <c r="K42" i="165"/>
  <c r="D17" i="157"/>
  <c r="F17" i="157"/>
  <c r="B5" i="168"/>
  <c r="B26" i="168"/>
  <c r="B15" i="168"/>
  <c r="B14" i="168"/>
  <c r="E28" i="168"/>
  <c r="E31" i="168"/>
  <c r="E34" i="9"/>
  <c r="C28" i="168"/>
  <c r="C31" i="168"/>
  <c r="A15" i="168"/>
  <c r="A16" i="168"/>
  <c r="A17" i="168"/>
  <c r="A18" i="168"/>
  <c r="A19" i="168"/>
  <c r="A20" i="168"/>
  <c r="A21" i="168"/>
  <c r="A22" i="168"/>
  <c r="A23" i="168"/>
  <c r="A24" i="168"/>
  <c r="A25" i="168"/>
  <c r="A26" i="168"/>
  <c r="G14" i="168"/>
  <c r="G15" i="168"/>
  <c r="G16" i="168"/>
  <c r="G17" i="168"/>
  <c r="G18" i="168"/>
  <c r="G19" i="168"/>
  <c r="G20" i="168"/>
  <c r="G21" i="168"/>
  <c r="G22" i="168"/>
  <c r="G23" i="168"/>
  <c r="G24" i="168"/>
  <c r="G25" i="168"/>
  <c r="G26" i="168"/>
  <c r="G27" i="168"/>
  <c r="G28" i="168"/>
  <c r="G29" i="168"/>
  <c r="G30" i="168"/>
  <c r="G31" i="168"/>
  <c r="G32" i="168"/>
  <c r="D31" i="168"/>
  <c r="F28" i="168"/>
  <c r="F31" i="168"/>
  <c r="D28" i="168"/>
  <c r="A27" i="168"/>
  <c r="A28" i="168"/>
  <c r="A29" i="168"/>
  <c r="A30" i="168"/>
  <c r="A31" i="168"/>
  <c r="A32" i="168"/>
  <c r="G21" i="66"/>
  <c r="B5" i="154"/>
  <c r="E38" i="114"/>
  <c r="C26" i="113"/>
  <c r="C60" i="84"/>
  <c r="E52" i="150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/>
  <c r="C54" i="42"/>
  <c r="B5" i="84"/>
  <c r="G87" i="82"/>
  <c r="G98" i="82" s="1"/>
  <c r="B5" i="112"/>
  <c r="K15" i="11"/>
  <c r="K16" i="11"/>
  <c r="K17" i="11"/>
  <c r="K18" i="11"/>
  <c r="K19" i="11"/>
  <c r="D21" i="11"/>
  <c r="E21" i="11"/>
  <c r="F21" i="11"/>
  <c r="G21" i="11"/>
  <c r="H21" i="11"/>
  <c r="I21" i="11"/>
  <c r="J21" i="11"/>
  <c r="K23" i="11"/>
  <c r="K24" i="11"/>
  <c r="K25" i="11"/>
  <c r="K26" i="11"/>
  <c r="K27" i="11"/>
  <c r="K28" i="11"/>
  <c r="K29" i="11"/>
  <c r="K21" i="11"/>
  <c r="B5" i="161"/>
  <c r="J40" i="167"/>
  <c r="B2" i="158"/>
  <c r="B2" i="157"/>
  <c r="B2" i="154"/>
  <c r="B2" i="156"/>
  <c r="B2" i="114"/>
  <c r="B2" i="113"/>
  <c r="B38" i="113"/>
  <c r="B2" i="111"/>
  <c r="B3" i="158"/>
  <c r="G31" i="46"/>
  <c r="C42" i="154"/>
  <c r="C44" i="154"/>
  <c r="B52" i="146"/>
  <c r="B51" i="146"/>
  <c r="G27" i="46"/>
  <c r="G25" i="46"/>
  <c r="G23" i="46"/>
  <c r="G21" i="46"/>
  <c r="G93" i="113"/>
  <c r="G15" i="46"/>
  <c r="E15" i="46"/>
  <c r="E23" i="41"/>
  <c r="F23" i="41" s="1"/>
  <c r="B71" i="40"/>
  <c r="B27" i="163"/>
  <c r="B16" i="163"/>
  <c r="B15" i="163"/>
  <c r="B5" i="163"/>
  <c r="B5" i="9"/>
  <c r="G146" i="82"/>
  <c r="G143" i="82"/>
  <c r="G134" i="82"/>
  <c r="G144" i="82"/>
  <c r="J126" i="82"/>
  <c r="J127" i="82"/>
  <c r="J128" i="82"/>
  <c r="J129" i="82"/>
  <c r="J130" i="82"/>
  <c r="J131" i="82"/>
  <c r="J132" i="82"/>
  <c r="J133" i="82"/>
  <c r="J134" i="82"/>
  <c r="J135" i="82"/>
  <c r="J136" i="82"/>
  <c r="J137" i="82"/>
  <c r="J138" i="82"/>
  <c r="J139" i="82"/>
  <c r="J140" i="82"/>
  <c r="J141" i="82"/>
  <c r="J142" i="82"/>
  <c r="J143" i="82"/>
  <c r="J144" i="82"/>
  <c r="J145" i="82"/>
  <c r="J146" i="82"/>
  <c r="J147" i="82"/>
  <c r="J148" i="82"/>
  <c r="J149" i="82"/>
  <c r="J150" i="82"/>
  <c r="J151" i="82"/>
  <c r="J152" i="82"/>
  <c r="J153" i="82"/>
  <c r="J154" i="82"/>
  <c r="J155" i="82"/>
  <c r="B146" i="82"/>
  <c r="B145" i="82"/>
  <c r="B143" i="82"/>
  <c r="B142" i="82"/>
  <c r="B134" i="82"/>
  <c r="B131" i="82"/>
  <c r="B130" i="82"/>
  <c r="A126" i="82"/>
  <c r="A127" i="82"/>
  <c r="A128" i="82"/>
  <c r="A129" i="82"/>
  <c r="A130" i="82"/>
  <c r="A131" i="82"/>
  <c r="A132" i="82"/>
  <c r="A133" i="82"/>
  <c r="A134" i="82"/>
  <c r="A135" i="82"/>
  <c r="A136" i="82"/>
  <c r="A137" i="82"/>
  <c r="A138" i="82"/>
  <c r="A139" i="82"/>
  <c r="A140" i="82"/>
  <c r="A141" i="82"/>
  <c r="A142" i="82"/>
  <c r="A143" i="82"/>
  <c r="A144" i="82"/>
  <c r="A145" i="82"/>
  <c r="A146" i="82"/>
  <c r="A147" i="82"/>
  <c r="A148" i="82"/>
  <c r="A149" i="82"/>
  <c r="A150" i="82"/>
  <c r="A151" i="82"/>
  <c r="A152" i="82"/>
  <c r="A153" i="82"/>
  <c r="A154" i="82"/>
  <c r="A155" i="82"/>
  <c r="H10" i="162"/>
  <c r="H11" i="162"/>
  <c r="H12" i="162"/>
  <c r="H13" i="162"/>
  <c r="H14" i="162"/>
  <c r="H15" i="162"/>
  <c r="H16" i="162"/>
  <c r="A11" i="162"/>
  <c r="A12" i="162"/>
  <c r="A13" i="162"/>
  <c r="A14" i="162"/>
  <c r="A15" i="162"/>
  <c r="A16" i="162"/>
  <c r="I142" i="82"/>
  <c r="I143" i="82"/>
  <c r="I151" i="82"/>
  <c r="I144" i="82"/>
  <c r="I145" i="82"/>
  <c r="I155" i="82"/>
  <c r="E84" i="146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G16" i="167"/>
  <c r="E16" i="167"/>
  <c r="C16" i="167"/>
  <c r="I15" i="167"/>
  <c r="I14" i="167"/>
  <c r="I13" i="167"/>
  <c r="A13" i="167"/>
  <c r="K12" i="167"/>
  <c r="K13" i="167"/>
  <c r="K14" i="167"/>
  <c r="K15" i="167"/>
  <c r="K16" i="167"/>
  <c r="K17" i="167"/>
  <c r="K18" i="167"/>
  <c r="K19" i="167"/>
  <c r="K20" i="167"/>
  <c r="K21" i="167"/>
  <c r="K22" i="167"/>
  <c r="K23" i="167"/>
  <c r="K24" i="167"/>
  <c r="K25" i="167"/>
  <c r="K26" i="167"/>
  <c r="K27" i="167"/>
  <c r="K28" i="167"/>
  <c r="K29" i="167"/>
  <c r="K30" i="167"/>
  <c r="K31" i="167"/>
  <c r="K32" i="167"/>
  <c r="K33" i="167"/>
  <c r="K34" i="167"/>
  <c r="K35" i="167"/>
  <c r="K36" i="167"/>
  <c r="K37" i="167"/>
  <c r="K38" i="167"/>
  <c r="K39" i="167"/>
  <c r="K40" i="167"/>
  <c r="K41" i="167"/>
  <c r="K42" i="167"/>
  <c r="K43" i="167"/>
  <c r="K44" i="167"/>
  <c r="K45" i="167"/>
  <c r="E21" i="34"/>
  <c r="A14" i="167"/>
  <c r="A15" i="167"/>
  <c r="A16" i="167"/>
  <c r="A17" i="167"/>
  <c r="A18" i="167"/>
  <c r="A19" i="167"/>
  <c r="A20" i="167"/>
  <c r="A21" i="167"/>
  <c r="A22" i="167"/>
  <c r="A23" i="167"/>
  <c r="A24" i="167"/>
  <c r="A25" i="167"/>
  <c r="A26" i="167"/>
  <c r="A27" i="167"/>
  <c r="A28" i="167"/>
  <c r="A29" i="167"/>
  <c r="A30" i="167"/>
  <c r="J16" i="167"/>
  <c r="I32" i="167"/>
  <c r="I37" i="167"/>
  <c r="I42" i="167"/>
  <c r="C84" i="146"/>
  <c r="I26" i="167"/>
  <c r="G15" i="34"/>
  <c r="I21" i="167"/>
  <c r="I16" i="167"/>
  <c r="G13" i="34"/>
  <c r="A31" i="167"/>
  <c r="A32" i="167"/>
  <c r="A33" i="167"/>
  <c r="A34" i="167"/>
  <c r="A35" i="167"/>
  <c r="J32" i="167"/>
  <c r="G11" i="34"/>
  <c r="J21" i="167"/>
  <c r="E11" i="34"/>
  <c r="E15" i="34"/>
  <c r="E13" i="34"/>
  <c r="A36" i="167"/>
  <c r="A37" i="167"/>
  <c r="A38" i="167"/>
  <c r="A39" i="167"/>
  <c r="A40" i="167"/>
  <c r="J37" i="167"/>
  <c r="J26" i="167"/>
  <c r="A41" i="167"/>
  <c r="A42" i="167"/>
  <c r="A43" i="167"/>
  <c r="A44" i="167"/>
  <c r="A45" i="167"/>
  <c r="J42" i="167"/>
  <c r="K11" i="34"/>
  <c r="K13" i="34"/>
  <c r="I23" i="34"/>
  <c r="C46" i="146"/>
  <c r="I19" i="34"/>
  <c r="C41" i="146"/>
  <c r="E29" i="163"/>
  <c r="E32" i="163"/>
  <c r="I23" i="2"/>
  <c r="C29" i="163"/>
  <c r="C32" i="163"/>
  <c r="A16" i="163"/>
  <c r="A17" i="163"/>
  <c r="A18" i="163"/>
  <c r="A19" i="163"/>
  <c r="A20" i="163"/>
  <c r="A21" i="163"/>
  <c r="A22" i="163"/>
  <c r="A23" i="163"/>
  <c r="A24" i="163"/>
  <c r="A25" i="163"/>
  <c r="A26" i="163"/>
  <c r="A27" i="163"/>
  <c r="G15" i="163"/>
  <c r="G16" i="163"/>
  <c r="G17" i="163"/>
  <c r="G18" i="163"/>
  <c r="G19" i="163"/>
  <c r="G20" i="163"/>
  <c r="G21" i="163"/>
  <c r="G22" i="163"/>
  <c r="G23" i="163"/>
  <c r="G24" i="163"/>
  <c r="G25" i="163"/>
  <c r="G26" i="163"/>
  <c r="G27" i="163"/>
  <c r="G28" i="163"/>
  <c r="G29" i="163"/>
  <c r="G30" i="163"/>
  <c r="G31" i="163"/>
  <c r="G32" i="163"/>
  <c r="G33" i="163"/>
  <c r="K15" i="34"/>
  <c r="D32" i="163"/>
  <c r="F29" i="163"/>
  <c r="F32" i="163"/>
  <c r="D29" i="163"/>
  <c r="A28" i="163"/>
  <c r="A29" i="163"/>
  <c r="A30" i="163"/>
  <c r="A31" i="163"/>
  <c r="A32" i="163"/>
  <c r="A33" i="163"/>
  <c r="K23" i="2"/>
  <c r="K21" i="34"/>
  <c r="D34" i="154"/>
  <c r="C46" i="112"/>
  <c r="D34" i="112"/>
  <c r="E19" i="146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/>
  <c r="A15" i="161"/>
  <c r="A16" i="161"/>
  <c r="A17" i="161"/>
  <c r="I12" i="161"/>
  <c r="I13" i="161"/>
  <c r="I14" i="161"/>
  <c r="I15" i="161"/>
  <c r="I16" i="161"/>
  <c r="I17" i="161"/>
  <c r="I18" i="161"/>
  <c r="I19" i="161"/>
  <c r="I20" i="161"/>
  <c r="I21" i="161"/>
  <c r="I22" i="161"/>
  <c r="I23" i="161"/>
  <c r="I24" i="161"/>
  <c r="I25" i="161"/>
  <c r="I26" i="161"/>
  <c r="I27" i="161"/>
  <c r="I28" i="161"/>
  <c r="I29" i="161"/>
  <c r="I30" i="161"/>
  <c r="I31" i="161"/>
  <c r="I32" i="161"/>
  <c r="I33" i="161"/>
  <c r="G33" i="161"/>
  <c r="E16" i="75"/>
  <c r="G18" i="161"/>
  <c r="E14" i="75"/>
  <c r="G25" i="161"/>
  <c r="E15" i="75"/>
  <c r="E20" i="146"/>
  <c r="E34" i="146"/>
  <c r="H18" i="161"/>
  <c r="A18" i="161"/>
  <c r="A19" i="161"/>
  <c r="A20" i="161"/>
  <c r="A21" i="161"/>
  <c r="G14" i="75"/>
  <c r="A22" i="161"/>
  <c r="A23" i="161"/>
  <c r="A24" i="161"/>
  <c r="A25" i="161"/>
  <c r="A26" i="161"/>
  <c r="A27" i="161"/>
  <c r="A28" i="161"/>
  <c r="G15" i="75"/>
  <c r="H25" i="161"/>
  <c r="A29" i="161"/>
  <c r="A30" i="161"/>
  <c r="A31" i="161"/>
  <c r="A32" i="161"/>
  <c r="A33" i="161"/>
  <c r="G16" i="75"/>
  <c r="H33" i="161"/>
  <c r="D12" i="159"/>
  <c r="G19" i="75"/>
  <c r="E19" i="41"/>
  <c r="F19" i="41" s="1"/>
  <c r="D21" i="154"/>
  <c r="D19" i="154"/>
  <c r="D15" i="154"/>
  <c r="D13" i="154"/>
  <c r="D11" i="154"/>
  <c r="C17" i="154"/>
  <c r="C46" i="154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27" i="154"/>
  <c r="C40" i="154"/>
  <c r="B5" i="159"/>
  <c r="A13" i="159"/>
  <c r="A14" i="159"/>
  <c r="A15" i="159"/>
  <c r="A16" i="159"/>
  <c r="A17" i="159"/>
  <c r="G12" i="159"/>
  <c r="G13" i="159"/>
  <c r="G14" i="159"/>
  <c r="G15" i="159"/>
  <c r="G16" i="159"/>
  <c r="G17" i="159"/>
  <c r="C16" i="159"/>
  <c r="F16" i="159"/>
  <c r="C52" i="154"/>
  <c r="E13" i="135"/>
  <c r="E11" i="135"/>
  <c r="B46" i="112"/>
  <c r="D32" i="112"/>
  <c r="C32" i="112"/>
  <c r="B42" i="113"/>
  <c r="B40" i="113"/>
  <c r="C17" i="158"/>
  <c r="D17" i="158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G17" i="157"/>
  <c r="H17" i="157"/>
  <c r="F18" i="157"/>
  <c r="B4" i="157"/>
  <c r="B4" i="158"/>
  <c r="B3" i="157"/>
  <c r="G18" i="157"/>
  <c r="H18" i="157"/>
  <c r="B3" i="156"/>
  <c r="F19" i="157"/>
  <c r="G19" i="157"/>
  <c r="H19" i="157"/>
  <c r="B5" i="158"/>
  <c r="B5" i="157"/>
  <c r="C17" i="157"/>
  <c r="C20" i="157"/>
  <c r="D28" i="158"/>
  <c r="D24" i="158"/>
  <c r="D20" i="158"/>
  <c r="D25" i="158"/>
  <c r="C25" i="158"/>
  <c r="I12" i="158"/>
  <c r="H12" i="158"/>
  <c r="G12" i="158"/>
  <c r="F12" i="158"/>
  <c r="E12" i="158"/>
  <c r="A12" i="158"/>
  <c r="A13" i="158"/>
  <c r="A14" i="158"/>
  <c r="A15" i="158"/>
  <c r="A16" i="158"/>
  <c r="A17" i="158"/>
  <c r="A18" i="158"/>
  <c r="A19" i="158"/>
  <c r="A20" i="158"/>
  <c r="A21" i="158"/>
  <c r="A22" i="158"/>
  <c r="A23" i="158"/>
  <c r="A24" i="158"/>
  <c r="A25" i="158"/>
  <c r="A26" i="158"/>
  <c r="A27" i="158"/>
  <c r="A28" i="158"/>
  <c r="A29" i="158"/>
  <c r="A30" i="158"/>
  <c r="D21" i="112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H12" i="157"/>
  <c r="G12" i="157"/>
  <c r="F12" i="157"/>
  <c r="E12" i="157"/>
  <c r="A12" i="157"/>
  <c r="A13" i="157"/>
  <c r="A14" i="157"/>
  <c r="A15" i="157"/>
  <c r="A16" i="157"/>
  <c r="A17" i="157"/>
  <c r="A18" i="157"/>
  <c r="A19" i="157"/>
  <c r="A20" i="157"/>
  <c r="A21" i="157"/>
  <c r="A22" i="157"/>
  <c r="A23" i="157"/>
  <c r="A24" i="157"/>
  <c r="A25" i="157"/>
  <c r="A26" i="157"/>
  <c r="A27" i="157"/>
  <c r="A28" i="157"/>
  <c r="A29" i="157"/>
  <c r="B38" i="158"/>
  <c r="I11" i="157"/>
  <c r="I12" i="157"/>
  <c r="I13" i="157"/>
  <c r="I14" i="157"/>
  <c r="I15" i="157"/>
  <c r="I16" i="157"/>
  <c r="I17" i="157"/>
  <c r="I18" i="157"/>
  <c r="I19" i="157"/>
  <c r="I20" i="157"/>
  <c r="I21" i="157"/>
  <c r="I22" i="157"/>
  <c r="I23" i="157"/>
  <c r="I24" i="157"/>
  <c r="I25" i="157"/>
  <c r="I26" i="157"/>
  <c r="I27" i="157"/>
  <c r="I28" i="157"/>
  <c r="I29" i="157"/>
  <c r="M12" i="156"/>
  <c r="L12" i="156"/>
  <c r="K12" i="156"/>
  <c r="I12" i="156"/>
  <c r="H12" i="156"/>
  <c r="A11" i="156"/>
  <c r="A12" i="156"/>
  <c r="A13" i="156"/>
  <c r="A14" i="156"/>
  <c r="A15" i="156"/>
  <c r="A16" i="156"/>
  <c r="A17" i="156"/>
  <c r="A18" i="156"/>
  <c r="A19" i="156"/>
  <c r="A20" i="156"/>
  <c r="A21" i="156"/>
  <c r="A22" i="156"/>
  <c r="A23" i="156"/>
  <c r="A24" i="156"/>
  <c r="A25" i="156"/>
  <c r="A26" i="156"/>
  <c r="A27" i="156"/>
  <c r="A28" i="156"/>
  <c r="A29" i="156"/>
  <c r="A30" i="156"/>
  <c r="D19" i="112"/>
  <c r="N11" i="156"/>
  <c r="N12" i="156"/>
  <c r="N13" i="156"/>
  <c r="N14" i="156"/>
  <c r="N15" i="156"/>
  <c r="N16" i="156"/>
  <c r="N17" i="156"/>
  <c r="N18" i="156"/>
  <c r="N19" i="156"/>
  <c r="N20" i="156"/>
  <c r="N21" i="156"/>
  <c r="N22" i="156"/>
  <c r="N23" i="156"/>
  <c r="N24" i="156"/>
  <c r="N25" i="156"/>
  <c r="N26" i="156"/>
  <c r="N27" i="156"/>
  <c r="N28" i="156"/>
  <c r="N29" i="156"/>
  <c r="N30" i="156"/>
  <c r="N31" i="156"/>
  <c r="C19" i="156"/>
  <c r="F20" i="157"/>
  <c r="G20" i="157"/>
  <c r="A31" i="156"/>
  <c r="F12" i="156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C18" i="157"/>
  <c r="C22" i="157"/>
  <c r="C24" i="157"/>
  <c r="C26" i="157"/>
  <c r="C28" i="157"/>
  <c r="C19" i="157"/>
  <c r="C21" i="157"/>
  <c r="C23" i="157"/>
  <c r="C25" i="157"/>
  <c r="C27" i="157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H20" i="157"/>
  <c r="F21" i="157"/>
  <c r="G21" i="157"/>
  <c r="H21" i="157"/>
  <c r="F22" i="157"/>
  <c r="G22" i="157"/>
  <c r="H22" i="157"/>
  <c r="F23" i="157"/>
  <c r="G23" i="157"/>
  <c r="H23" i="157"/>
  <c r="F24" i="157"/>
  <c r="G24" i="157"/>
  <c r="H24" i="157"/>
  <c r="F25" i="157"/>
  <c r="G25" i="157"/>
  <c r="H25" i="157"/>
  <c r="F26" i="157"/>
  <c r="G26" i="157"/>
  <c r="H26" i="157"/>
  <c r="F27" i="157"/>
  <c r="G27" i="157"/>
  <c r="H27" i="157"/>
  <c r="F28" i="157"/>
  <c r="G28" i="157"/>
  <c r="G29" i="157"/>
  <c r="H29" i="158"/>
  <c r="H28" i="157"/>
  <c r="E17" i="158"/>
  <c r="F28" i="158"/>
  <c r="F23" i="158"/>
  <c r="F18" i="158"/>
  <c r="F17" i="158"/>
  <c r="H17" i="158"/>
  <c r="F21" i="158"/>
  <c r="F20" i="158"/>
  <c r="F27" i="158"/>
  <c r="F26" i="158"/>
  <c r="F19" i="158"/>
  <c r="F22" i="158"/>
  <c r="F25" i="158"/>
  <c r="F24" i="158"/>
  <c r="G17" i="158"/>
  <c r="I17" i="158"/>
  <c r="E18" i="158"/>
  <c r="H18" i="158"/>
  <c r="G18" i="158"/>
  <c r="I18" i="158"/>
  <c r="E19" i="158"/>
  <c r="H19" i="158"/>
  <c r="G19" i="158"/>
  <c r="I19" i="158"/>
  <c r="E20" i="158"/>
  <c r="H20" i="158"/>
  <c r="G20" i="158"/>
  <c r="I20" i="158"/>
  <c r="E21" i="158"/>
  <c r="H21" i="158"/>
  <c r="G21" i="158"/>
  <c r="I21" i="158"/>
  <c r="E22" i="158"/>
  <c r="H22" i="158"/>
  <c r="G22" i="158"/>
  <c r="I22" i="158"/>
  <c r="E23" i="158"/>
  <c r="H23" i="158"/>
  <c r="G23" i="158"/>
  <c r="I23" i="158"/>
  <c r="E24" i="158"/>
  <c r="H24" i="158"/>
  <c r="G24" i="158"/>
  <c r="I24" i="158"/>
  <c r="E25" i="158"/>
  <c r="H25" i="158"/>
  <c r="G25" i="158"/>
  <c r="I25" i="158"/>
  <c r="E26" i="158"/>
  <c r="H26" i="158"/>
  <c r="G26" i="158"/>
  <c r="I26" i="158"/>
  <c r="E27" i="158"/>
  <c r="H27" i="158"/>
  <c r="G27" i="158"/>
  <c r="I27" i="158"/>
  <c r="E28" i="158"/>
  <c r="H28" i="158"/>
  <c r="H30" i="158"/>
  <c r="C21" i="112"/>
  <c r="G28" i="158"/>
  <c r="I28" i="158"/>
  <c r="C44" i="112"/>
  <c r="E26" i="136"/>
  <c r="E25" i="136"/>
  <c r="E24" i="136"/>
  <c r="E23" i="136"/>
  <c r="E22" i="136"/>
  <c r="E21" i="136"/>
  <c r="E20" i="136"/>
  <c r="E19" i="136"/>
  <c r="E18" i="136"/>
  <c r="E17" i="136"/>
  <c r="E16" i="136"/>
  <c r="E15" i="136"/>
  <c r="E14" i="136"/>
  <c r="A12" i="154"/>
  <c r="A13" i="154"/>
  <c r="D36" i="154"/>
  <c r="E11" i="154"/>
  <c r="E12" i="154"/>
  <c r="E13" i="154"/>
  <c r="E14" i="154"/>
  <c r="E15" i="154"/>
  <c r="E16" i="154"/>
  <c r="E17" i="154"/>
  <c r="E18" i="154"/>
  <c r="E19" i="154"/>
  <c r="E20" i="154"/>
  <c r="E21" i="154"/>
  <c r="E22" i="154"/>
  <c r="E23" i="154"/>
  <c r="E24" i="154"/>
  <c r="E25" i="154"/>
  <c r="E26" i="154"/>
  <c r="E27" i="154"/>
  <c r="E28" i="154"/>
  <c r="E33" i="154"/>
  <c r="E34" i="154"/>
  <c r="E35" i="154"/>
  <c r="E36" i="154"/>
  <c r="E37" i="154"/>
  <c r="E38" i="154"/>
  <c r="E39" i="154"/>
  <c r="E40" i="154"/>
  <c r="E41" i="154"/>
  <c r="E42" i="154"/>
  <c r="E43" i="154"/>
  <c r="E44" i="154"/>
  <c r="E45" i="154"/>
  <c r="E46" i="154"/>
  <c r="E47" i="154"/>
  <c r="E48" i="154"/>
  <c r="E49" i="154"/>
  <c r="E50" i="154"/>
  <c r="E51" i="154"/>
  <c r="E52" i="154"/>
  <c r="E53" i="154"/>
  <c r="A14" i="154"/>
  <c r="A15" i="154"/>
  <c r="D38" i="154"/>
  <c r="D17" i="154"/>
  <c r="A16" i="154"/>
  <c r="B3" i="85"/>
  <c r="A17" i="154"/>
  <c r="A18" i="154"/>
  <c r="A19" i="154"/>
  <c r="D42" i="154"/>
  <c r="B2" i="135"/>
  <c r="A20" i="154"/>
  <c r="A21" i="154"/>
  <c r="D44" i="154"/>
  <c r="A22" i="154"/>
  <c r="A23" i="154"/>
  <c r="D23" i="154"/>
  <c r="B3" i="114"/>
  <c r="B3" i="113"/>
  <c r="B3" i="111"/>
  <c r="A24" i="154"/>
  <c r="A25" i="154"/>
  <c r="B39" i="113"/>
  <c r="D27" i="154"/>
  <c r="D46" i="154"/>
  <c r="A26" i="154"/>
  <c r="A27" i="154"/>
  <c r="A28" i="154"/>
  <c r="A33" i="154"/>
  <c r="A34" i="154"/>
  <c r="A35" i="154"/>
  <c r="A36" i="154"/>
  <c r="A37" i="154"/>
  <c r="A38" i="154"/>
  <c r="A39" i="154"/>
  <c r="A40" i="154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/>
  <c r="A41" i="154"/>
  <c r="A42" i="154"/>
  <c r="A43" i="154"/>
  <c r="A44" i="154"/>
  <c r="A45" i="154"/>
  <c r="A46" i="154"/>
  <c r="A47" i="154"/>
  <c r="A48" i="154"/>
  <c r="A49" i="154"/>
  <c r="A50" i="154"/>
  <c r="A51" i="154"/>
  <c r="A52" i="154"/>
  <c r="A53" i="154"/>
  <c r="D52" i="154"/>
  <c r="D48" i="154"/>
  <c r="I11" i="34"/>
  <c r="E17" i="34"/>
  <c r="E20" i="8"/>
  <c r="E26" i="150"/>
  <c r="E25" i="150"/>
  <c r="D9" i="153"/>
  <c r="C73" i="41"/>
  <c r="B52" i="112"/>
  <c r="B4" i="41"/>
  <c r="B5" i="150"/>
  <c r="B4" i="42"/>
  <c r="E17" i="75"/>
  <c r="L11" i="34"/>
  <c r="L12" i="34"/>
  <c r="L13" i="34"/>
  <c r="L14" i="34"/>
  <c r="L15" i="34"/>
  <c r="L16" i="34"/>
  <c r="L17" i="34"/>
  <c r="L18" i="34"/>
  <c r="L19" i="34"/>
  <c r="L20" i="34"/>
  <c r="L21" i="34"/>
  <c r="L22" i="34"/>
  <c r="L23" i="34"/>
  <c r="A12" i="34"/>
  <c r="A13" i="34"/>
  <c r="A14" i="34"/>
  <c r="A15" i="34"/>
  <c r="B5" i="85"/>
  <c r="B6" i="84"/>
  <c r="A16" i="34"/>
  <c r="A17" i="34"/>
  <c r="A18" i="34"/>
  <c r="A19" i="34"/>
  <c r="A20" i="34"/>
  <c r="A21" i="34"/>
  <c r="A22" i="34"/>
  <c r="A23" i="34"/>
  <c r="K17" i="34"/>
  <c r="B5" i="71"/>
  <c r="B5" i="70"/>
  <c r="B4" i="153"/>
  <c r="B4" i="135"/>
  <c r="B3" i="153"/>
  <c r="A14" i="84"/>
  <c r="E16" i="111"/>
  <c r="C34" i="114"/>
  <c r="G13" i="66"/>
  <c r="E9" i="153"/>
  <c r="E10" i="153"/>
  <c r="E11" i="153"/>
  <c r="E12" i="153"/>
  <c r="E13" i="153"/>
  <c r="E14" i="153"/>
  <c r="E15" i="153"/>
  <c r="E16" i="153"/>
  <c r="E17" i="153"/>
  <c r="E18" i="153"/>
  <c r="E19" i="153"/>
  <c r="E20" i="153"/>
  <c r="E21" i="153"/>
  <c r="E22" i="153"/>
  <c r="E23" i="153"/>
  <c r="E24" i="153"/>
  <c r="E25" i="153"/>
  <c r="E26" i="153"/>
  <c r="E27" i="153"/>
  <c r="E28" i="153"/>
  <c r="E29" i="153"/>
  <c r="E30" i="153"/>
  <c r="E31" i="153"/>
  <c r="E32" i="153"/>
  <c r="E33" i="153"/>
  <c r="E34" i="153"/>
  <c r="E35" i="153"/>
  <c r="E36" i="153"/>
  <c r="E37" i="153"/>
  <c r="E38" i="153"/>
  <c r="E39" i="153"/>
  <c r="E40" i="153"/>
  <c r="E41" i="153"/>
  <c r="E42" i="153"/>
  <c r="E43" i="153"/>
  <c r="E44" i="153"/>
  <c r="E45" i="153"/>
  <c r="E46" i="153"/>
  <c r="E47" i="153"/>
  <c r="E48" i="153"/>
  <c r="E49" i="153"/>
  <c r="E50" i="153"/>
  <c r="E51" i="153"/>
  <c r="E52" i="153"/>
  <c r="E53" i="153"/>
  <c r="E54" i="153"/>
  <c r="E55" i="153"/>
  <c r="E56" i="153"/>
  <c r="E57" i="153"/>
  <c r="A10" i="153"/>
  <c r="A11" i="153"/>
  <c r="A12" i="153"/>
  <c r="A13" i="153"/>
  <c r="A14" i="153"/>
  <c r="A15" i="153"/>
  <c r="A16" i="153"/>
  <c r="A17" i="153"/>
  <c r="A18" i="153"/>
  <c r="A19" i="153"/>
  <c r="A20" i="153"/>
  <c r="A21" i="153"/>
  <c r="A22" i="153"/>
  <c r="A23" i="153"/>
  <c r="A24" i="153"/>
  <c r="A25" i="153"/>
  <c r="A26" i="153"/>
  <c r="A27" i="153"/>
  <c r="A28" i="153"/>
  <c r="A29" i="153"/>
  <c r="A30" i="153"/>
  <c r="A31" i="153"/>
  <c r="A32" i="153"/>
  <c r="A33" i="153"/>
  <c r="A34" i="153"/>
  <c r="A35" i="153"/>
  <c r="A36" i="153"/>
  <c r="A37" i="153"/>
  <c r="A38" i="153"/>
  <c r="A39" i="153"/>
  <c r="A40" i="153"/>
  <c r="A41" i="153"/>
  <c r="A42" i="153"/>
  <c r="A43" i="153"/>
  <c r="A44" i="153"/>
  <c r="A45" i="153"/>
  <c r="A46" i="153"/>
  <c r="A47" i="153"/>
  <c r="A48" i="153"/>
  <c r="A49" i="153"/>
  <c r="A50" i="153"/>
  <c r="A51" i="153"/>
  <c r="A52" i="153"/>
  <c r="A53" i="153"/>
  <c r="A54" i="153"/>
  <c r="A55" i="153"/>
  <c r="A56" i="153"/>
  <c r="A57" i="153"/>
  <c r="G12" i="40"/>
  <c r="D56" i="153"/>
  <c r="E12" i="40"/>
  <c r="E15" i="66"/>
  <c r="E19" i="66"/>
  <c r="B5" i="111"/>
  <c r="B5" i="11"/>
  <c r="E68" i="146"/>
  <c r="F11" i="146"/>
  <c r="F12" i="146"/>
  <c r="F13" i="146"/>
  <c r="F14" i="146"/>
  <c r="G83" i="113"/>
  <c r="A12" i="146"/>
  <c r="A13" i="146"/>
  <c r="A14" i="146"/>
  <c r="A15" i="146"/>
  <c r="E25" i="146"/>
  <c r="E24" i="146"/>
  <c r="B4" i="162"/>
  <c r="B4" i="146"/>
  <c r="F15" i="146"/>
  <c r="G85" i="113"/>
  <c r="E16" i="146"/>
  <c r="A16" i="146"/>
  <c r="G47" i="113"/>
  <c r="B5" i="34"/>
  <c r="B13" i="59"/>
  <c r="B17" i="27"/>
  <c r="B5" i="59"/>
  <c r="A14" i="59"/>
  <c r="A15" i="59"/>
  <c r="G17" i="46"/>
  <c r="F13" i="59"/>
  <c r="F14" i="59"/>
  <c r="F15" i="59"/>
  <c r="F16" i="59"/>
  <c r="B13" i="27"/>
  <c r="B5" i="27"/>
  <c r="A14" i="27"/>
  <c r="E15" i="27"/>
  <c r="F13" i="27"/>
  <c r="F14" i="27"/>
  <c r="F15" i="27"/>
  <c r="F16" i="27"/>
  <c r="F17" i="27"/>
  <c r="F18" i="27"/>
  <c r="F19" i="27"/>
  <c r="F20" i="27"/>
  <c r="F21" i="27"/>
  <c r="F22" i="27"/>
  <c r="F23" i="27"/>
  <c r="B17" i="14"/>
  <c r="B13" i="14"/>
  <c r="B5" i="14"/>
  <c r="A14" i="14"/>
  <c r="E15" i="14"/>
  <c r="F13" i="14"/>
  <c r="F14" i="14"/>
  <c r="F15" i="14"/>
  <c r="F16" i="14"/>
  <c r="F17" i="14"/>
  <c r="F18" i="14"/>
  <c r="F19" i="14"/>
  <c r="F20" i="14"/>
  <c r="F21" i="14"/>
  <c r="F22" i="14"/>
  <c r="F23" i="14"/>
  <c r="F16" i="146"/>
  <c r="F17" i="146"/>
  <c r="F18" i="146"/>
  <c r="F19" i="146"/>
  <c r="F20" i="146"/>
  <c r="F21" i="146"/>
  <c r="F22" i="146"/>
  <c r="F23" i="146"/>
  <c r="F24" i="146"/>
  <c r="F25" i="146"/>
  <c r="F26" i="146"/>
  <c r="F27" i="146"/>
  <c r="F28" i="146"/>
  <c r="F29" i="146"/>
  <c r="F30" i="146"/>
  <c r="F31" i="146"/>
  <c r="F32" i="146"/>
  <c r="F33" i="146"/>
  <c r="F34" i="146"/>
  <c r="F35" i="146"/>
  <c r="F36" i="146"/>
  <c r="F37" i="146"/>
  <c r="F38" i="146"/>
  <c r="F39" i="146"/>
  <c r="F40" i="146"/>
  <c r="F41" i="146"/>
  <c r="F42" i="146"/>
  <c r="F43" i="146"/>
  <c r="F44" i="146"/>
  <c r="F45" i="146"/>
  <c r="F46" i="146"/>
  <c r="F47" i="146"/>
  <c r="F48" i="146"/>
  <c r="A15" i="27"/>
  <c r="A16" i="27"/>
  <c r="A17" i="27"/>
  <c r="A17" i="146"/>
  <c r="A18" i="146"/>
  <c r="A19" i="146"/>
  <c r="A16" i="59"/>
  <c r="D15" i="59"/>
  <c r="E17" i="46"/>
  <c r="D19" i="27"/>
  <c r="G17" i="22"/>
  <c r="E17" i="22"/>
  <c r="D19" i="14"/>
  <c r="G29" i="2"/>
  <c r="A15" i="14"/>
  <c r="A20" i="146"/>
  <c r="A21" i="146"/>
  <c r="D22" i="14"/>
  <c r="E29" i="2"/>
  <c r="D22" i="27"/>
  <c r="A18" i="27"/>
  <c r="A19" i="27"/>
  <c r="E22" i="27"/>
  <c r="A16" i="14"/>
  <c r="A17" i="14"/>
  <c r="A22" i="146"/>
  <c r="A23" i="146"/>
  <c r="A24" i="146"/>
  <c r="E21" i="146"/>
  <c r="E19" i="27"/>
  <c r="A20" i="27"/>
  <c r="A21" i="27"/>
  <c r="A22" i="27"/>
  <c r="A18" i="14"/>
  <c r="A19" i="14"/>
  <c r="E19" i="14"/>
  <c r="A23" i="27"/>
  <c r="K17" i="22"/>
  <c r="A25" i="146"/>
  <c r="A26" i="146"/>
  <c r="A20" i="14"/>
  <c r="A21" i="14"/>
  <c r="A22" i="14"/>
  <c r="E22" i="14"/>
  <c r="E26" i="146"/>
  <c r="A23" i="14"/>
  <c r="K29" i="2"/>
  <c r="A27" i="146"/>
  <c r="A28" i="146"/>
  <c r="A29" i="146"/>
  <c r="A30" i="146"/>
  <c r="A31" i="146"/>
  <c r="A32" i="146"/>
  <c r="E32" i="146"/>
  <c r="A33" i="146"/>
  <c r="A34" i="146"/>
  <c r="A35" i="146"/>
  <c r="A36" i="146"/>
  <c r="I88" i="82"/>
  <c r="A37" i="146"/>
  <c r="A38" i="146"/>
  <c r="A39" i="146"/>
  <c r="E36" i="146"/>
  <c r="A40" i="146"/>
  <c r="A41" i="146"/>
  <c r="A42" i="146"/>
  <c r="A43" i="146"/>
  <c r="A44" i="146"/>
  <c r="E41" i="146"/>
  <c r="A45" i="146"/>
  <c r="A46" i="146"/>
  <c r="A47" i="146"/>
  <c r="A48" i="146"/>
  <c r="E75" i="146"/>
  <c r="E46" i="146"/>
  <c r="B53" i="146"/>
  <c r="B5" i="82"/>
  <c r="B119" i="82"/>
  <c r="B5" i="75"/>
  <c r="B5" i="69"/>
  <c r="B5" i="66"/>
  <c r="B5" i="46"/>
  <c r="B5" i="45"/>
  <c r="B5" i="40"/>
  <c r="B5" i="38"/>
  <c r="B5" i="22"/>
  <c r="B5" i="2"/>
  <c r="B5" i="114"/>
  <c r="E65" i="146"/>
  <c r="F11" i="150"/>
  <c r="E76" i="146"/>
  <c r="E77" i="146"/>
  <c r="J12" i="114"/>
  <c r="J13" i="114"/>
  <c r="J14" i="114"/>
  <c r="J15" i="114"/>
  <c r="J16" i="114"/>
  <c r="J17" i="114"/>
  <c r="J18" i="114"/>
  <c r="J19" i="114"/>
  <c r="J20" i="114"/>
  <c r="J21" i="114"/>
  <c r="J22" i="114"/>
  <c r="J23" i="114"/>
  <c r="J24" i="114"/>
  <c r="J25" i="114"/>
  <c r="J26" i="114"/>
  <c r="J27" i="114"/>
  <c r="J28" i="114"/>
  <c r="J29" i="114"/>
  <c r="J30" i="114"/>
  <c r="J31" i="114"/>
  <c r="J32" i="114"/>
  <c r="J33" i="114"/>
  <c r="J34" i="114"/>
  <c r="J35" i="114"/>
  <c r="J36" i="114"/>
  <c r="J37" i="114"/>
  <c r="J38" i="114"/>
  <c r="J39" i="114"/>
  <c r="J40" i="114"/>
  <c r="J41" i="114"/>
  <c r="J42" i="114"/>
  <c r="A13" i="114"/>
  <c r="A14" i="114"/>
  <c r="E78" i="146"/>
  <c r="E72" i="146"/>
  <c r="A15" i="114"/>
  <c r="A16" i="114"/>
  <c r="A17" i="114"/>
  <c r="A18" i="114"/>
  <c r="I18" i="114"/>
  <c r="E12" i="146"/>
  <c r="A19" i="114"/>
  <c r="A20" i="114"/>
  <c r="A21" i="114"/>
  <c r="A22" i="114"/>
  <c r="A23" i="114"/>
  <c r="A24" i="114"/>
  <c r="A25" i="114"/>
  <c r="E13" i="146"/>
  <c r="A26" i="114"/>
  <c r="A27" i="114"/>
  <c r="A28" i="114"/>
  <c r="A29" i="114"/>
  <c r="A30" i="114"/>
  <c r="A31" i="114"/>
  <c r="A32" i="114"/>
  <c r="A33" i="114"/>
  <c r="A34" i="114"/>
  <c r="A35" i="114"/>
  <c r="A36" i="114"/>
  <c r="H47" i="113"/>
  <c r="H48" i="113"/>
  <c r="H49" i="113"/>
  <c r="H50" i="113"/>
  <c r="H51" i="113"/>
  <c r="H52" i="113"/>
  <c r="H53" i="113"/>
  <c r="H54" i="113"/>
  <c r="H55" i="113"/>
  <c r="H56" i="113"/>
  <c r="H57" i="113"/>
  <c r="H58" i="113"/>
  <c r="H59" i="113"/>
  <c r="H60" i="113"/>
  <c r="H61" i="113"/>
  <c r="H62" i="113"/>
  <c r="H63" i="113"/>
  <c r="H64" i="113"/>
  <c r="H65" i="113"/>
  <c r="H66" i="113"/>
  <c r="H67" i="113"/>
  <c r="H68" i="113"/>
  <c r="H69" i="113"/>
  <c r="H70" i="113"/>
  <c r="H71" i="113"/>
  <c r="H72" i="113"/>
  <c r="H73" i="113"/>
  <c r="H74" i="113"/>
  <c r="H75" i="113"/>
  <c r="H76" i="113"/>
  <c r="H77" i="113"/>
  <c r="H78" i="113"/>
  <c r="H79" i="113"/>
  <c r="H80" i="113"/>
  <c r="H81" i="113"/>
  <c r="H82" i="113"/>
  <c r="H83" i="113"/>
  <c r="H84" i="113"/>
  <c r="H85" i="113"/>
  <c r="H86" i="113"/>
  <c r="H87" i="113"/>
  <c r="H88" i="113"/>
  <c r="H89" i="113"/>
  <c r="H90" i="113"/>
  <c r="H91" i="113"/>
  <c r="H92" i="113"/>
  <c r="H93" i="113"/>
  <c r="H94" i="113"/>
  <c r="H95" i="113"/>
  <c r="H96" i="113"/>
  <c r="H97" i="113"/>
  <c r="A48" i="113"/>
  <c r="A49" i="113"/>
  <c r="A50" i="113"/>
  <c r="H11" i="113"/>
  <c r="H12" i="113"/>
  <c r="H13" i="113"/>
  <c r="H14" i="113"/>
  <c r="H15" i="113"/>
  <c r="H16" i="113"/>
  <c r="H17" i="113"/>
  <c r="H18" i="113"/>
  <c r="H19" i="113"/>
  <c r="H20" i="113"/>
  <c r="H21" i="113"/>
  <c r="H22" i="113"/>
  <c r="H23" i="113"/>
  <c r="H24" i="113"/>
  <c r="H25" i="113"/>
  <c r="H26" i="113"/>
  <c r="H27" i="113"/>
  <c r="H28" i="113"/>
  <c r="H29" i="113"/>
  <c r="H30" i="113"/>
  <c r="H31" i="113"/>
  <c r="H32" i="113"/>
  <c r="H33" i="113"/>
  <c r="H34" i="113"/>
  <c r="H35" i="113"/>
  <c r="A12" i="113"/>
  <c r="E12" i="111"/>
  <c r="E14" i="111"/>
  <c r="E17" i="111"/>
  <c r="H11" i="111"/>
  <c r="H12" i="111"/>
  <c r="H13" i="111"/>
  <c r="H14" i="111"/>
  <c r="H15" i="111"/>
  <c r="A12" i="111"/>
  <c r="B42" i="112"/>
  <c r="E9" i="2"/>
  <c r="B38" i="112"/>
  <c r="B36" i="112"/>
  <c r="B34" i="112"/>
  <c r="E11" i="112"/>
  <c r="E12" i="112"/>
  <c r="A12" i="112"/>
  <c r="A13" i="112"/>
  <c r="C17" i="85"/>
  <c r="C15" i="85"/>
  <c r="A12" i="85"/>
  <c r="A13" i="85"/>
  <c r="A14" i="85"/>
  <c r="A15" i="85"/>
  <c r="A16" i="85"/>
  <c r="A17" i="85"/>
  <c r="A18" i="85"/>
  <c r="A19" i="85"/>
  <c r="E11" i="85"/>
  <c r="E12" i="85"/>
  <c r="E13" i="85"/>
  <c r="E14" i="85"/>
  <c r="E15" i="85"/>
  <c r="E16" i="85"/>
  <c r="E17" i="85"/>
  <c r="E18" i="85"/>
  <c r="E19" i="85"/>
  <c r="E20" i="85"/>
  <c r="E21" i="85"/>
  <c r="E22" i="85"/>
  <c r="E23" i="85"/>
  <c r="E24" i="85"/>
  <c r="E25" i="85"/>
  <c r="E26" i="85"/>
  <c r="E27" i="85"/>
  <c r="E28" i="85"/>
  <c r="B4" i="84"/>
  <c r="D13" i="84"/>
  <c r="D14" i="84"/>
  <c r="B74" i="82"/>
  <c r="J81" i="82"/>
  <c r="J82" i="82"/>
  <c r="J83" i="82"/>
  <c r="J84" i="82"/>
  <c r="J85" i="82"/>
  <c r="J86" i="82"/>
  <c r="J87" i="82"/>
  <c r="J88" i="82"/>
  <c r="J89" i="82"/>
  <c r="J90" i="82"/>
  <c r="J91" i="82"/>
  <c r="J92" i="82"/>
  <c r="J93" i="82"/>
  <c r="J94" i="82"/>
  <c r="J95" i="82"/>
  <c r="J96" i="82"/>
  <c r="J97" i="82"/>
  <c r="J98" i="82"/>
  <c r="J99" i="82"/>
  <c r="J100" i="82"/>
  <c r="J101" i="82"/>
  <c r="J102" i="82"/>
  <c r="J103" i="82"/>
  <c r="J104" i="82"/>
  <c r="J105" i="82"/>
  <c r="J106" i="82"/>
  <c r="J107" i="82"/>
  <c r="J108" i="82"/>
  <c r="J109" i="82"/>
  <c r="J110" i="82"/>
  <c r="A81" i="82"/>
  <c r="A82" i="82"/>
  <c r="A83" i="82"/>
  <c r="A84" i="82"/>
  <c r="A85" i="82"/>
  <c r="E49" i="82"/>
  <c r="A12" i="82"/>
  <c r="A13" i="82"/>
  <c r="A14" i="82"/>
  <c r="A15" i="82"/>
  <c r="A16" i="82"/>
  <c r="A17" i="82"/>
  <c r="A18" i="82"/>
  <c r="A19" i="82"/>
  <c r="A20" i="82"/>
  <c r="J11" i="82"/>
  <c r="J12" i="82"/>
  <c r="J13" i="82"/>
  <c r="J14" i="82"/>
  <c r="J15" i="82"/>
  <c r="J16" i="82"/>
  <c r="J17" i="82"/>
  <c r="J18" i="82"/>
  <c r="J19" i="82"/>
  <c r="J20" i="82"/>
  <c r="J21" i="82"/>
  <c r="J22" i="82"/>
  <c r="J23" i="82"/>
  <c r="J24" i="82"/>
  <c r="J25" i="82"/>
  <c r="J26" i="82"/>
  <c r="J27" i="82"/>
  <c r="J28" i="82"/>
  <c r="J29" i="82"/>
  <c r="J30" i="82"/>
  <c r="J31" i="82"/>
  <c r="J32" i="82"/>
  <c r="J33" i="82"/>
  <c r="J34" i="82"/>
  <c r="J35" i="82"/>
  <c r="J36" i="82"/>
  <c r="J37" i="82"/>
  <c r="J38" i="82"/>
  <c r="J39" i="82"/>
  <c r="J40" i="82"/>
  <c r="J41" i="82"/>
  <c r="J42" i="82"/>
  <c r="J43" i="82"/>
  <c r="J44" i="82"/>
  <c r="J45" i="82"/>
  <c r="J46" i="82"/>
  <c r="J47" i="82"/>
  <c r="J48" i="82"/>
  <c r="J49" i="82"/>
  <c r="J50" i="82"/>
  <c r="J51" i="82"/>
  <c r="J52" i="82"/>
  <c r="J53" i="82"/>
  <c r="J54" i="82"/>
  <c r="J55" i="82"/>
  <c r="J56" i="82"/>
  <c r="J57" i="82"/>
  <c r="J58" i="82"/>
  <c r="J59" i="82"/>
  <c r="J60" i="82"/>
  <c r="J61" i="82"/>
  <c r="J62" i="82"/>
  <c r="J63" i="82"/>
  <c r="J64" i="82"/>
  <c r="J65" i="82"/>
  <c r="G59" i="40"/>
  <c r="H11" i="40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A12" i="40"/>
  <c r="G12" i="111"/>
  <c r="G9" i="2"/>
  <c r="A12" i="2"/>
  <c r="A13" i="2"/>
  <c r="A14" i="2"/>
  <c r="A15" i="2"/>
  <c r="A16" i="2"/>
  <c r="A17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A12" i="22"/>
  <c r="A13" i="22"/>
  <c r="L11" i="22"/>
  <c r="L12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D7" i="135"/>
  <c r="C7" i="135"/>
  <c r="G11" i="135"/>
  <c r="G12" i="135"/>
  <c r="G13" i="135"/>
  <c r="G14" i="135"/>
  <c r="G15" i="135"/>
  <c r="G16" i="135"/>
  <c r="H11" i="38"/>
  <c r="G15" i="45"/>
  <c r="G13" i="45"/>
  <c r="H11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A12" i="45"/>
  <c r="A13" i="45"/>
  <c r="H29" i="40"/>
  <c r="H30" i="40"/>
  <c r="H31" i="40"/>
  <c r="H32" i="40"/>
  <c r="H33" i="40"/>
  <c r="H34" i="40"/>
  <c r="H35" i="40"/>
  <c r="H36" i="40"/>
  <c r="H37" i="40"/>
  <c r="H38" i="40"/>
  <c r="H39" i="40"/>
  <c r="H40" i="40"/>
  <c r="H41" i="40"/>
  <c r="H42" i="40"/>
  <c r="H27" i="40"/>
  <c r="H28" i="40"/>
  <c r="H44" i="40"/>
  <c r="H45" i="40"/>
  <c r="H46" i="40"/>
  <c r="H47" i="40"/>
  <c r="H48" i="40"/>
  <c r="H49" i="40"/>
  <c r="H50" i="40"/>
  <c r="H51" i="40"/>
  <c r="H52" i="40"/>
  <c r="H53" i="40"/>
  <c r="H54" i="40"/>
  <c r="H55" i="40"/>
  <c r="H56" i="40"/>
  <c r="H57" i="40"/>
  <c r="H58" i="40"/>
  <c r="H59" i="40"/>
  <c r="H60" i="40"/>
  <c r="H61" i="40"/>
  <c r="H62" i="40"/>
  <c r="H63" i="40"/>
  <c r="H64" i="40"/>
  <c r="H65" i="40"/>
  <c r="H66" i="40"/>
  <c r="H67" i="40"/>
  <c r="H68" i="40"/>
  <c r="E14" i="146"/>
  <c r="I36" i="114"/>
  <c r="A37" i="114"/>
  <c r="A38" i="114"/>
  <c r="A39" i="114"/>
  <c r="A40" i="114"/>
  <c r="I38" i="114"/>
  <c r="I34" i="114"/>
  <c r="A13" i="113"/>
  <c r="A14" i="113"/>
  <c r="A15" i="113"/>
  <c r="A16" i="113"/>
  <c r="A17" i="113"/>
  <c r="A18" i="113"/>
  <c r="A19" i="113"/>
  <c r="A20" i="113"/>
  <c r="A21" i="113"/>
  <c r="A22" i="113"/>
  <c r="D36" i="112"/>
  <c r="A14" i="112"/>
  <c r="A15" i="112"/>
  <c r="A16" i="112"/>
  <c r="A17" i="112"/>
  <c r="C19" i="85"/>
  <c r="A20" i="85"/>
  <c r="A21" i="85"/>
  <c r="A22" i="85"/>
  <c r="A23" i="85"/>
  <c r="A11" i="135"/>
  <c r="A18" i="2"/>
  <c r="A19" i="2"/>
  <c r="G61" i="40"/>
  <c r="A13" i="40"/>
  <c r="A14" i="40"/>
  <c r="A15" i="40"/>
  <c r="H16" i="111"/>
  <c r="H17" i="111"/>
  <c r="H18" i="111"/>
  <c r="H19" i="111"/>
  <c r="H20" i="111"/>
  <c r="H21" i="111"/>
  <c r="H22" i="111"/>
  <c r="H23" i="111"/>
  <c r="H24" i="111"/>
  <c r="H25" i="111"/>
  <c r="H26" i="111"/>
  <c r="H27" i="111"/>
  <c r="A13" i="111"/>
  <c r="A14" i="111"/>
  <c r="G9" i="34"/>
  <c r="G9" i="22"/>
  <c r="E9" i="34"/>
  <c r="E9" i="22"/>
  <c r="A14" i="45"/>
  <c r="A15" i="45"/>
  <c r="B5" i="113"/>
  <c r="A51" i="113"/>
  <c r="A52" i="113"/>
  <c r="A53" i="113"/>
  <c r="A54" i="113"/>
  <c r="A55" i="113"/>
  <c r="A56" i="113"/>
  <c r="A57" i="113"/>
  <c r="A58" i="113"/>
  <c r="A59" i="113"/>
  <c r="A60" i="113"/>
  <c r="G52" i="113"/>
  <c r="D15" i="85"/>
  <c r="I17" i="82"/>
  <c r="G25" i="82"/>
  <c r="G32" i="82"/>
  <c r="G17" i="82"/>
  <c r="I97" i="82"/>
  <c r="A86" i="82"/>
  <c r="A21" i="82"/>
  <c r="A22" i="82"/>
  <c r="A23" i="82"/>
  <c r="A24" i="82"/>
  <c r="A25" i="82"/>
  <c r="I27" i="82"/>
  <c r="G39" i="82"/>
  <c r="C49" i="82" s="1"/>
  <c r="C48" i="82"/>
  <c r="I29" i="2"/>
  <c r="I17" i="22"/>
  <c r="A14" i="22"/>
  <c r="A15" i="22"/>
  <c r="H11" i="46"/>
  <c r="H12" i="46"/>
  <c r="H13" i="46"/>
  <c r="H14" i="46"/>
  <c r="H15" i="46"/>
  <c r="H16" i="46"/>
  <c r="H17" i="46"/>
  <c r="H18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11" i="66"/>
  <c r="H12" i="66"/>
  <c r="H13" i="66"/>
  <c r="H14" i="66"/>
  <c r="H15" i="66"/>
  <c r="H16" i="66"/>
  <c r="H17" i="66"/>
  <c r="H18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7" i="66"/>
  <c r="H38" i="66"/>
  <c r="A12" i="66"/>
  <c r="A13" i="66"/>
  <c r="G15" i="66"/>
  <c r="E27" i="69"/>
  <c r="A12" i="69"/>
  <c r="A13" i="69"/>
  <c r="J11" i="69"/>
  <c r="J12" i="69"/>
  <c r="J13" i="69"/>
  <c r="J14" i="69"/>
  <c r="J15" i="69"/>
  <c r="J16" i="69"/>
  <c r="J17" i="69"/>
  <c r="J18" i="69"/>
  <c r="J19" i="69"/>
  <c r="J20" i="69"/>
  <c r="J21" i="69"/>
  <c r="J22" i="69"/>
  <c r="J23" i="69"/>
  <c r="J24" i="69"/>
  <c r="J25" i="69"/>
  <c r="J26" i="69"/>
  <c r="J27" i="69"/>
  <c r="J28" i="69"/>
  <c r="J29" i="69"/>
  <c r="A11" i="75"/>
  <c r="B25" i="71"/>
  <c r="B14" i="71"/>
  <c r="B13" i="71"/>
  <c r="A16" i="40"/>
  <c r="A17" i="40"/>
  <c r="A18" i="40"/>
  <c r="A19" i="40"/>
  <c r="A20" i="40"/>
  <c r="A21" i="40"/>
  <c r="A22" i="40"/>
  <c r="A23" i="40"/>
  <c r="A24" i="40"/>
  <c r="A25" i="40"/>
  <c r="A26" i="40"/>
  <c r="C63" i="82"/>
  <c r="E15" i="146"/>
  <c r="E79" i="146"/>
  <c r="I40" i="114"/>
  <c r="A41" i="114"/>
  <c r="A42" i="114"/>
  <c r="D15" i="112"/>
  <c r="I42" i="114"/>
  <c r="A23" i="113"/>
  <c r="A24" i="113"/>
  <c r="A25" i="113"/>
  <c r="A26" i="113"/>
  <c r="A27" i="113"/>
  <c r="A28" i="113"/>
  <c r="A29" i="113"/>
  <c r="A30" i="113"/>
  <c r="A31" i="113"/>
  <c r="A32" i="113"/>
  <c r="A33" i="113"/>
  <c r="A34" i="113"/>
  <c r="A35" i="113"/>
  <c r="D13" i="112"/>
  <c r="G24" i="113"/>
  <c r="A18" i="112"/>
  <c r="A19" i="112"/>
  <c r="A20" i="112"/>
  <c r="A21" i="112"/>
  <c r="A22" i="112"/>
  <c r="A23" i="112"/>
  <c r="A24" i="112"/>
  <c r="A25" i="112"/>
  <c r="A26" i="112"/>
  <c r="A27" i="112"/>
  <c r="A28" i="112"/>
  <c r="D17" i="112"/>
  <c r="D38" i="112"/>
  <c r="A61" i="113"/>
  <c r="A62" i="113"/>
  <c r="G62" i="113"/>
  <c r="B41" i="113"/>
  <c r="C23" i="85"/>
  <c r="C27" i="85"/>
  <c r="G21" i="114"/>
  <c r="C62" i="84"/>
  <c r="C64" i="84"/>
  <c r="D23" i="85"/>
  <c r="G12" i="113"/>
  <c r="A87" i="82"/>
  <c r="A88" i="82"/>
  <c r="B24" i="75"/>
  <c r="A24" i="85"/>
  <c r="A25" i="85"/>
  <c r="A26" i="85"/>
  <c r="A27" i="85"/>
  <c r="I21" i="114"/>
  <c r="E21" i="75"/>
  <c r="G86" i="82"/>
  <c r="A12" i="135"/>
  <c r="A13" i="135"/>
  <c r="A14" i="135"/>
  <c r="A15" i="135"/>
  <c r="A20" i="2"/>
  <c r="A21" i="2"/>
  <c r="G62" i="40"/>
  <c r="A15" i="111"/>
  <c r="A16" i="111"/>
  <c r="A17" i="111"/>
  <c r="G14" i="111"/>
  <c r="H11" i="75"/>
  <c r="H12" i="75"/>
  <c r="A14" i="66"/>
  <c r="A15" i="66"/>
  <c r="A16" i="66"/>
  <c r="A17" i="66"/>
  <c r="A18" i="66"/>
  <c r="A19" i="66"/>
  <c r="A20" i="66"/>
  <c r="A21" i="66"/>
  <c r="A22" i="66"/>
  <c r="A23" i="66"/>
  <c r="A16" i="45"/>
  <c r="A17" i="45"/>
  <c r="A18" i="45"/>
  <c r="A19" i="45"/>
  <c r="A20" i="45"/>
  <c r="A21" i="45"/>
  <c r="A22" i="45"/>
  <c r="A23" i="45"/>
  <c r="G25" i="45"/>
  <c r="E65" i="40"/>
  <c r="D19" i="85"/>
  <c r="G27" i="82"/>
  <c r="E48" i="82"/>
  <c r="C47" i="82"/>
  <c r="I25" i="82"/>
  <c r="A26" i="82"/>
  <c r="A27" i="82"/>
  <c r="A16" i="22"/>
  <c r="A17" i="22"/>
  <c r="A14" i="69"/>
  <c r="A15" i="69"/>
  <c r="I15" i="69"/>
  <c r="A12" i="75"/>
  <c r="A14" i="71"/>
  <c r="A15" i="71"/>
  <c r="A16" i="71"/>
  <c r="A17" i="71"/>
  <c r="A18" i="71"/>
  <c r="A19" i="71"/>
  <c r="A20" i="71"/>
  <c r="A21" i="71"/>
  <c r="A22" i="71"/>
  <c r="A23" i="71"/>
  <c r="A24" i="71"/>
  <c r="A25" i="71"/>
  <c r="E13" i="71"/>
  <c r="E14" i="71"/>
  <c r="E15" i="71"/>
  <c r="E16" i="71"/>
  <c r="E17" i="71"/>
  <c r="E18" i="71"/>
  <c r="E19" i="71"/>
  <c r="E20" i="71"/>
  <c r="E21" i="71"/>
  <c r="E22" i="71"/>
  <c r="E23" i="71"/>
  <c r="E24" i="71"/>
  <c r="E25" i="71"/>
  <c r="E26" i="71"/>
  <c r="E27" i="71"/>
  <c r="E28" i="71"/>
  <c r="E29" i="71"/>
  <c r="E30" i="71"/>
  <c r="E31" i="71"/>
  <c r="B27" i="70"/>
  <c r="B16" i="70"/>
  <c r="B15" i="70"/>
  <c r="A27" i="40"/>
  <c r="G27" i="40"/>
  <c r="D27" i="85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D44" i="112"/>
  <c r="D42" i="112"/>
  <c r="D23" i="112"/>
  <c r="G28" i="113"/>
  <c r="G33" i="113"/>
  <c r="G26" i="113"/>
  <c r="E47" i="82"/>
  <c r="A63" i="113"/>
  <c r="A64" i="113"/>
  <c r="A65" i="113"/>
  <c r="A66" i="113"/>
  <c r="A67" i="113"/>
  <c r="A68" i="113"/>
  <c r="A69" i="113"/>
  <c r="A70" i="113"/>
  <c r="A71" i="113"/>
  <c r="A72" i="113"/>
  <c r="A73" i="113"/>
  <c r="A74" i="113"/>
  <c r="A75" i="113"/>
  <c r="A76" i="113"/>
  <c r="G16" i="113"/>
  <c r="A24" i="66"/>
  <c r="A25" i="66"/>
  <c r="A26" i="66"/>
  <c r="A27" i="66"/>
  <c r="F15" i="135"/>
  <c r="I98" i="82"/>
  <c r="A26" i="71"/>
  <c r="A27" i="71"/>
  <c r="A28" i="71"/>
  <c r="A29" i="71"/>
  <c r="A30" i="71"/>
  <c r="D27" i="71"/>
  <c r="A28" i="85"/>
  <c r="G17" i="111"/>
  <c r="A16" i="69"/>
  <c r="A17" i="69"/>
  <c r="A18" i="69"/>
  <c r="A19" i="69"/>
  <c r="E29" i="146"/>
  <c r="G71" i="113"/>
  <c r="A13" i="75"/>
  <c r="A14" i="75"/>
  <c r="H13" i="75"/>
  <c r="H14" i="75"/>
  <c r="H15" i="75"/>
  <c r="H16" i="75"/>
  <c r="A16" i="135"/>
  <c r="E61" i="146"/>
  <c r="A18" i="111"/>
  <c r="A19" i="111"/>
  <c r="A20" i="111"/>
  <c r="A21" i="111"/>
  <c r="A24" i="45"/>
  <c r="A25" i="45"/>
  <c r="G57" i="113"/>
  <c r="G35" i="113"/>
  <c r="I47" i="82"/>
  <c r="A28" i="82"/>
  <c r="A29" i="82"/>
  <c r="A30" i="82"/>
  <c r="I36" i="82"/>
  <c r="I99" i="82"/>
  <c r="A89" i="82"/>
  <c r="I134" i="82"/>
  <c r="A18" i="22"/>
  <c r="A19" i="22"/>
  <c r="K25" i="22"/>
  <c r="G19" i="66"/>
  <c r="I19" i="69"/>
  <c r="A16" i="70"/>
  <c r="A17" i="70"/>
  <c r="A18" i="70"/>
  <c r="A19" i="70"/>
  <c r="A20" i="70"/>
  <c r="A21" i="70"/>
  <c r="A22" i="70"/>
  <c r="A23" i="70"/>
  <c r="A24" i="70"/>
  <c r="A25" i="70"/>
  <c r="A26" i="70"/>
  <c r="A27" i="70"/>
  <c r="E15" i="70"/>
  <c r="E16" i="70"/>
  <c r="E17" i="70"/>
  <c r="E18" i="70"/>
  <c r="E19" i="70"/>
  <c r="E20" i="70"/>
  <c r="E21" i="70"/>
  <c r="E22" i="70"/>
  <c r="E23" i="70"/>
  <c r="E24" i="70"/>
  <c r="E25" i="70"/>
  <c r="E26" i="70"/>
  <c r="E27" i="70"/>
  <c r="E28" i="70"/>
  <c r="E29" i="70"/>
  <c r="E30" i="70"/>
  <c r="E31" i="70"/>
  <c r="E32" i="70"/>
  <c r="E33" i="70"/>
  <c r="B15" i="56"/>
  <c r="B5" i="56"/>
  <c r="A16" i="56"/>
  <c r="E15" i="56"/>
  <c r="E16" i="56"/>
  <c r="A12" i="42"/>
  <c r="A13" i="42" s="1"/>
  <c r="A14" i="42" s="1"/>
  <c r="A15" i="42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H34" i="42" s="1"/>
  <c r="A12" i="4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F45" i="41"/>
  <c r="E21" i="40"/>
  <c r="E18" i="40"/>
  <c r="E17" i="40"/>
  <c r="A28" i="40"/>
  <c r="A29" i="40"/>
  <c r="A30" i="40"/>
  <c r="A31" i="40"/>
  <c r="A32" i="40"/>
  <c r="A33" i="40"/>
  <c r="A34" i="40"/>
  <c r="I22" i="69"/>
  <c r="G50" i="113"/>
  <c r="K35" i="2"/>
  <c r="G61" i="82"/>
  <c r="G62" i="82"/>
  <c r="G27" i="66"/>
  <c r="A28" i="66"/>
  <c r="A29" i="66"/>
  <c r="A30" i="66"/>
  <c r="A31" i="66"/>
  <c r="A32" i="66"/>
  <c r="A33" i="66"/>
  <c r="A34" i="66"/>
  <c r="A35" i="66"/>
  <c r="A36" i="66"/>
  <c r="A37" i="66"/>
  <c r="A38" i="66"/>
  <c r="G60" i="113"/>
  <c r="A77" i="113"/>
  <c r="A78" i="113"/>
  <c r="A79" i="113"/>
  <c r="A80" i="113"/>
  <c r="G89" i="113"/>
  <c r="D46" i="112"/>
  <c r="D27" i="112"/>
  <c r="A15" i="75"/>
  <c r="A16" i="75"/>
  <c r="G17" i="75"/>
  <c r="G21" i="111"/>
  <c r="A28" i="70"/>
  <c r="A29" i="70"/>
  <c r="A30" i="70"/>
  <c r="A31" i="70"/>
  <c r="A32" i="70"/>
  <c r="D29" i="70"/>
  <c r="A20" i="69"/>
  <c r="A21" i="69"/>
  <c r="A22" i="69"/>
  <c r="A23" i="69"/>
  <c r="A24" i="69"/>
  <c r="A25" i="69"/>
  <c r="E30" i="146"/>
  <c r="G72" i="113"/>
  <c r="A31" i="71"/>
  <c r="I17" i="69"/>
  <c r="E15" i="41"/>
  <c r="F15" i="41" s="1"/>
  <c r="D41" i="41"/>
  <c r="H17" i="75"/>
  <c r="H18" i="75"/>
  <c r="H19" i="75"/>
  <c r="H20" i="75"/>
  <c r="H21" i="75"/>
  <c r="A22" i="111"/>
  <c r="A23" i="111"/>
  <c r="G25" i="111"/>
  <c r="G23" i="111"/>
  <c r="G14" i="113"/>
  <c r="G27" i="45"/>
  <c r="A26" i="45"/>
  <c r="A27" i="45"/>
  <c r="G19" i="46"/>
  <c r="G67" i="113"/>
  <c r="A90" i="82"/>
  <c r="A91" i="82"/>
  <c r="A31" i="82"/>
  <c r="A20" i="22"/>
  <c r="A21" i="22"/>
  <c r="E69" i="146"/>
  <c r="K21" i="22"/>
  <c r="K23" i="22"/>
  <c r="I24" i="69"/>
  <c r="A35" i="40"/>
  <c r="A36" i="40"/>
  <c r="A37" i="40"/>
  <c r="A38" i="40"/>
  <c r="A39" i="40"/>
  <c r="A40" i="40"/>
  <c r="A41" i="40"/>
  <c r="A42" i="40"/>
  <c r="A17" i="75"/>
  <c r="G65" i="82"/>
  <c r="G130" i="82"/>
  <c r="G136" i="82"/>
  <c r="G145" i="82"/>
  <c r="G60" i="82"/>
  <c r="G63" i="82"/>
  <c r="G153" i="82"/>
  <c r="D63" i="82"/>
  <c r="A81" i="113"/>
  <c r="A82" i="113"/>
  <c r="A83" i="113"/>
  <c r="G20" i="113"/>
  <c r="I25" i="69"/>
  <c r="A33" i="70"/>
  <c r="I11" i="69"/>
  <c r="A18" i="75"/>
  <c r="A19" i="75"/>
  <c r="A20" i="75"/>
  <c r="A21" i="75"/>
  <c r="I86" i="82"/>
  <c r="A24" i="111"/>
  <c r="A25" i="111"/>
  <c r="A26" i="111"/>
  <c r="A27" i="111"/>
  <c r="D11" i="112"/>
  <c r="G18" i="113"/>
  <c r="I100" i="82"/>
  <c r="A92" i="82"/>
  <c r="A93" i="82"/>
  <c r="A94" i="82"/>
  <c r="A95" i="82"/>
  <c r="A96" i="82"/>
  <c r="A97" i="82"/>
  <c r="A98" i="82"/>
  <c r="A99" i="82"/>
  <c r="A100" i="82"/>
  <c r="A101" i="82"/>
  <c r="I146" i="82"/>
  <c r="A32" i="82"/>
  <c r="I32" i="82"/>
  <c r="A22" i="22"/>
  <c r="A23" i="22"/>
  <c r="G23" i="66"/>
  <c r="A26" i="69"/>
  <c r="A27" i="69"/>
  <c r="I29" i="69"/>
  <c r="A45" i="40"/>
  <c r="G45" i="40"/>
  <c r="A84" i="113"/>
  <c r="A85" i="113"/>
  <c r="A86" i="113"/>
  <c r="A87" i="113"/>
  <c r="A88" i="113"/>
  <c r="A89" i="113"/>
  <c r="A90" i="113"/>
  <c r="A91" i="113"/>
  <c r="A92" i="113"/>
  <c r="A93" i="113"/>
  <c r="A94" i="113"/>
  <c r="A95" i="113"/>
  <c r="A96" i="113"/>
  <c r="A97" i="113"/>
  <c r="G142" i="82"/>
  <c r="G148" i="82"/>
  <c r="G151" i="82"/>
  <c r="G155" i="82"/>
  <c r="G21" i="75"/>
  <c r="G27" i="111"/>
  <c r="A24" i="22"/>
  <c r="A25" i="22"/>
  <c r="E70" i="146"/>
  <c r="G64" i="40"/>
  <c r="G74" i="113"/>
  <c r="G36" i="66"/>
  <c r="K19" i="22"/>
  <c r="G46" i="40"/>
  <c r="K33" i="2"/>
  <c r="A102" i="82"/>
  <c r="A103" i="82"/>
  <c r="I106" i="82"/>
  <c r="I48" i="82"/>
  <c r="A33" i="82"/>
  <c r="A34" i="82"/>
  <c r="A35" i="82"/>
  <c r="A28" i="69"/>
  <c r="A29" i="69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H51" i="41" s="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B26" i="109"/>
  <c r="B15" i="109"/>
  <c r="B14" i="109"/>
  <c r="B6" i="109"/>
  <c r="A15" i="109"/>
  <c r="A16" i="109"/>
  <c r="A17" i="109"/>
  <c r="A18" i="109"/>
  <c r="A19" i="109"/>
  <c r="A20" i="109"/>
  <c r="A21" i="109"/>
  <c r="A22" i="109"/>
  <c r="A23" i="109"/>
  <c r="A24" i="109"/>
  <c r="A25" i="109"/>
  <c r="A26" i="109"/>
  <c r="E14" i="109"/>
  <c r="E15" i="109"/>
  <c r="E16" i="109"/>
  <c r="E17" i="109"/>
  <c r="E18" i="109"/>
  <c r="E19" i="109"/>
  <c r="E20" i="109"/>
  <c r="E21" i="109"/>
  <c r="E22" i="109"/>
  <c r="E23" i="109"/>
  <c r="E24" i="109"/>
  <c r="E25" i="109"/>
  <c r="E26" i="109"/>
  <c r="E27" i="109"/>
  <c r="E28" i="109"/>
  <c r="E29" i="109"/>
  <c r="E30" i="109"/>
  <c r="E31" i="109"/>
  <c r="E32" i="109"/>
  <c r="G15" i="22"/>
  <c r="E15" i="22"/>
  <c r="B16" i="26"/>
  <c r="B14" i="26"/>
  <c r="B5" i="26"/>
  <c r="A15" i="26"/>
  <c r="A16" i="26"/>
  <c r="D19" i="26"/>
  <c r="E14" i="26"/>
  <c r="E15" i="26"/>
  <c r="E16" i="26"/>
  <c r="E17" i="26"/>
  <c r="E18" i="26"/>
  <c r="E19" i="26"/>
  <c r="E20" i="26"/>
  <c r="G13" i="22"/>
  <c r="E13" i="22"/>
  <c r="B16" i="25"/>
  <c r="B14" i="25"/>
  <c r="B5" i="25"/>
  <c r="A15" i="25"/>
  <c r="A16" i="25"/>
  <c r="D19" i="25"/>
  <c r="E14" i="25"/>
  <c r="E15" i="25"/>
  <c r="E16" i="25"/>
  <c r="E17" i="25"/>
  <c r="E18" i="25"/>
  <c r="E19" i="25"/>
  <c r="E20" i="25"/>
  <c r="F34" i="24"/>
  <c r="K18" i="24"/>
  <c r="K20" i="24"/>
  <c r="K27" i="24"/>
  <c r="K31" i="24"/>
  <c r="K19" i="24"/>
  <c r="A17" i="24"/>
  <c r="A18" i="24"/>
  <c r="A19" i="24"/>
  <c r="A20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B26" i="136"/>
  <c r="B15" i="136"/>
  <c r="A15" i="136"/>
  <c r="A16" i="136"/>
  <c r="A17" i="136"/>
  <c r="A18" i="136"/>
  <c r="A19" i="136"/>
  <c r="A20" i="136"/>
  <c r="A21" i="136"/>
  <c r="A22" i="136"/>
  <c r="A23" i="136"/>
  <c r="A24" i="136"/>
  <c r="A25" i="136"/>
  <c r="A26" i="136"/>
  <c r="G14" i="136"/>
  <c r="G15" i="136"/>
  <c r="G16" i="136"/>
  <c r="G17" i="136"/>
  <c r="G18" i="136"/>
  <c r="G19" i="136"/>
  <c r="G20" i="136"/>
  <c r="G21" i="136"/>
  <c r="G22" i="136"/>
  <c r="G23" i="136"/>
  <c r="G24" i="136"/>
  <c r="G25" i="136"/>
  <c r="G26" i="136"/>
  <c r="G27" i="136"/>
  <c r="G28" i="136"/>
  <c r="G29" i="136"/>
  <c r="G30" i="136"/>
  <c r="G31" i="136"/>
  <c r="G32" i="136"/>
  <c r="B14" i="136"/>
  <c r="B5" i="136"/>
  <c r="B26" i="23"/>
  <c r="B15" i="23"/>
  <c r="B14" i="23"/>
  <c r="B5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29" i="23"/>
  <c r="G30" i="23"/>
  <c r="G31" i="23"/>
  <c r="G32" i="23"/>
  <c r="G33" i="23"/>
  <c r="G34" i="23"/>
  <c r="G35" i="23"/>
  <c r="G36" i="23"/>
  <c r="G27" i="2"/>
  <c r="E27" i="2"/>
  <c r="B16" i="13"/>
  <c r="B14" i="13"/>
  <c r="B5" i="13"/>
  <c r="A15" i="13"/>
  <c r="A16" i="13"/>
  <c r="D19" i="13"/>
  <c r="E14" i="13"/>
  <c r="E15" i="13"/>
  <c r="E16" i="13"/>
  <c r="E17" i="13"/>
  <c r="E18" i="13"/>
  <c r="E19" i="13"/>
  <c r="E20" i="13"/>
  <c r="G25" i="2"/>
  <c r="E25" i="2"/>
  <c r="B16" i="3"/>
  <c r="B14" i="3"/>
  <c r="B5" i="3"/>
  <c r="A15" i="3"/>
  <c r="A16" i="3"/>
  <c r="D19" i="3"/>
  <c r="E14" i="3"/>
  <c r="E15" i="3"/>
  <c r="E16" i="3"/>
  <c r="E17" i="3"/>
  <c r="E18" i="3"/>
  <c r="E19" i="3"/>
  <c r="E20" i="3"/>
  <c r="K30" i="11"/>
  <c r="A16" i="11"/>
  <c r="A17" i="11"/>
  <c r="A18" i="11"/>
  <c r="A19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A46" i="40"/>
  <c r="A47" i="40"/>
  <c r="G47" i="40"/>
  <c r="G87" i="113"/>
  <c r="K30" i="24"/>
  <c r="K26" i="24"/>
  <c r="A27" i="109"/>
  <c r="A28" i="109"/>
  <c r="A29" i="109"/>
  <c r="A30" i="109"/>
  <c r="A31" i="109"/>
  <c r="D28" i="109"/>
  <c r="E31" i="146"/>
  <c r="G73" i="113"/>
  <c r="A27" i="136"/>
  <c r="A28" i="136"/>
  <c r="A29" i="136"/>
  <c r="A30" i="136"/>
  <c r="A31" i="136"/>
  <c r="F34" i="23"/>
  <c r="D31" i="136"/>
  <c r="F31" i="136"/>
  <c r="D28" i="136"/>
  <c r="F28" i="136"/>
  <c r="I25" i="2"/>
  <c r="A27" i="23"/>
  <c r="A28" i="23"/>
  <c r="A29" i="23"/>
  <c r="A30" i="23"/>
  <c r="A31" i="23"/>
  <c r="A32" i="23"/>
  <c r="A33" i="23"/>
  <c r="A34" i="23"/>
  <c r="A35" i="23"/>
  <c r="A36" i="23"/>
  <c r="K11" i="22"/>
  <c r="D31" i="23"/>
  <c r="D28" i="23"/>
  <c r="F28" i="23"/>
  <c r="I27" i="2"/>
  <c r="K28" i="24"/>
  <c r="I13" i="22"/>
  <c r="I15" i="22"/>
  <c r="A26" i="22"/>
  <c r="A27" i="22"/>
  <c r="A28" i="22"/>
  <c r="A29" i="22"/>
  <c r="E71" i="146"/>
  <c r="K27" i="22"/>
  <c r="K31" i="2"/>
  <c r="G65" i="40"/>
  <c r="K41" i="2"/>
  <c r="G78" i="113"/>
  <c r="G80" i="113"/>
  <c r="A104" i="82"/>
  <c r="A105" i="82"/>
  <c r="A106" i="82"/>
  <c r="A36" i="82"/>
  <c r="A37" i="82"/>
  <c r="A38" i="82"/>
  <c r="A39" i="82"/>
  <c r="A40" i="82"/>
  <c r="A41" i="82"/>
  <c r="A42" i="82"/>
  <c r="F30" i="41"/>
  <c r="F31" i="41"/>
  <c r="F35" i="41"/>
  <c r="F32" i="41"/>
  <c r="F39" i="41"/>
  <c r="D27" i="41"/>
  <c r="F34" i="41"/>
  <c r="F33" i="41"/>
  <c r="C19" i="26"/>
  <c r="A17" i="26"/>
  <c r="A18" i="26"/>
  <c r="A19" i="26"/>
  <c r="C19" i="25"/>
  <c r="A17" i="25"/>
  <c r="A18" i="25"/>
  <c r="A19" i="25"/>
  <c r="J34" i="24"/>
  <c r="J22" i="24"/>
  <c r="I34" i="24"/>
  <c r="I22" i="24"/>
  <c r="H34" i="24"/>
  <c r="H22" i="24"/>
  <c r="G34" i="24"/>
  <c r="G22" i="24"/>
  <c r="E34" i="24"/>
  <c r="K32" i="24"/>
  <c r="K17" i="24"/>
  <c r="E22" i="24"/>
  <c r="K29" i="24"/>
  <c r="D34" i="24"/>
  <c r="K25" i="24"/>
  <c r="D22" i="24"/>
  <c r="K16" i="24"/>
  <c r="A21" i="24"/>
  <c r="A22" i="24"/>
  <c r="L22" i="24"/>
  <c r="F22" i="24"/>
  <c r="F36" i="24"/>
  <c r="K24" i="24"/>
  <c r="E28" i="136"/>
  <c r="E31" i="136"/>
  <c r="E34" i="23"/>
  <c r="C28" i="136"/>
  <c r="C31" i="136"/>
  <c r="A32" i="136"/>
  <c r="E28" i="23"/>
  <c r="E31" i="23"/>
  <c r="C28" i="23"/>
  <c r="C31" i="23"/>
  <c r="C19" i="13"/>
  <c r="A17" i="13"/>
  <c r="A18" i="13"/>
  <c r="A19" i="13"/>
  <c r="C19" i="3"/>
  <c r="A17" i="3"/>
  <c r="A18" i="3"/>
  <c r="A19" i="3"/>
  <c r="J33" i="11"/>
  <c r="I33" i="11"/>
  <c r="H33" i="11"/>
  <c r="G33" i="11"/>
  <c r="F33" i="11"/>
  <c r="E33" i="11"/>
  <c r="K31" i="11"/>
  <c r="D33" i="11"/>
  <c r="L21" i="11"/>
  <c r="A20" i="11"/>
  <c r="A21" i="11"/>
  <c r="B26" i="9"/>
  <c r="B15" i="9"/>
  <c r="B14" i="9"/>
  <c r="A15" i="9"/>
  <c r="A16" i="9"/>
  <c r="A17" i="9"/>
  <c r="A18" i="9"/>
  <c r="A19" i="9"/>
  <c r="A20" i="9"/>
  <c r="A21" i="9"/>
  <c r="A22" i="9"/>
  <c r="A23" i="9"/>
  <c r="A24" i="9"/>
  <c r="A25" i="9"/>
  <c r="A26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19" i="2"/>
  <c r="E19" i="2"/>
  <c r="B17" i="8"/>
  <c r="B15" i="8"/>
  <c r="B5" i="8"/>
  <c r="A16" i="8"/>
  <c r="A17" i="8"/>
  <c r="G15" i="8"/>
  <c r="G16" i="8"/>
  <c r="G17" i="8"/>
  <c r="G18" i="8"/>
  <c r="G19" i="8"/>
  <c r="G20" i="8"/>
  <c r="G21" i="8"/>
  <c r="B26" i="7"/>
  <c r="B15" i="7"/>
  <c r="B14" i="7"/>
  <c r="B5" i="7"/>
  <c r="A15" i="7"/>
  <c r="A16" i="7"/>
  <c r="A17" i="7"/>
  <c r="A18" i="7"/>
  <c r="A19" i="7"/>
  <c r="A20" i="7"/>
  <c r="A21" i="7"/>
  <c r="A22" i="7"/>
  <c r="A23" i="7"/>
  <c r="A24" i="7"/>
  <c r="A25" i="7"/>
  <c r="A26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B26" i="6"/>
  <c r="B15" i="6"/>
  <c r="B14" i="6"/>
  <c r="B5" i="6"/>
  <c r="A15" i="6"/>
  <c r="A16" i="6"/>
  <c r="A17" i="6"/>
  <c r="A18" i="6"/>
  <c r="A19" i="6"/>
  <c r="A20" i="6"/>
  <c r="A21" i="6"/>
  <c r="A22" i="6"/>
  <c r="A23" i="6"/>
  <c r="A24" i="6"/>
  <c r="A25" i="6"/>
  <c r="A26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B26" i="5"/>
  <c r="B15" i="5"/>
  <c r="B14" i="5"/>
  <c r="B5" i="5"/>
  <c r="A15" i="5"/>
  <c r="A16" i="5"/>
  <c r="A17" i="5"/>
  <c r="A18" i="5"/>
  <c r="A19" i="5"/>
  <c r="A20" i="5"/>
  <c r="A21" i="5"/>
  <c r="A22" i="5"/>
  <c r="A23" i="5"/>
  <c r="A24" i="5"/>
  <c r="A25" i="5"/>
  <c r="A26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B26" i="4"/>
  <c r="B15" i="4"/>
  <c r="B14" i="4"/>
  <c r="B5" i="4"/>
  <c r="A15" i="4"/>
  <c r="A16" i="4"/>
  <c r="A17" i="4"/>
  <c r="A18" i="4"/>
  <c r="A19" i="4"/>
  <c r="A20" i="4"/>
  <c r="A21" i="4"/>
  <c r="A22" i="4"/>
  <c r="A23" i="4"/>
  <c r="A24" i="4"/>
  <c r="A25" i="4"/>
  <c r="A26" i="4"/>
  <c r="G14" i="4"/>
  <c r="G15" i="4"/>
  <c r="A48" i="40"/>
  <c r="A49" i="40"/>
  <c r="G91" i="113"/>
  <c r="D36" i="24"/>
  <c r="E36" i="24"/>
  <c r="F36" i="23"/>
  <c r="E36" i="23"/>
  <c r="I11" i="22"/>
  <c r="C68" i="146"/>
  <c r="H35" i="11"/>
  <c r="J35" i="11"/>
  <c r="I35" i="11"/>
  <c r="D35" i="11"/>
  <c r="G35" i="11"/>
  <c r="E35" i="11"/>
  <c r="A27" i="5"/>
  <c r="A28" i="5"/>
  <c r="A29" i="5"/>
  <c r="A30" i="5"/>
  <c r="A31" i="5"/>
  <c r="D28" i="5"/>
  <c r="D31" i="5"/>
  <c r="F28" i="5"/>
  <c r="A27" i="7"/>
  <c r="A28" i="7"/>
  <c r="A29" i="7"/>
  <c r="A30" i="7"/>
  <c r="A31" i="7"/>
  <c r="D28" i="7"/>
  <c r="D31" i="7"/>
  <c r="F28" i="7"/>
  <c r="E64" i="40"/>
  <c r="A27" i="6"/>
  <c r="A28" i="6"/>
  <c r="A29" i="6"/>
  <c r="A30" i="6"/>
  <c r="A31" i="6"/>
  <c r="D31" i="6"/>
  <c r="D28" i="6"/>
  <c r="F28" i="6"/>
  <c r="F31" i="6"/>
  <c r="D20" i="8"/>
  <c r="F20" i="8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E28" i="5"/>
  <c r="E31" i="5"/>
  <c r="I13" i="2"/>
  <c r="A27" i="9"/>
  <c r="A28" i="9"/>
  <c r="A29" i="9"/>
  <c r="A30" i="9"/>
  <c r="A31" i="9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/>
  <c r="A29" i="4"/>
  <c r="A30" i="4"/>
  <c r="A31" i="4"/>
  <c r="F28" i="4"/>
  <c r="D31" i="4"/>
  <c r="D28" i="4"/>
  <c r="I19" i="2"/>
  <c r="K39" i="2"/>
  <c r="G52" i="40"/>
  <c r="K37" i="2"/>
  <c r="I36" i="24"/>
  <c r="G65" i="113"/>
  <c r="C28" i="5"/>
  <c r="C31" i="5"/>
  <c r="A43" i="82"/>
  <c r="A44" i="82"/>
  <c r="A45" i="82"/>
  <c r="A46" i="82"/>
  <c r="I49" i="82"/>
  <c r="I39" i="82"/>
  <c r="A107" i="82"/>
  <c r="A108" i="82"/>
  <c r="G34" i="66"/>
  <c r="J36" i="24"/>
  <c r="H36" i="24"/>
  <c r="G36" i="24"/>
  <c r="K22" i="24"/>
  <c r="K34" i="24"/>
  <c r="A23" i="24"/>
  <c r="A24" i="24"/>
  <c r="F35" i="11"/>
  <c r="K33" i="11"/>
  <c r="A22" i="11"/>
  <c r="A23" i="11"/>
  <c r="E28" i="9"/>
  <c r="E31" i="9"/>
  <c r="E36" i="9"/>
  <c r="I21" i="2"/>
  <c r="C28" i="9"/>
  <c r="C31" i="9"/>
  <c r="C20" i="8"/>
  <c r="A18" i="8"/>
  <c r="A19" i="8"/>
  <c r="A20" i="8"/>
  <c r="E28" i="7"/>
  <c r="E31" i="7"/>
  <c r="I17" i="2"/>
  <c r="C28" i="7"/>
  <c r="C31" i="7"/>
  <c r="E28" i="6"/>
  <c r="E31" i="6"/>
  <c r="I15" i="2"/>
  <c r="C28" i="6"/>
  <c r="C31" i="6"/>
  <c r="E28" i="4"/>
  <c r="E31" i="4"/>
  <c r="I11" i="2"/>
  <c r="C28" i="4"/>
  <c r="C31" i="4"/>
  <c r="G49" i="40"/>
  <c r="A50" i="40"/>
  <c r="A51" i="40"/>
  <c r="A52" i="40"/>
  <c r="I23" i="69"/>
  <c r="G55" i="113"/>
  <c r="G97" i="113"/>
  <c r="G95" i="113"/>
  <c r="I31" i="2"/>
  <c r="I35" i="2"/>
  <c r="E52" i="40"/>
  <c r="E58" i="40"/>
  <c r="E59" i="40"/>
  <c r="A21" i="8"/>
  <c r="K19" i="2"/>
  <c r="A32" i="6"/>
  <c r="K15" i="2"/>
  <c r="A47" i="82"/>
  <c r="A48" i="82"/>
  <c r="E62" i="40"/>
  <c r="A32" i="4"/>
  <c r="K11" i="2"/>
  <c r="E61" i="40"/>
  <c r="A109" i="82"/>
  <c r="A110" i="82"/>
  <c r="I16" i="114"/>
  <c r="A32" i="7"/>
  <c r="K17" i="2"/>
  <c r="A32" i="5"/>
  <c r="K13" i="2"/>
  <c r="C61" i="146"/>
  <c r="C75" i="146"/>
  <c r="C12" i="146"/>
  <c r="A32" i="9"/>
  <c r="A33" i="9"/>
  <c r="A34" i="9"/>
  <c r="I110" i="82"/>
  <c r="G38" i="66"/>
  <c r="K36" i="24"/>
  <c r="A25" i="24"/>
  <c r="A26" i="24"/>
  <c r="A27" i="24"/>
  <c r="A28" i="24"/>
  <c r="A29" i="24"/>
  <c r="A30" i="24"/>
  <c r="A31" i="24"/>
  <c r="A32" i="24"/>
  <c r="A33" i="24"/>
  <c r="A34" i="24"/>
  <c r="K35" i="11"/>
  <c r="A24" i="11"/>
  <c r="A25" i="11"/>
  <c r="A26" i="11"/>
  <c r="A27" i="11"/>
  <c r="A28" i="11"/>
  <c r="A29" i="11"/>
  <c r="A30" i="11"/>
  <c r="A31" i="11"/>
  <c r="A32" i="11"/>
  <c r="A33" i="11"/>
  <c r="A53" i="40"/>
  <c r="A54" i="40"/>
  <c r="A55" i="40"/>
  <c r="A56" i="40"/>
  <c r="G58" i="40"/>
  <c r="G56" i="40"/>
  <c r="G22" i="113"/>
  <c r="E66" i="40"/>
  <c r="A35" i="9"/>
  <c r="A36" i="9"/>
  <c r="K21" i="2"/>
  <c r="G76" i="113"/>
  <c r="G19" i="111"/>
  <c r="L33" i="11"/>
  <c r="F36" i="9"/>
  <c r="E62" i="146"/>
  <c r="A49" i="82"/>
  <c r="A35" i="24"/>
  <c r="A36" i="24"/>
  <c r="L36" i="24"/>
  <c r="L34" i="24"/>
  <c r="A34" i="11"/>
  <c r="A35" i="11"/>
  <c r="L35" i="11"/>
  <c r="A57" i="40"/>
  <c r="A58" i="40"/>
  <c r="E63" i="146"/>
  <c r="G54" i="40"/>
  <c r="A50" i="82"/>
  <c r="I50" i="82"/>
  <c r="I52" i="82"/>
  <c r="C28" i="109"/>
  <c r="C31" i="109"/>
  <c r="E11" i="38"/>
  <c r="C19" i="146"/>
  <c r="A59" i="40"/>
  <c r="A60" i="40"/>
  <c r="A61" i="40"/>
  <c r="A62" i="40"/>
  <c r="A63" i="40"/>
  <c r="A64" i="40"/>
  <c r="A65" i="40"/>
  <c r="A66" i="40"/>
  <c r="E64" i="146"/>
  <c r="G55" i="40"/>
  <c r="K43" i="2"/>
  <c r="I108" i="82"/>
  <c r="A51" i="82"/>
  <c r="A52" i="82"/>
  <c r="A53" i="82"/>
  <c r="A54" i="82"/>
  <c r="A55" i="82"/>
  <c r="G66" i="40"/>
  <c r="A67" i="40"/>
  <c r="A68" i="40"/>
  <c r="G68" i="40"/>
  <c r="A56" i="82"/>
  <c r="I13" i="69"/>
  <c r="K45" i="2"/>
  <c r="I85" i="82"/>
  <c r="G25" i="66"/>
  <c r="G48" i="40"/>
  <c r="A57" i="82"/>
  <c r="A58" i="82"/>
  <c r="A59" i="82"/>
  <c r="A60" i="82"/>
  <c r="A61" i="82"/>
  <c r="A62" i="82"/>
  <c r="I65" i="82"/>
  <c r="A63" i="82"/>
  <c r="I63" i="82"/>
  <c r="A64" i="82"/>
  <c r="A65" i="82"/>
  <c r="I130" i="82"/>
  <c r="I153" i="82"/>
  <c r="C27" i="71"/>
  <c r="C30" i="71"/>
  <c r="G17" i="69"/>
  <c r="B44" i="112"/>
  <c r="E13" i="112"/>
  <c r="E14" i="112"/>
  <c r="E15" i="112"/>
  <c r="E16" i="112"/>
  <c r="E17" i="112"/>
  <c r="E18" i="112"/>
  <c r="E19" i="112"/>
  <c r="E20" i="112"/>
  <c r="E21" i="112"/>
  <c r="E22" i="112"/>
  <c r="E23" i="112"/>
  <c r="E24" i="112"/>
  <c r="E25" i="112"/>
  <c r="E26" i="112"/>
  <c r="E27" i="112"/>
  <c r="E28" i="112"/>
  <c r="E33" i="112"/>
  <c r="E34" i="112"/>
  <c r="E35" i="112"/>
  <c r="E36" i="112"/>
  <c r="E37" i="112"/>
  <c r="E38" i="112"/>
  <c r="E39" i="112"/>
  <c r="E40" i="112"/>
  <c r="E41" i="112"/>
  <c r="E42" i="112"/>
  <c r="E43" i="112"/>
  <c r="E44" i="112"/>
  <c r="E45" i="112"/>
  <c r="E46" i="112"/>
  <c r="E47" i="112"/>
  <c r="E48" i="112"/>
  <c r="E49" i="112"/>
  <c r="E50" i="112"/>
  <c r="E51" i="112"/>
  <c r="E52" i="112"/>
  <c r="E53" i="112"/>
  <c r="E22" i="150"/>
  <c r="E42" i="150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I21" i="34"/>
  <c r="C25" i="146"/>
  <c r="A33" i="112"/>
  <c r="A34" i="112"/>
  <c r="A35" i="112"/>
  <c r="A36" i="112"/>
  <c r="A37" i="112"/>
  <c r="A38" i="112"/>
  <c r="A39" i="112"/>
  <c r="A40" i="112"/>
  <c r="A41" i="112"/>
  <c r="A42" i="112"/>
  <c r="A43" i="112"/>
  <c r="A44" i="112"/>
  <c r="A45" i="112"/>
  <c r="A46" i="112"/>
  <c r="A47" i="112"/>
  <c r="A48" i="112"/>
  <c r="A49" i="112"/>
  <c r="A50" i="112"/>
  <c r="A51" i="112"/>
  <c r="A52" i="112"/>
  <c r="A53" i="112"/>
  <c r="D40" i="112"/>
  <c r="D48" i="112"/>
  <c r="D52" i="112"/>
  <c r="E23" i="66"/>
  <c r="G33" i="114"/>
  <c r="G31" i="114"/>
  <c r="G29" i="114"/>
  <c r="G27" i="114"/>
  <c r="G25" i="114"/>
  <c r="G36" i="114"/>
  <c r="G38" i="114"/>
  <c r="G40" i="114"/>
  <c r="G17" i="34"/>
  <c r="I15" i="34"/>
  <c r="I13" i="34"/>
  <c r="I17" i="34"/>
  <c r="C24" i="146"/>
  <c r="E34" i="66"/>
  <c r="C15" i="135"/>
  <c r="D15" i="135"/>
  <c r="E15" i="135"/>
  <c r="G14" i="114"/>
  <c r="D15" i="84"/>
  <c r="D16" i="84"/>
  <c r="D17" i="84"/>
  <c r="D18" i="84"/>
  <c r="D19" i="84"/>
  <c r="D20" i="84"/>
  <c r="D21" i="84"/>
  <c r="D22" i="84"/>
  <c r="D23" i="84"/>
  <c r="D24" i="84"/>
  <c r="D25" i="84"/>
  <c r="D26" i="84"/>
  <c r="D27" i="84"/>
  <c r="D28" i="84"/>
  <c r="D29" i="84"/>
  <c r="D30" i="84"/>
  <c r="D31" i="84"/>
  <c r="D32" i="84"/>
  <c r="D33" i="84"/>
  <c r="D34" i="84"/>
  <c r="D35" i="84"/>
  <c r="D36" i="84"/>
  <c r="D37" i="84"/>
  <c r="D38" i="84"/>
  <c r="D39" i="84"/>
  <c r="D40" i="84"/>
  <c r="D41" i="84"/>
  <c r="A15" i="84"/>
  <c r="A16" i="84"/>
  <c r="A17" i="84"/>
  <c r="A18" i="84"/>
  <c r="A19" i="84"/>
  <c r="A20" i="84"/>
  <c r="A21" i="84"/>
  <c r="A22" i="84"/>
  <c r="A23" i="84"/>
  <c r="A24" i="84"/>
  <c r="A25" i="84"/>
  <c r="A26" i="84"/>
  <c r="A27" i="84"/>
  <c r="A28" i="84"/>
  <c r="A29" i="84"/>
  <c r="A30" i="84"/>
  <c r="A31" i="84"/>
  <c r="A32" i="84"/>
  <c r="A33" i="84"/>
  <c r="A34" i="84"/>
  <c r="A35" i="84"/>
  <c r="A36" i="84"/>
  <c r="A37" i="84"/>
  <c r="A38" i="84"/>
  <c r="A39" i="84"/>
  <c r="A40" i="84"/>
  <c r="A41" i="84"/>
  <c r="A42" i="84"/>
  <c r="A43" i="84"/>
  <c r="A44" i="84"/>
  <c r="A45" i="84"/>
  <c r="A46" i="84"/>
  <c r="A47" i="84"/>
  <c r="A48" i="84"/>
  <c r="A49" i="84"/>
  <c r="D42" i="84"/>
  <c r="D43" i="84"/>
  <c r="D44" i="84"/>
  <c r="D45" i="84"/>
  <c r="D46" i="84"/>
  <c r="D47" i="84"/>
  <c r="D48" i="84"/>
  <c r="D49" i="84"/>
  <c r="C21" i="146"/>
  <c r="D50" i="84"/>
  <c r="D51" i="84"/>
  <c r="A50" i="84"/>
  <c r="A51" i="84"/>
  <c r="C29" i="70"/>
  <c r="C32" i="70"/>
  <c r="C26" i="146"/>
  <c r="A52" i="84"/>
  <c r="A53" i="84"/>
  <c r="A54" i="84"/>
  <c r="A55" i="84"/>
  <c r="A62" i="84"/>
  <c r="A63" i="84"/>
  <c r="A64" i="84"/>
  <c r="A65" i="84"/>
  <c r="D52" i="84"/>
  <c r="D53" i="84"/>
  <c r="D54" i="84"/>
  <c r="D55" i="84"/>
  <c r="D63" i="84"/>
  <c r="D64" i="84"/>
  <c r="D65" i="84"/>
  <c r="G11" i="69"/>
  <c r="I87" i="82"/>
  <c r="G31" i="156"/>
  <c r="D16" i="159"/>
  <c r="E16" i="159"/>
  <c r="H19" i="156"/>
  <c r="H20" i="156"/>
  <c r="H22" i="156"/>
  <c r="H21" i="156"/>
  <c r="H29" i="156"/>
  <c r="H25" i="156"/>
  <c r="H28" i="156"/>
  <c r="F31" i="156"/>
  <c r="H23" i="156"/>
  <c r="H26" i="156"/>
  <c r="H30" i="156"/>
  <c r="H27" i="156"/>
  <c r="E31" i="156"/>
  <c r="H24" i="156"/>
  <c r="H31" i="156"/>
  <c r="E12" i="42"/>
  <c r="F12" i="42" s="1"/>
  <c r="E51" i="42" l="1"/>
  <c r="H35" i="42"/>
  <c r="H36" i="42" s="1"/>
  <c r="H37" i="42" s="1"/>
  <c r="H38" i="42" s="1"/>
  <c r="H39" i="42" s="1"/>
  <c r="H40" i="42" s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H53" i="42" s="1"/>
  <c r="H54" i="42" s="1"/>
  <c r="H55" i="42" s="1"/>
  <c r="H56" i="42" s="1"/>
  <c r="E43" i="40"/>
  <c r="E45" i="40" s="1"/>
  <c r="E16" i="42"/>
  <c r="F16" i="42" s="1"/>
  <c r="A16" i="42"/>
  <c r="A17" i="42" s="1"/>
  <c r="A18" i="42" s="1"/>
  <c r="A19" i="42" s="1"/>
  <c r="A20" i="42" s="1"/>
  <c r="A21" i="42" s="1"/>
  <c r="A22" i="42" s="1"/>
  <c r="A23" i="42" s="1"/>
  <c r="A24" i="42" s="1"/>
  <c r="G44" i="40"/>
  <c r="F21" i="42"/>
  <c r="E20" i="40"/>
  <c r="H63" i="4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H74" i="41" s="1"/>
  <c r="H75" i="41" s="1"/>
  <c r="E20" i="41"/>
  <c r="F20" i="41" s="1"/>
  <c r="F27" i="41" s="1"/>
  <c r="A26" i="41"/>
  <c r="A27" i="41" s="1"/>
  <c r="G27" i="41"/>
  <c r="E27" i="41"/>
  <c r="F37" i="41"/>
  <c r="F41" i="41" s="1"/>
  <c r="E41" i="41"/>
  <c r="E24" i="40"/>
  <c r="E68" i="41"/>
  <c r="E57" i="150"/>
  <c r="E59" i="150" s="1"/>
  <c r="C50" i="82"/>
  <c r="D49" i="82" s="1"/>
  <c r="G49" i="82" s="1"/>
  <c r="D43" i="41"/>
  <c r="D47" i="41" s="1"/>
  <c r="E15" i="40" s="1"/>
  <c r="F26" i="42" l="1"/>
  <c r="F30" i="42" s="1"/>
  <c r="E26" i="42"/>
  <c r="E30" i="42" s="1"/>
  <c r="A25" i="42"/>
  <c r="A26" i="42" s="1"/>
  <c r="G26" i="42"/>
  <c r="E27" i="40"/>
  <c r="E50" i="113" s="1"/>
  <c r="F43" i="41"/>
  <c r="F47" i="41" s="1"/>
  <c r="A28" i="41"/>
  <c r="A29" i="41" s="1"/>
  <c r="A30" i="41" s="1"/>
  <c r="E43" i="41"/>
  <c r="E47" i="41" s="1"/>
  <c r="E15" i="45"/>
  <c r="E13" i="45" s="1"/>
  <c r="E25" i="45" s="1"/>
  <c r="E27" i="45" s="1"/>
  <c r="D47" i="82"/>
  <c r="D48" i="82"/>
  <c r="G48" i="82" s="1"/>
  <c r="G52" i="82" s="1"/>
  <c r="G85" i="82" s="1"/>
  <c r="G97" i="82" s="1"/>
  <c r="A27" i="42" l="1"/>
  <c r="A28" i="42" s="1"/>
  <c r="A29" i="42" s="1"/>
  <c r="A30" i="42" s="1"/>
  <c r="E22" i="69"/>
  <c r="A31" i="4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E36" i="66"/>
  <c r="E38" i="66" s="1"/>
  <c r="E65" i="113" s="1"/>
  <c r="I19" i="22"/>
  <c r="E46" i="40"/>
  <c r="E47" i="40" s="1"/>
  <c r="E19" i="46"/>
  <c r="I33" i="2"/>
  <c r="D50" i="82"/>
  <c r="G47" i="82"/>
  <c r="G50" i="82" s="1"/>
  <c r="G108" i="82" s="1"/>
  <c r="G30" i="42" l="1"/>
  <c r="G30" i="40"/>
  <c r="A31" i="42"/>
  <c r="A32" i="42" s="1"/>
  <c r="A33" i="42" s="1"/>
  <c r="A34" i="42" s="1"/>
  <c r="G41" i="41"/>
  <c r="A42" i="41"/>
  <c r="A43" i="41" s="1"/>
  <c r="G43" i="41"/>
  <c r="I41" i="2"/>
  <c r="I39" i="2"/>
  <c r="I37" i="2"/>
  <c r="E21" i="46"/>
  <c r="E25" i="46"/>
  <c r="E23" i="46"/>
  <c r="I23" i="22"/>
  <c r="C70" i="146" s="1"/>
  <c r="I21" i="22"/>
  <c r="I25" i="22"/>
  <c r="C71" i="146" s="1"/>
  <c r="A35" i="42" l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44" i="41"/>
  <c r="A45" i="41" s="1"/>
  <c r="A46" i="41" s="1"/>
  <c r="A47" i="41" s="1"/>
  <c r="E27" i="46"/>
  <c r="E93" i="113" s="1"/>
  <c r="C64" i="146"/>
  <c r="C78" i="146" s="1"/>
  <c r="C15" i="146" s="1"/>
  <c r="E85" i="113" s="1"/>
  <c r="E55" i="40"/>
  <c r="C69" i="146"/>
  <c r="C72" i="146" s="1"/>
  <c r="I27" i="22"/>
  <c r="C62" i="146"/>
  <c r="I43" i="2"/>
  <c r="I45" i="2" s="1"/>
  <c r="G13" i="69" s="1"/>
  <c r="E54" i="40"/>
  <c r="C63" i="146"/>
  <c r="C77" i="146" s="1"/>
  <c r="C14" i="146" s="1"/>
  <c r="E83" i="113" s="1"/>
  <c r="G47" i="41" l="1"/>
  <c r="G15" i="40"/>
  <c r="A48" i="41"/>
  <c r="A49" i="41" s="1"/>
  <c r="A50" i="41" s="1"/>
  <c r="A51" i="41" s="1"/>
  <c r="A52" i="41" s="1"/>
  <c r="G15" i="69"/>
  <c r="G19" i="69"/>
  <c r="C76" i="146"/>
  <c r="C65" i="146"/>
  <c r="E87" i="113"/>
  <c r="E56" i="40"/>
  <c r="E68" i="40" s="1"/>
  <c r="G17" i="40" l="1"/>
  <c r="A53" i="41"/>
  <c r="C30" i="146"/>
  <c r="E72" i="113"/>
  <c r="E71" i="113"/>
  <c r="C29" i="146"/>
  <c r="E25" i="66"/>
  <c r="E27" i="66" s="1"/>
  <c r="E60" i="113" s="1"/>
  <c r="E48" i="40"/>
  <c r="E49" i="40" s="1"/>
  <c r="C79" i="146"/>
  <c r="C13" i="146"/>
  <c r="C16" i="146" s="1"/>
  <c r="E47" i="113" s="1"/>
  <c r="G18" i="40" l="1"/>
  <c r="A54" i="41"/>
  <c r="E52" i="113"/>
  <c r="E12" i="113" s="1"/>
  <c r="E67" i="113"/>
  <c r="E18" i="113" s="1"/>
  <c r="E23" i="69"/>
  <c r="E25" i="69" s="1"/>
  <c r="E29" i="69" s="1"/>
  <c r="E55" i="113"/>
  <c r="E57" i="113" s="1"/>
  <c r="E14" i="113" s="1"/>
  <c r="E62" i="113"/>
  <c r="E16" i="113" s="1"/>
  <c r="G19" i="40" l="1"/>
  <c r="A55" i="41"/>
  <c r="C31" i="146"/>
  <c r="C32" i="146" s="1"/>
  <c r="C36" i="146" s="1"/>
  <c r="G88" i="82" s="1"/>
  <c r="E73" i="113"/>
  <c r="E74" i="113" s="1"/>
  <c r="A56" i="41" l="1"/>
  <c r="G20" i="40"/>
  <c r="G99" i="82"/>
  <c r="G91" i="82"/>
  <c r="G100" i="82" s="1"/>
  <c r="A57" i="41" l="1"/>
  <c r="A58" i="41" s="1"/>
  <c r="A59" i="41" s="1"/>
  <c r="A60" i="41" s="1"/>
  <c r="A61" i="41" s="1"/>
  <c r="A62" i="41" s="1"/>
  <c r="A63" i="41" s="1"/>
  <c r="G21" i="40"/>
  <c r="G103" i="82"/>
  <c r="G106" i="82" s="1"/>
  <c r="G110" i="82" s="1"/>
  <c r="A64" i="41" l="1"/>
  <c r="G22" i="40"/>
  <c r="E19" i="111"/>
  <c r="E21" i="111" s="1"/>
  <c r="E23" i="111" s="1"/>
  <c r="E25" i="111" s="1"/>
  <c r="E27" i="111" s="1"/>
  <c r="C11" i="112" s="1"/>
  <c r="E76" i="113"/>
  <c r="G16" i="114"/>
  <c r="G18" i="114" s="1"/>
  <c r="G42" i="114" s="1"/>
  <c r="C15" i="112" s="1"/>
  <c r="C38" i="112" s="1"/>
  <c r="A65" i="41" l="1"/>
  <c r="G23" i="40"/>
  <c r="E89" i="113"/>
  <c r="E91" i="113" s="1"/>
  <c r="E95" i="113" s="1"/>
  <c r="E97" i="113" s="1"/>
  <c r="E22" i="113" s="1"/>
  <c r="E78" i="113"/>
  <c r="E80" i="113" s="1"/>
  <c r="E20" i="113" s="1"/>
  <c r="C34" i="112"/>
  <c r="A66" i="41" l="1"/>
  <c r="G24" i="40"/>
  <c r="E24" i="113"/>
  <c r="E26" i="113" s="1"/>
  <c r="E28" i="113" s="1"/>
  <c r="E33" i="113" s="1"/>
  <c r="E35" i="113" s="1"/>
  <c r="C13" i="112" s="1"/>
  <c r="C36" i="112" s="1"/>
  <c r="C40" i="112" s="1"/>
  <c r="D19" i="156" s="1"/>
  <c r="D26" i="156" s="1"/>
  <c r="I26" i="156" s="1"/>
  <c r="A67" i="41" l="1"/>
  <c r="A68" i="41" s="1"/>
  <c r="A69" i="41" s="1"/>
  <c r="A70" i="41" s="1"/>
  <c r="A71" i="41" s="1"/>
  <c r="A72" i="41" s="1"/>
  <c r="A73" i="41" s="1"/>
  <c r="A74" i="41" s="1"/>
  <c r="A75" i="41" s="1"/>
  <c r="G25" i="40"/>
  <c r="I19" i="156"/>
  <c r="K19" i="156" s="1"/>
  <c r="D25" i="156"/>
  <c r="I25" i="156" s="1"/>
  <c r="D21" i="156"/>
  <c r="I21" i="156" s="1"/>
  <c r="D22" i="156"/>
  <c r="I22" i="156" s="1"/>
  <c r="C17" i="112"/>
  <c r="D30" i="156"/>
  <c r="I30" i="156" s="1"/>
  <c r="D27" i="156"/>
  <c r="I27" i="156" s="1"/>
  <c r="D20" i="156"/>
  <c r="I20" i="156" s="1"/>
  <c r="D24" i="156"/>
  <c r="I24" i="156" s="1"/>
  <c r="D28" i="156"/>
  <c r="I28" i="156" s="1"/>
  <c r="D29" i="156"/>
  <c r="I29" i="156" s="1"/>
  <c r="D23" i="156"/>
  <c r="I23" i="156" s="1"/>
  <c r="L19" i="156" l="1"/>
  <c r="M19" i="156" s="1"/>
  <c r="I31" i="156"/>
  <c r="D31" i="156"/>
  <c r="K20" i="156" l="1"/>
  <c r="L20" i="156" l="1"/>
  <c r="M20" i="156" s="1"/>
  <c r="K21" i="156" s="1"/>
  <c r="L21" i="156" l="1"/>
  <c r="M21" i="156" s="1"/>
  <c r="K22" i="156" l="1"/>
  <c r="L22" i="156" s="1"/>
  <c r="M22" i="156" s="1"/>
  <c r="K23" i="156" s="1"/>
  <c r="L23" i="156" l="1"/>
  <c r="M23" i="156" s="1"/>
  <c r="K24" i="156" s="1"/>
  <c r="L24" i="156" l="1"/>
  <c r="M24" i="156" s="1"/>
  <c r="K25" i="156" l="1"/>
  <c r="L25" i="156" s="1"/>
  <c r="M25" i="156" s="1"/>
  <c r="K26" i="156" s="1"/>
  <c r="L26" i="156" s="1"/>
  <c r="M26" i="156" l="1"/>
  <c r="K27" i="156" l="1"/>
  <c r="L27" i="156" s="1"/>
  <c r="M27" i="156" l="1"/>
  <c r="K28" i="156" l="1"/>
  <c r="L28" i="156" s="1"/>
  <c r="M28" i="156" l="1"/>
  <c r="K29" i="156" l="1"/>
  <c r="L29" i="156" s="1"/>
  <c r="M29" i="156" l="1"/>
  <c r="K30" i="156" l="1"/>
  <c r="L30" i="156" l="1"/>
  <c r="L31" i="156" s="1"/>
  <c r="M30" i="156" l="1"/>
  <c r="C19" i="112" s="1"/>
  <c r="C23" i="112" s="1"/>
  <c r="C42" i="112" l="1"/>
  <c r="C27" i="112"/>
  <c r="C48" i="112" l="1"/>
  <c r="C52" i="112" s="1"/>
</calcChain>
</file>

<file path=xl/sharedStrings.xml><?xml version="1.0" encoding="utf-8"?>
<sst xmlns="http://schemas.openxmlformats.org/spreadsheetml/2006/main" count="2495" uniqueCount="1046">
  <si>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</si>
  <si>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</si>
  <si>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</si>
  <si>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</si>
  <si>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</si>
  <si>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</si>
  <si>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</si>
  <si>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</si>
  <si>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</si>
  <si>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</si>
  <si>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</si>
  <si>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</si>
  <si>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</si>
  <si>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</si>
  <si>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</si>
  <si>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</si>
  <si>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</si>
  <si>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</si>
  <si>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</si>
  <si>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</si>
  <si>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</si>
  <si>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</si>
  <si>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</si>
  <si>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</si>
  <si>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</si>
  <si>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</si>
  <si>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</si>
  <si>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</si>
  <si>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</si>
  <si>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</si>
  <si>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</si>
  <si>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</si>
  <si>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</si>
  <si>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</si>
  <si>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</si>
  <si>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</si>
  <si>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</si>
  <si>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</si>
  <si>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</si>
  <si>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</si>
  <si>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</si>
  <si>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</si>
  <si>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</si>
  <si>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</si>
  <si>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</si>
  <si>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</si>
  <si>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</si>
  <si>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</si>
  <si>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</si>
  <si>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</si>
  <si>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</si>
  <si>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</si>
  <si>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</si>
  <si>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</si>
  <si>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</si>
  <si>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</si>
  <si>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</si>
  <si>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</si>
  <si>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</si>
  <si>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</si>
  <si>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</si>
  <si>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</si>
  <si>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</si>
  <si>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</si>
  <si>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</si>
  <si>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</si>
  <si>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</si>
  <si>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</si>
  <si>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</si>
  <si>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</si>
  <si>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</si>
  <si>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</si>
  <si>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</si>
  <si>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</si>
  <si>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</si>
  <si>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</si>
  <si>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</si>
  <si>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</si>
  <si>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</si>
  <si>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</si>
  <si>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</si>
  <si>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</si>
  <si>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</si>
  <si>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</si>
  <si>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</si>
  <si>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</si>
  <si>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</si>
  <si>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</si>
  <si>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</si>
  <si>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</si>
  <si>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</si>
  <si>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</si>
  <si>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</si>
  <si>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</si>
  <si>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</si>
  <si>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</si>
  <si>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</si>
  <si>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</si>
  <si>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</si>
  <si>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</si>
  <si>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</si>
  <si>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</si>
  <si>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</si>
  <si>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</si>
  <si>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</si>
  <si>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</si>
  <si>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</si>
  <si>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</si>
  <si>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</si>
  <si>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</si>
  <si>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</si>
  <si>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</si>
  <si>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</si>
  <si>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</si>
  <si>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</si>
  <si>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</si>
  <si>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</si>
  <si>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</si>
  <si>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</si>
  <si>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</si>
  <si>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</si>
  <si>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</si>
  <si>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</si>
  <si>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</si>
  <si>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</si>
  <si>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</si>
  <si>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</si>
  <si>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</si>
  <si>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</si>
  <si>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</si>
  <si>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</si>
  <si>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</si>
  <si>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</si>
  <si>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</si>
  <si>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</si>
  <si>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</si>
  <si>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</si>
  <si>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</si>
  <si>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</si>
  <si>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</si>
  <si>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</si>
  <si>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</si>
  <si>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</si>
  <si>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</si>
  <si>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</si>
  <si>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</si>
  <si>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</si>
  <si>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</si>
  <si>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</si>
  <si>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</si>
  <si>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</si>
  <si>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</si>
  <si>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</si>
  <si>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</si>
  <si>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</si>
  <si>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</si>
  <si>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</si>
  <si>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</si>
  <si>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</si>
  <si>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</si>
  <si>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</si>
  <si>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</si>
  <si>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</si>
  <si>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</si>
  <si>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</si>
  <si>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</si>
  <si>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</si>
  <si>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</si>
  <si>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</si>
  <si>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</si>
  <si>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</si>
  <si>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</si>
  <si>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</si>
  <si>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</si>
  <si>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</si>
  <si>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</si>
  <si>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</si>
  <si>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</si>
  <si>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</si>
  <si>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</si>
  <si>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</si>
  <si>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</si>
  <si>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</si>
  <si>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</si>
  <si>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</si>
  <si>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</si>
  <si>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</si>
  <si>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</si>
  <si>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</si>
  <si>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</si>
  <si>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</si>
  <si>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</si>
  <si>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</si>
  <si>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</si>
  <si>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</si>
  <si>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</si>
  <si>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</si>
  <si>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</si>
  <si>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</si>
  <si>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</si>
  <si>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</si>
  <si>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</si>
  <si>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</si>
  <si>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</si>
  <si>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</si>
  <si>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</si>
  <si>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</si>
  <si>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</si>
  <si>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</si>
  <si>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</si>
  <si>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</si>
  <si>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</si>
  <si>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</si>
  <si>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</si>
  <si>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</si>
  <si>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</si>
  <si>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</si>
  <si>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</si>
  <si>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</si>
  <si>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</si>
  <si>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</si>
  <si>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</si>
  <si>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</si>
  <si>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</si>
  <si>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</si>
  <si>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</si>
  <si>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</si>
  <si>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</si>
  <si>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</si>
  <si>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</si>
  <si>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</si>
  <si>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</si>
  <si>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</si>
  <si>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</si>
  <si>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</si>
  <si>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</si>
  <si>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</si>
  <si>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</si>
  <si>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</si>
  <si>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</si>
  <si>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</si>
  <si>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</si>
  <si>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</si>
  <si>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</si>
  <si>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</si>
  <si>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</si>
  <si>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</si>
  <si>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</si>
  <si>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</si>
  <si>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</si>
  <si>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</si>
  <si>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</si>
  <si>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</si>
  <si>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</si>
  <si>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</si>
  <si>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</si>
  <si>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</si>
  <si>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</si>
  <si>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</si>
  <si>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</si>
  <si>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</si>
  <si>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</si>
  <si>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</si>
  <si>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</si>
  <si>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</si>
  <si>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</si>
  <si>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</si>
  <si>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</si>
  <si>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</si>
  <si>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</si>
  <si>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</si>
  <si>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</si>
  <si>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</si>
  <si>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</si>
  <si>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</si>
  <si>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</si>
  <si>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</si>
  <si>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</si>
  <si>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</si>
  <si>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</si>
  <si>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</si>
  <si>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</si>
  <si>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</si>
  <si>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</si>
  <si>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</si>
  <si>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</si>
  <si>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</si>
  <si>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</si>
  <si>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</si>
  <si>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</si>
  <si>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</si>
  <si>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</si>
  <si>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</si>
  <si>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</si>
  <si>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</si>
  <si>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</si>
  <si>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</si>
  <si>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</si>
  <si>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</si>
  <si>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</si>
  <si>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</si>
  <si>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</si>
  <si>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</si>
  <si>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</si>
  <si>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</si>
  <si>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</si>
  <si>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</si>
  <si>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</si>
  <si>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</si>
  <si>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</si>
  <si>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</si>
  <si>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</si>
  <si>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</si>
  <si>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</si>
  <si>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</si>
  <si>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</si>
  <si>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</si>
  <si>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</si>
  <si>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</si>
  <si>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</si>
  <si>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</si>
  <si>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</si>
  <si>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</si>
  <si>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</si>
  <si>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</si>
  <si>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</si>
  <si>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</si>
  <si>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</si>
  <si>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</si>
  <si>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</si>
  <si>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</si>
  <si>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</si>
  <si>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</si>
  <si>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</si>
  <si>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</si>
  <si>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</si>
  <si>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</si>
  <si>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</si>
  <si>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</si>
  <si>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</si>
  <si>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</si>
  <si>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</si>
  <si>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</si>
  <si>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</si>
  <si>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</si>
  <si>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</si>
  <si>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</si>
  <si>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</si>
  <si>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</si>
  <si>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</si>
  <si>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</si>
  <si>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</si>
  <si>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</si>
  <si>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</si>
  <si>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</si>
  <si>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</si>
  <si>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</si>
  <si>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</si>
  <si>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</si>
  <si>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</si>
  <si>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</si>
  <si>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</si>
  <si>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</si>
  <si>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</si>
  <si>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</si>
  <si>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</si>
  <si>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</si>
  <si>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</si>
  <si>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</si>
  <si>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</si>
  <si>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</si>
  <si>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</si>
  <si>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</si>
  <si>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</si>
  <si>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</si>
  <si>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</si>
  <si>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</si>
  <si>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</si>
  <si>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</si>
  <si>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</si>
  <si>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</si>
  <si>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</si>
  <si>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</si>
  <si>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</si>
  <si>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</si>
  <si>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</si>
  <si>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</si>
  <si>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</si>
  <si>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</si>
  <si>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</si>
  <si>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</si>
  <si>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</si>
  <si>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</si>
  <si>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</si>
  <si>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</si>
  <si>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</si>
  <si>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</si>
  <si>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</si>
  <si>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</si>
  <si>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</si>
  <si>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</si>
  <si>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</si>
  <si>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</si>
  <si>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</si>
  <si>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</si>
  <si>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</si>
  <si>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</si>
  <si>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</si>
  <si>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</si>
  <si>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</si>
  <si>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</si>
  <si>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</si>
  <si>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</si>
  <si>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</si>
  <si>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</si>
  <si>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</si>
  <si>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</si>
  <si>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</si>
  <si>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</si>
  <si>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</si>
  <si>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</si>
  <si>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</si>
  <si>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</si>
  <si>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</si>
  <si>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</si>
  <si>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</si>
  <si>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</si>
  <si>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</si>
  <si>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</si>
  <si>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</si>
  <si>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</si>
  <si>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</si>
  <si>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</si>
  <si>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</si>
  <si>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</si>
  <si>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</si>
  <si>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</si>
  <si>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</si>
  <si>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</si>
  <si>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</si>
  <si>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</si>
  <si>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</si>
  <si>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</si>
  <si>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</si>
  <si>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</si>
  <si>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</si>
  <si>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</si>
  <si>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</si>
  <si>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</si>
  <si>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</si>
  <si>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</si>
  <si>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</si>
  <si>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</si>
  <si>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</si>
  <si>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</si>
  <si>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</si>
  <si>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</si>
  <si>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</si>
  <si>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</si>
  <si>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</si>
  <si>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</si>
  <si>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</si>
  <si>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</si>
  <si>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</si>
  <si>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</si>
  <si>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</si>
  <si>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</si>
  <si>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</si>
  <si>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</si>
  <si>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</si>
  <si>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</si>
  <si>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</si>
  <si>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</si>
  <si>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</si>
  <si>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</si>
  <si>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</si>
  <si>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</si>
  <si>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</si>
  <si>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</si>
  <si>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</si>
  <si>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</si>
  <si>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</si>
  <si>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</si>
  <si>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</si>
  <si>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</si>
  <si>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</si>
  <si>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</si>
  <si>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</si>
  <si>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</si>
  <si>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</si>
  <si>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</si>
  <si>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</si>
  <si>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</si>
  <si>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</si>
  <si>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</si>
  <si>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Underground Line Expenses</t>
  </si>
  <si>
    <t>Transmission of Electricity by Others</t>
  </si>
  <si>
    <t>Misc. Transmission Expenses</t>
  </si>
  <si>
    <t>Rents</t>
  </si>
  <si>
    <t xml:space="preserve">     Total Electric Transmission Operation 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</si>
  <si>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</si>
  <si>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</si>
  <si>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</si>
  <si>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</si>
  <si>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</si>
  <si>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</si>
  <si>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</si>
  <si>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</si>
  <si>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Maintenance of Misc. Transmission Plant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</si>
  <si>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</si>
  <si>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</si>
  <si>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</si>
  <si>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</si>
  <si>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</si>
  <si>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</si>
  <si>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</si>
  <si>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</si>
  <si>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</si>
  <si>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</si>
  <si>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</si>
  <si>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</si>
  <si>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</si>
  <si>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</si>
  <si>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</si>
  <si>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</si>
  <si>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</si>
  <si>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</si>
  <si>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</si>
  <si>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</si>
  <si>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</si>
  <si>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</si>
  <si>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</si>
  <si>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</si>
  <si>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</si>
  <si>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</si>
  <si>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Office Supplies &amp; Expenses</t>
  </si>
  <si>
    <t>Less: Administrative Expenses Transferred-Credit</t>
  </si>
  <si>
    <t>Outside Services Employed</t>
  </si>
  <si>
    <t>Property Insurance</t>
  </si>
  <si>
    <t>Injuries &amp; Damages</t>
  </si>
  <si>
    <t>Employee Pensions &amp; Benefits</t>
  </si>
  <si>
    <t xml:space="preserve">Franchise Requirements </t>
  </si>
  <si>
    <t xml:space="preserve">Regulatory Commission Expenses  </t>
  </si>
  <si>
    <t>Less: Duplicate Charges (Company Energy Use)</t>
  </si>
  <si>
    <t>General Advertising Expenses</t>
  </si>
  <si>
    <t>Miscellaneous General Expenses</t>
  </si>
  <si>
    <t>Maintenance of General Plant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</si>
  <si>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</si>
  <si>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</si>
  <si>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</si>
  <si>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</si>
  <si>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Intervenor Funding Expense - Transmission</t>
  </si>
  <si>
    <t>CPUC Intervenor Funding Expense - Distribution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</si>
  <si>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</si>
  <si>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</si>
  <si>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</si>
  <si>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</si>
  <si>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</si>
  <si>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</si>
  <si>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</si>
  <si>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</si>
  <si>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</si>
  <si>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</si>
  <si>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</si>
  <si>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</si>
  <si>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</si>
  <si>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</si>
  <si>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</si>
  <si>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</si>
  <si>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</si>
  <si>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</si>
  <si>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</si>
  <si>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</si>
  <si>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</si>
  <si>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</si>
  <si>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</si>
  <si>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</si>
  <si>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</si>
  <si>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</si>
  <si>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</si>
  <si>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</si>
  <si>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</si>
  <si>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</si>
  <si>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</si>
  <si>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</si>
  <si>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</si>
  <si>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</si>
  <si>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</si>
  <si>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</si>
  <si>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</si>
  <si>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</si>
  <si>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</si>
  <si>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</si>
  <si>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</si>
  <si>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</si>
  <si>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</si>
  <si>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</si>
  <si>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</si>
  <si>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</si>
  <si>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</si>
  <si>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</si>
  <si>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</si>
  <si>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</si>
  <si>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</si>
  <si>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</si>
  <si>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</si>
  <si>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</si>
  <si>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</si>
  <si>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</si>
  <si>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</si>
  <si>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</si>
  <si>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</si>
  <si>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</si>
  <si>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</si>
  <si>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</si>
  <si>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</si>
  <si>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</si>
  <si>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</si>
  <si>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</si>
  <si>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</si>
  <si>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</si>
  <si>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</si>
  <si>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</si>
  <si>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</si>
  <si>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</si>
  <si>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</si>
  <si>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</si>
  <si>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</si>
  <si>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</si>
  <si>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</si>
  <si>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</si>
  <si>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</si>
  <si>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</si>
  <si>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</si>
  <si>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</si>
  <si>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</si>
  <si>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</si>
  <si>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</si>
  <si>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</si>
  <si>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</si>
  <si>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</si>
  <si>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</si>
  <si>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</si>
  <si>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</si>
  <si>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</si>
  <si>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</si>
  <si>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</si>
  <si>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</si>
  <si>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</si>
  <si>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</si>
  <si>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</si>
  <si>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</si>
  <si>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</si>
  <si>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</si>
  <si>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</si>
  <si>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</si>
  <si>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</si>
  <si>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</si>
  <si>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</si>
  <si>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</si>
  <si>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</si>
  <si>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</si>
  <si>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</si>
  <si>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</si>
  <si>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</si>
  <si>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</si>
  <si>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</si>
  <si>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</si>
  <si>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</si>
  <si>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</si>
  <si>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</si>
  <si>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 xml:space="preserve">Common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</si>
  <si>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</si>
  <si>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</si>
  <si>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</si>
  <si>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</si>
  <si>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</si>
  <si>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</si>
  <si>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</si>
  <si>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</si>
  <si>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</si>
  <si>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</si>
  <si>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</si>
  <si>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</si>
  <si>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</si>
  <si>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</si>
  <si>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</si>
  <si>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</si>
  <si>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</si>
  <si>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</si>
  <si>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</si>
  <si>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</si>
  <si>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</si>
  <si>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</si>
  <si>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</si>
  <si>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</si>
  <si>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Add: Citizens Allocated Portion of Payroll Taxes</t>
  </si>
  <si>
    <t>Total Payroll Taxes Expense Incl. Citizens</t>
  </si>
  <si>
    <t xml:space="preserve">     Transmission Related Payroll Taxes Expense</t>
  </si>
  <si>
    <t>Statement AL</t>
  </si>
  <si>
    <t>Working Capital</t>
  </si>
  <si>
    <t>Working</t>
  </si>
  <si>
    <t>13-Months</t>
  </si>
  <si>
    <t>Cash</t>
  </si>
  <si>
    <t>Transmission Plant Allocation Factor</t>
  </si>
  <si>
    <t xml:space="preserve">     Transmission Related Materials and Supplies 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</si>
  <si>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</si>
  <si>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</si>
  <si>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</si>
  <si>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</si>
  <si>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</si>
  <si>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</si>
  <si>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</si>
  <si>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</si>
  <si>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</si>
  <si>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</si>
  <si>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</si>
  <si>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</si>
  <si>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</si>
  <si>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</si>
  <si>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</si>
  <si>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</si>
  <si>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</si>
  <si>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</si>
  <si>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</si>
  <si>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</si>
  <si>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</si>
  <si>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</si>
  <si>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</si>
  <si>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</si>
  <si>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</si>
  <si>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</si>
  <si>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</si>
  <si>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</si>
  <si>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</si>
  <si>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</si>
  <si>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</si>
  <si>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</si>
  <si>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</si>
  <si>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</si>
  <si>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</si>
  <si>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</si>
  <si>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</si>
  <si>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</si>
  <si>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</si>
  <si>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</si>
  <si>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</si>
  <si>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</si>
  <si>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</si>
  <si>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</si>
  <si>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</si>
  <si>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</si>
  <si>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</si>
  <si>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</si>
  <si>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</si>
  <si>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</si>
  <si>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</si>
  <si>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</si>
  <si>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</si>
  <si>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</si>
  <si>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</si>
  <si>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</si>
  <si>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</si>
  <si>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</si>
  <si>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</si>
  <si>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</si>
  <si>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</si>
  <si>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</si>
  <si>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</si>
  <si>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</si>
  <si>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</si>
  <si>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</si>
  <si>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</si>
  <si>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</si>
  <si>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</si>
  <si>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</si>
  <si>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</si>
  <si>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</si>
  <si>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</si>
  <si>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</si>
  <si>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</si>
  <si>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</si>
  <si>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</si>
  <si>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</si>
  <si>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</si>
  <si>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</si>
  <si>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</si>
  <si>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</si>
  <si>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</si>
  <si>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</si>
  <si>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</si>
  <si>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</si>
  <si>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</si>
  <si>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</si>
  <si>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</si>
  <si>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</si>
  <si>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</si>
  <si>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</si>
  <si>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</si>
  <si>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</si>
  <si>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</si>
  <si>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</si>
  <si>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</si>
  <si>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</si>
  <si>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</si>
  <si>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</si>
  <si>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</si>
  <si>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</si>
  <si>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</si>
  <si>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</si>
  <si>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</si>
  <si>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</si>
  <si>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</si>
  <si>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</si>
  <si>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</si>
  <si>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</si>
  <si>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</si>
  <si>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</si>
  <si>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</si>
  <si>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</si>
  <si>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</si>
  <si>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</si>
  <si>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</si>
  <si>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</si>
  <si>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</si>
  <si>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</si>
  <si>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</si>
  <si>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</si>
  <si>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</si>
  <si>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</si>
  <si>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</si>
  <si>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</si>
  <si>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</si>
  <si>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</si>
  <si>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</si>
  <si>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</si>
  <si>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</si>
  <si>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</si>
  <si>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</si>
  <si>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</si>
  <si>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</si>
  <si>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</si>
  <si>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</si>
  <si>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</si>
  <si>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</si>
  <si>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</si>
  <si>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</si>
  <si>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</si>
  <si>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</si>
  <si>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</si>
  <si>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</si>
  <si>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</si>
  <si>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</si>
  <si>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</si>
  <si>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</si>
  <si>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</si>
  <si>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</si>
  <si>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</si>
  <si>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</si>
  <si>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</si>
  <si>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</si>
  <si>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</si>
  <si>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</si>
  <si>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</si>
  <si>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</si>
  <si>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</si>
  <si>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</si>
  <si>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</si>
  <si>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</si>
  <si>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</si>
  <si>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</si>
  <si>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</si>
  <si>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</si>
  <si>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</si>
  <si>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</si>
  <si>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</si>
  <si>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</si>
  <si>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</si>
  <si>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</si>
  <si>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</si>
  <si>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</si>
  <si>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</si>
  <si>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TO Number:</t>
  </si>
  <si>
    <t>Cycle Number:</t>
  </si>
  <si>
    <t>Cycle Ending: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</si>
  <si>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</si>
  <si>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</si>
  <si>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</si>
  <si>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</si>
  <si>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 xml:space="preserve">   Other A&amp;G Exclusion Adjustments</t>
  </si>
  <si>
    <t xml:space="preserve">   Other Transmission Non-Direct O&amp;M Exclusion Adjustments </t>
  </si>
  <si>
    <t xml:space="preserve">(c) = (a) - (b) </t>
  </si>
  <si>
    <t>(c) = (a) - (b)</t>
  </si>
  <si>
    <t>Account 282 (Citizens SX-PQ)</t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</si>
  <si>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</si>
  <si>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</si>
  <si>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</si>
  <si>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</si>
  <si>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</si>
  <si>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Return on Common Equity:</t>
  </si>
  <si>
    <t>Account 190 (Citizens SX-PQ)</t>
  </si>
  <si>
    <t>Account 283 (Citizens SX-PQ)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</si>
  <si>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</si>
  <si>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</si>
  <si>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</si>
  <si>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</si>
  <si>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</si>
  <si>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</si>
  <si>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</si>
  <si>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</si>
  <si>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</si>
  <si>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</si>
  <si>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r>
      <t xml:space="preserve">Overhead Line Expenses </t>
    </r>
    <r>
      <rPr>
        <b/>
        <vertAlign val="superscript"/>
        <sz val="12"/>
        <rFont val="Times New Roman"/>
        <family val="1"/>
      </rPr>
      <t>1</t>
    </r>
  </si>
  <si>
    <t>Litigation expenses - Litigation Cost Memorandum Account (LCMA)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</si>
  <si>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</si>
  <si>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</si>
  <si>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t>Electric Power Research Institute (EPRI) Dues</t>
  </si>
  <si>
    <t xml:space="preserve">Negative of AH-2; Line 41; Col. b </t>
  </si>
  <si>
    <t xml:space="preserve">General Plant Depreciation Expense 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</si>
  <si>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</si>
  <si>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</si>
  <si>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Energy Efficiency</t>
  </si>
  <si>
    <t>CPUC reimbursement fees</t>
  </si>
  <si>
    <t>204-207; Footnote Data (a)</t>
  </si>
  <si>
    <t>204-207; Footnote Data (a); BOY and EOY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</si>
  <si>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</si>
  <si>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 5</t>
    </r>
  </si>
  <si>
    <t xml:space="preserve">Form 1; Page 204-207; Footnote Data (a); BOY </t>
  </si>
  <si>
    <t xml:space="preserve">Form 1; Page 204-207; Footnote Data (a); EOY </t>
  </si>
  <si>
    <t>Form 1; Page 204-207; Footnote Data (a)</t>
  </si>
  <si>
    <t xml:space="preserve">The allocated general and common accumulated deferred income taxes are included in the total transmission related accumulated deferred income taxes. See FERC Form 1; Page 274-275; </t>
  </si>
  <si>
    <t xml:space="preserve">Footnote Data (a) and (b). </t>
  </si>
  <si>
    <t xml:space="preserve">The balances for Transmission Plant Held for Future Use are derived based on a 13-month average balance. </t>
  </si>
  <si>
    <t>Form 1; Page 320-323; Line 83</t>
  </si>
  <si>
    <t>Form 1; Page 320-323; Line 85</t>
  </si>
  <si>
    <t>Form 1; Page 320-323; Line 86</t>
  </si>
  <si>
    <t>Form 1; Page 320-323; Line 87</t>
  </si>
  <si>
    <t>Form 1; Page 320-323; Line 88</t>
  </si>
  <si>
    <t>Form 1; Page 320-323; Line 89</t>
  </si>
  <si>
    <t>Form 1; Page 320-323; Line 90</t>
  </si>
  <si>
    <t>Form 1; Page 320-323; Line 91</t>
  </si>
  <si>
    <t>Form 1; Page 320-323; Line 92</t>
  </si>
  <si>
    <t>Form 1; Page 320-323; Line 93</t>
  </si>
  <si>
    <t>Form 1; Page 320-323; Line 94</t>
  </si>
  <si>
    <t>Form 1; Page 320-323; Line 95</t>
  </si>
  <si>
    <t>Form 1; Page 320-323; Line 96</t>
  </si>
  <si>
    <t>Form 1; Page 320-323; Line 97</t>
  </si>
  <si>
    <t>Form 1; Page 320-323; Line 98</t>
  </si>
  <si>
    <t>Form 1; Page 320-323; Line 101</t>
  </si>
  <si>
    <t>Form 1; Page 320-323; Line 102</t>
  </si>
  <si>
    <t>Form 1; Page 320-323; Line 103</t>
  </si>
  <si>
    <t>Form 1; Page 320-323; Line 104</t>
  </si>
  <si>
    <t>Form 1; Page 320-323; Line 105</t>
  </si>
  <si>
    <t>Form 1; Page 320-323; Line 106</t>
  </si>
  <si>
    <t>Form 1; Page 320-323; Line 107</t>
  </si>
  <si>
    <t>Form 1; Page 320-323; Line 108</t>
  </si>
  <si>
    <t>Form 1; Page 320-323; Line 109</t>
  </si>
  <si>
    <t>Form 1; Page 320-323; Line 110</t>
  </si>
  <si>
    <t>Form 1; Page 320-323; Line 181</t>
  </si>
  <si>
    <t>Form 1; Page 320-323; Line 182</t>
  </si>
  <si>
    <t>Form 1; Page 320-323; Line 183</t>
  </si>
  <si>
    <t>Form 1; Page 320-323; Line 184</t>
  </si>
  <si>
    <t>Form 1; Page 320-323; Line 185</t>
  </si>
  <si>
    <t>Form 1; Page 320-323; Line 186</t>
  </si>
  <si>
    <t>Form 1; Page 320-323; Line 187</t>
  </si>
  <si>
    <t>Form 1; Page 320-323; Line 188</t>
  </si>
  <si>
    <t>Form 1; Page 320-323; Line 189</t>
  </si>
  <si>
    <t>Form 1; Page 320-323; Line 190</t>
  </si>
  <si>
    <t>Form 1; Page 320-323; Line 191</t>
  </si>
  <si>
    <t>Form 1; Page 320-323; Line 192</t>
  </si>
  <si>
    <t>Form 1; Page 320-323; Line 193</t>
  </si>
  <si>
    <t>Form 1; Page 320-323; Line 196</t>
  </si>
  <si>
    <t>354-355; 20; b</t>
  </si>
  <si>
    <t>354-355; 23; b</t>
  </si>
  <si>
    <t>354-355; 24; b</t>
  </si>
  <si>
    <t>354-355; 25; b</t>
  </si>
  <si>
    <t>354-355; 26; b</t>
  </si>
  <si>
    <t>336-337; 1; f</t>
  </si>
  <si>
    <t>336-337; 10; f</t>
  </si>
  <si>
    <t>336-337; 11; f</t>
  </si>
  <si>
    <t>Form 1; Page 336-337; Line 10; Col. f</t>
  </si>
  <si>
    <t>(Line 1 x Line 2); Form 1; Page 336-337; Line 11; Col. f</t>
  </si>
  <si>
    <t>262-263; 12; l</t>
  </si>
  <si>
    <t>262-263; 2,3,4,8; l</t>
  </si>
  <si>
    <t>Business license taxes are no longer recorded in Total Property Taxes and are separately shown in FERC Form 1; Page 262-263; Line 14; Col. l.</t>
  </si>
  <si>
    <t>266-267; Footnote Data (a)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</si>
  <si>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</si>
  <si>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</si>
  <si>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</si>
  <si>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</si>
  <si>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</si>
  <si>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</si>
  <si>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</si>
  <si>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</si>
  <si>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</si>
  <si>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</si>
  <si>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</si>
  <si>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</si>
  <si>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</si>
  <si>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</si>
  <si>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</si>
  <si>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the applicable data field will be filled.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</si>
  <si>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</si>
  <si>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 xml:space="preserve">2022 Form 1; Page 234; Footnote Data (c) </t>
  </si>
  <si>
    <t>2022 Form 1; Page 276-277; Footnote Data (a)</t>
  </si>
  <si>
    <t>2022 Form 1; Page 274-275; Footnote Data (a)</t>
  </si>
  <si>
    <t>Form 1; Page 356; Accts 303 to 398; BOY</t>
  </si>
  <si>
    <t>Form 1; Page 356; Accts 303 to 398; EOY</t>
  </si>
  <si>
    <t>Form 1; Page 356; Electric</t>
  </si>
  <si>
    <t>Payroll tax expense excludes Citizens payroll taxes as shown in FERC Form 1; Page 262-263; Footnote Data (b).</t>
  </si>
  <si>
    <t>Property tax expense excludes Citizens property taxes as shown in FERC Form 1; Page 262-263; Footnote Data (c).</t>
  </si>
  <si>
    <t>227; Footnote Data (a)</t>
  </si>
  <si>
    <t>110-111; Footnote Data (c)</t>
  </si>
  <si>
    <t>Form 1; Page 227; Footnote Data (a)</t>
  </si>
  <si>
    <t>Form 1; Page 110-111; Footnote Data (c)</t>
  </si>
  <si>
    <t>√</t>
  </si>
  <si>
    <t>Negative of AH-3; Line 33; Col. a</t>
  </si>
  <si>
    <t>2023 Form 1; Page 356; Accts 303 to 398</t>
  </si>
  <si>
    <t>2023 Form 1; Page 356; Electric</t>
  </si>
  <si>
    <t>Duplicate Charges</t>
  </si>
  <si>
    <t xml:space="preserve">2023 Form 1; Page 234; Footnote Data (d) </t>
  </si>
  <si>
    <t xml:space="preserve">2023 Form 1; Page 274-275; Footnote Data (b) </t>
  </si>
  <si>
    <t>2023 Form 1; Page 276-277; Footnote Data (b)</t>
  </si>
  <si>
    <t>2023 Form 1; Page 274-275; Footnote Data (b)</t>
  </si>
  <si>
    <t>Not Applicable to 2023 Base Period</t>
  </si>
  <si>
    <t>Rate Effective Period January 1, 2023 to December 31, 2023</t>
  </si>
  <si>
    <t xml:space="preserve">None of the above items apply to SDG&amp;E's Appendix XII Cycle 7 filing. However, as one or more of these items apply, subject to FERC approval, </t>
  </si>
  <si>
    <t>262-263; Footnote Data (d)</t>
  </si>
  <si>
    <t>The balance in the Electric Plant Held for Future Use in the 2023 FERC Form 1 Page 214, Line 2 for Fallbrook 2.0 at $2,405,427 is for distribution use.</t>
  </si>
  <si>
    <t>262-263; Footnote Data (e)</t>
  </si>
  <si>
    <t xml:space="preserve">Reflects the years that were taken into consideration to develop the table. The table begins in 2001 because all the </t>
  </si>
  <si>
    <t>data needed was not available until 2001 in SAP (SDG&amp;E's general accounting system).</t>
  </si>
  <si>
    <t xml:space="preserve">2022 Form 1; Page 274-275; Footnote Data (a) </t>
  </si>
  <si>
    <t>Items in BOLD have changed compared to the original Appendix XII Cycle 6 filing per ER24-175 due to Six Cities protesting the inclusion of the Accrued Bonus DTA in ratebase.</t>
  </si>
  <si>
    <r>
      <t xml:space="preserve">     In-house fire brigade costs </t>
    </r>
    <r>
      <rPr>
        <b/>
        <vertAlign val="superscript"/>
        <sz val="12"/>
        <rFont val="Times New Roman"/>
        <family val="1"/>
      </rPr>
      <t>4</t>
    </r>
  </si>
  <si>
    <r>
      <t xml:space="preserve">In-house fire brigade costs </t>
    </r>
    <r>
      <rPr>
        <b/>
        <vertAlign val="superscript"/>
        <sz val="12"/>
        <rFont val="Times New Roman"/>
        <family val="1"/>
      </rPr>
      <t>2</t>
    </r>
  </si>
  <si>
    <t>Negative of AH-3; Line 37; Col. a</t>
  </si>
  <si>
    <t>Negative of AH-3; Sum Lines (26, 32); Col. a; and Line 28; Col. b</t>
  </si>
  <si>
    <t>Negative of AH-3; Line 34; Col. a</t>
  </si>
  <si>
    <t>Negative of AH-3; Line 30; Col. a</t>
  </si>
  <si>
    <t>Negative of AH-3; Line 36; Col. b</t>
  </si>
  <si>
    <t>Negative of AH-3; Line 29; Col. b</t>
  </si>
  <si>
    <t>Negative of AH-3; Line 39; Col. b</t>
  </si>
  <si>
    <t xml:space="preserve">Negative of AH-3; Line 31; Col. a   </t>
  </si>
  <si>
    <t>Negative of AH-3; Sum Lines (27, 38); Col. a; and Sum Lines (24, 25, 35); Col. b</t>
  </si>
  <si>
    <t>Represents 2023 O&amp;M expenses for in-house fire brigade costs transferred to A&amp;G FERC account 923, Outside Services Employed per FERC Order in SDG&amp;E's TO5 Cycle 6 (ER24-524).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</si>
</sst>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  <numFmt numFmtId="217" formatCode="_(* #,##0.0000_);_(* \(#,##0.0000\);_(* &quot;-&quot;_);_(@_)"/>
  </numFmts>
  <fonts count="17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sz val="11"/>
      <color rgb="FFFF0000"/>
      <name val="Calibri"/>
      <family val="2"/>
      <scheme val="minor"/>
    </font>
    <font>
      <b/>
      <strike/>
      <sz val="1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321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165" fontId="5" fillId="0" borderId="0" xfId="2011" applyNumberFormat="1" applyFont="1"/>
    <xf numFmtId="0" fontId="13" fillId="0" borderId="0" xfId="1965" applyFont="1"/>
    <xf numFmtId="0" fontId="5" fillId="0" borderId="0" xfId="4" applyFont="1"/>
    <xf numFmtId="0" fontId="5" fillId="0" borderId="0" xfId="4" applyFont="1" applyAlignment="1">
      <alignment horizontal="left"/>
    </xf>
    <xf numFmtId="0" fontId="5" fillId="0" borderId="0" xfId="4" applyFont="1" applyAlignment="1">
      <alignment horizontal="left" vertical="center"/>
    </xf>
    <xf numFmtId="0" fontId="10" fillId="0" borderId="0" xfId="4" applyFont="1"/>
    <xf numFmtId="0" fontId="10" fillId="0" borderId="0" xfId="4" applyFont="1" applyAlignment="1">
      <alignment horizontal="left"/>
    </xf>
    <xf numFmtId="0" fontId="5" fillId="0" borderId="0" xfId="1965" applyFont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Alignment="1">
      <alignment horizontal="center"/>
    </xf>
    <xf numFmtId="0" fontId="6" fillId="0" borderId="0" xfId="2012" applyFont="1" applyAlignment="1">
      <alignment horizontal="center"/>
    </xf>
    <xf numFmtId="0" fontId="6" fillId="0" borderId="0" xfId="2012" applyFont="1"/>
    <xf numFmtId="0" fontId="6" fillId="0" borderId="0" xfId="2012" applyFont="1" applyAlignment="1">
      <alignment horizontal="left"/>
    </xf>
    <xf numFmtId="0" fontId="13" fillId="0" borderId="0" xfId="2012" applyFont="1"/>
    <xf numFmtId="183" fontId="5" fillId="0" borderId="0" xfId="2012" applyNumberFormat="1" applyFont="1" applyAlignment="1">
      <alignment horizontal="right"/>
    </xf>
    <xf numFmtId="0" fontId="5" fillId="0" borderId="0" xfId="2012" applyFont="1"/>
    <xf numFmtId="183" fontId="5" fillId="0" borderId="0" xfId="2012" quotePrefix="1" applyNumberFormat="1" applyFont="1" applyAlignment="1">
      <alignment horizontal="right"/>
    </xf>
    <xf numFmtId="182" fontId="5" fillId="0" borderId="0" xfId="2012" applyNumberFormat="1" applyFont="1" applyAlignment="1">
      <alignment horizontal="left"/>
    </xf>
    <xf numFmtId="0" fontId="13" fillId="0" borderId="0" xfId="2012" applyFont="1" applyAlignment="1">
      <alignment horizontal="center"/>
    </xf>
    <xf numFmtId="165" fontId="5" fillId="0" borderId="0" xfId="21" applyNumberFormat="1" applyFont="1" applyFill="1" applyBorder="1" applyProtection="1">
      <protection locked="0"/>
    </xf>
    <xf numFmtId="165" fontId="5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/>
    <xf numFmtId="183" fontId="6" fillId="0" borderId="0" xfId="2012" quotePrefix="1" applyNumberFormat="1" applyFont="1" applyAlignment="1">
      <alignment horizontal="right"/>
    </xf>
    <xf numFmtId="183" fontId="5" fillId="0" borderId="0" xfId="2012" applyNumberFormat="1" applyFont="1" applyAlignment="1" applyProtection="1">
      <alignment horizontal="right"/>
      <protection locked="0"/>
    </xf>
    <xf numFmtId="0" fontId="6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Alignment="1">
      <alignment horizontal="center"/>
    </xf>
    <xf numFmtId="175" fontId="6" fillId="0" borderId="0" xfId="1965" applyNumberFormat="1" applyFont="1"/>
    <xf numFmtId="0" fontId="5" fillId="0" borderId="0" xfId="1965" applyFont="1" applyAlignment="1">
      <alignment horizontal="left"/>
    </xf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/>
    <xf numFmtId="0" fontId="5" fillId="0" borderId="86" xfId="4" applyFont="1" applyBorder="1"/>
    <xf numFmtId="0" fontId="6" fillId="0" borderId="0" xfId="4" applyFont="1"/>
    <xf numFmtId="0" fontId="5" fillId="0" borderId="0" xfId="2001" applyFont="1"/>
    <xf numFmtId="0" fontId="5" fillId="0" borderId="0" xfId="2001" applyFont="1" applyAlignment="1">
      <alignment horizontal="center"/>
    </xf>
    <xf numFmtId="165" fontId="5" fillId="0" borderId="0" xfId="23" applyNumberFormat="1" applyFont="1" applyAlignment="1">
      <alignment horizontal="center"/>
    </xf>
    <xf numFmtId="0" fontId="17" fillId="0" borderId="0" xfId="0" applyFont="1" applyAlignment="1">
      <alignment horizontal="center"/>
    </xf>
    <xf numFmtId="165" fontId="6" fillId="0" borderId="0" xfId="21" quotePrefix="1" applyNumberFormat="1" applyFont="1" applyFill="1" applyBorder="1" applyAlignment="1">
      <alignment horizontal="right"/>
    </xf>
    <xf numFmtId="173" fontId="6" fillId="0" borderId="0" xfId="4" applyNumberFormat="1" applyFont="1" applyAlignment="1">
      <alignment horizontal="center"/>
    </xf>
    <xf numFmtId="0" fontId="5" fillId="0" borderId="0" xfId="4" applyFont="1" applyAlignment="1">
      <alignment horizontal="center"/>
    </xf>
    <xf numFmtId="0" fontId="13" fillId="0" borderId="0" xfId="4" applyFont="1" applyAlignment="1">
      <alignment horizontal="left"/>
    </xf>
    <xf numFmtId="0" fontId="6" fillId="0" borderId="0" xfId="4" applyFont="1" applyAlignment="1" applyProtection="1">
      <alignment horizontal="center"/>
      <protection locked="0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Alignment="1">
      <alignment horizontal="center"/>
    </xf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/>
    <xf numFmtId="41" fontId="29" fillId="0" borderId="0" xfId="1962" applyNumberFormat="1" applyFont="1"/>
    <xf numFmtId="209" fontId="29" fillId="0" borderId="0" xfId="1962" applyNumberFormat="1" applyFont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Font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6" fontId="6" fillId="0" borderId="86" xfId="4" applyNumberFormat="1" applyFont="1" applyBorder="1" applyAlignment="1">
      <alignment vertical="center"/>
    </xf>
    <xf numFmtId="166" fontId="5" fillId="0" borderId="86" xfId="4" applyNumberFormat="1" applyFont="1" applyBorder="1" applyAlignment="1">
      <alignment vertical="center"/>
    </xf>
    <xf numFmtId="168" fontId="6" fillId="0" borderId="86" xfId="4" applyNumberFormat="1" applyFont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Border="1" applyAlignment="1">
      <alignment horizontal="centerContinuous"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5" fillId="0" borderId="86" xfId="4" applyNumberFormat="1" applyFont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0" fontId="6" fillId="0" borderId="3" xfId="4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44" fontId="0" fillId="0" borderId="0" xfId="2" applyFont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Alignment="1">
      <alignment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Alignment="1">
      <alignment horizontal="left" vertical="center"/>
    </xf>
    <xf numFmtId="3" fontId="6" fillId="0" borderId="0" xfId="4" applyNumberFormat="1" applyFont="1" applyAlignment="1">
      <alignment horizontal="right" vertical="center"/>
    </xf>
    <xf numFmtId="3" fontId="6" fillId="0" borderId="0" xfId="4" applyNumberFormat="1" applyFont="1" applyAlignment="1">
      <alignment vertical="center"/>
    </xf>
    <xf numFmtId="17" fontId="8" fillId="0" borderId="0" xfId="4" applyNumberFormat="1" applyFont="1" applyAlignment="1">
      <alignment horizontal="left" vertical="center"/>
    </xf>
    <xf numFmtId="17" fontId="6" fillId="0" borderId="0" xfId="4" applyNumberFormat="1" applyFont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Alignment="1">
      <alignment horizontal="centerContinuous" vertical="center"/>
    </xf>
    <xf numFmtId="15" fontId="6" fillId="0" borderId="0" xfId="4" applyNumberFormat="1" applyFont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vertical="center"/>
    </xf>
    <xf numFmtId="0" fontId="5" fillId="0" borderId="0" xfId="0" quotePrefix="1" applyFont="1" applyAlignment="1">
      <alignment horizontal="centerContinuous" vertical="center"/>
    </xf>
    <xf numFmtId="49" fontId="5" fillId="0" borderId="0" xfId="0" applyNumberFormat="1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Border="1" applyAlignment="1">
      <alignment horizontal="left"/>
    </xf>
    <xf numFmtId="0" fontId="11" fillId="0" borderId="7" xfId="1604" applyFont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vertical="center"/>
    </xf>
    <xf numFmtId="37" fontId="6" fillId="0" borderId="86" xfId="12" applyNumberFormat="1" applyFont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5" fillId="0" borderId="86" xfId="12" applyNumberFormat="1" applyFont="1" applyBorder="1" applyAlignment="1">
      <alignment horizontal="center" vertical="center"/>
    </xf>
    <xf numFmtId="37" fontId="5" fillId="0" borderId="8" xfId="12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left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horizontal="left" vertical="center"/>
    </xf>
    <xf numFmtId="173" fontId="5" fillId="0" borderId="0" xfId="0" applyNumberFormat="1" applyFont="1" applyAlignment="1">
      <alignment vertical="center"/>
    </xf>
    <xf numFmtId="37" fontId="11" fillId="0" borderId="0" xfId="0" applyNumberFormat="1" applyFont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158" fillId="0" borderId="0" xfId="4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9" fillId="0" borderId="0" xfId="4" applyFont="1" applyAlignment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Alignment="1">
      <alignment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Border="1"/>
    <xf numFmtId="0" fontId="29" fillId="0" borderId="50" xfId="1962" applyFont="1" applyBorder="1"/>
    <xf numFmtId="0" fontId="29" fillId="0" borderId="4" xfId="1962" applyFont="1" applyBorder="1"/>
    <xf numFmtId="0" fontId="29" fillId="0" borderId="113" xfId="1962" applyFont="1" applyBorder="1"/>
    <xf numFmtId="0" fontId="5" fillId="0" borderId="0" xfId="0" quotePrefix="1" applyFont="1" applyAlignment="1">
      <alignment horizontal="center" vertical="center"/>
    </xf>
    <xf numFmtId="0" fontId="9" fillId="0" borderId="0" xfId="0" applyFont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5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2" applyNumberFormat="1" applyFont="1" applyAlignment="1">
      <alignment horizontal="center"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>
      <alignment horizontal="center" vertical="center" wrapText="1"/>
    </xf>
    <xf numFmtId="17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Border="1" applyAlignment="1">
      <alignment horizontal="center" wrapText="1"/>
    </xf>
    <xf numFmtId="168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Border="1" applyAlignment="1">
      <alignment horizontal="left" vertical="center"/>
    </xf>
    <xf numFmtId="0" fontId="6" fillId="0" borderId="117" xfId="4" applyFont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10" fontId="5" fillId="0" borderId="86" xfId="3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Alignment="1">
      <alignment horizontal="right"/>
    </xf>
    <xf numFmtId="183" fontId="5" fillId="0" borderId="0" xfId="2012" applyNumberFormat="1" applyFont="1"/>
    <xf numFmtId="166" fontId="5" fillId="0" borderId="0" xfId="2408" applyNumberFormat="1" applyFont="1" applyFill="1" applyBorder="1" applyAlignment="1" applyProtection="1">
      <alignment horizontal="right"/>
      <protection locked="0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Alignment="1">
      <alignment horizontal="right"/>
    </xf>
    <xf numFmtId="10" fontId="13" fillId="0" borderId="0" xfId="2012" applyNumberFormat="1" applyFont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6" fontId="5" fillId="0" borderId="0" xfId="4" applyNumberFormat="1" applyFont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Alignment="1">
      <alignment horizontal="center" vertical="center"/>
    </xf>
    <xf numFmtId="0" fontId="6" fillId="0" borderId="0" xfId="2012" applyFont="1" applyAlignment="1">
      <alignment horizontal="left" vertical="center"/>
    </xf>
    <xf numFmtId="0" fontId="6" fillId="0" borderId="0" xfId="2012" applyFont="1" applyAlignment="1">
      <alignment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Alignment="1">
      <alignment vertical="center"/>
    </xf>
    <xf numFmtId="37" fontId="6" fillId="0" borderId="0" xfId="1604" applyNumberFormat="1" applyFont="1" applyAlignment="1">
      <alignment horizontal="center" vertical="center"/>
    </xf>
    <xf numFmtId="0" fontId="27" fillId="0" borderId="0" xfId="1962" applyFont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9" fillId="0" borderId="114" xfId="1962" applyFont="1" applyBorder="1" applyAlignment="1">
      <alignment horizontal="center"/>
    </xf>
    <xf numFmtId="0" fontId="117" fillId="0" borderId="6" xfId="1962" applyFont="1" applyBorder="1" applyAlignment="1">
      <alignment horizontal="center"/>
    </xf>
    <xf numFmtId="0" fontId="117" fillId="0" borderId="106" xfId="1962" applyFont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10" fillId="0" borderId="0" xfId="2012" applyFont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Alignment="1">
      <alignment horizontal="right" vertical="center"/>
    </xf>
    <xf numFmtId="183" fontId="5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>
      <alignment vertical="center"/>
    </xf>
    <xf numFmtId="165" fontId="5" fillId="0" borderId="1" xfId="2" applyNumberFormat="1" applyFont="1" applyBorder="1" applyAlignment="1">
      <alignment horizontal="right" vertical="center"/>
    </xf>
    <xf numFmtId="0" fontId="13" fillId="0" borderId="0" xfId="2012" applyFont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Border="1" applyAlignment="1">
      <alignment vertical="center"/>
    </xf>
    <xf numFmtId="0" fontId="29" fillId="0" borderId="0" xfId="1962" applyFont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" fontId="5" fillId="0" borderId="0" xfId="4" applyNumberFormat="1" applyFont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Alignment="1">
      <alignment vertical="center"/>
    </xf>
    <xf numFmtId="0" fontId="11" fillId="0" borderId="0" xfId="3840" quotePrefix="1" applyFont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10" fontId="27" fillId="0" borderId="0" xfId="0" applyNumberFormat="1" applyFont="1" applyAlignment="1">
      <alignment vertical="center"/>
    </xf>
    <xf numFmtId="184" fontId="27" fillId="0" borderId="0" xfId="0" quotePrefix="1" applyNumberFormat="1" applyFont="1" applyAlignment="1">
      <alignment horizontal="center" vertical="center"/>
    </xf>
    <xf numFmtId="184" fontId="27" fillId="0" borderId="0" xfId="0" applyNumberFormat="1" applyFont="1" applyAlignment="1">
      <alignment vertical="center"/>
    </xf>
    <xf numFmtId="184" fontId="27" fillId="0" borderId="0" xfId="0" applyNumberFormat="1" applyFont="1" applyAlignment="1">
      <alignment horizontal="right" vertical="center"/>
    </xf>
    <xf numFmtId="1" fontId="6" fillId="0" borderId="0" xfId="4" applyNumberFormat="1" applyFont="1" applyAlignment="1">
      <alignment horizontal="center" vertical="center"/>
    </xf>
    <xf numFmtId="184" fontId="29" fillId="0" borderId="0" xfId="0" quotePrefix="1" applyNumberFormat="1" applyFont="1" applyAlignment="1">
      <alignment horizontal="center" vertical="center"/>
    </xf>
    <xf numFmtId="184" fontId="6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vertical="center"/>
    </xf>
    <xf numFmtId="10" fontId="29" fillId="0" borderId="0" xfId="0" applyNumberFormat="1" applyFont="1" applyAlignment="1">
      <alignment vertical="center"/>
    </xf>
    <xf numFmtId="184" fontId="29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Alignment="1">
      <alignment horizontal="center" vertical="center"/>
    </xf>
    <xf numFmtId="10" fontId="27" fillId="2" borderId="0" xfId="0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Alignment="1">
      <alignment horizontal="center" vertical="center"/>
    </xf>
    <xf numFmtId="215" fontId="5" fillId="3" borderId="0" xfId="2038" applyNumberFormat="1" applyFont="1" applyFill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5" fontId="6" fillId="0" borderId="0" xfId="2012" applyNumberFormat="1" applyFont="1" applyAlignment="1" applyProtection="1">
      <alignment horizontal="right" vertical="center"/>
      <protection locked="0"/>
    </xf>
    <xf numFmtId="5" fontId="6" fillId="0" borderId="0" xfId="2012" applyNumberFormat="1" applyFont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horizontal="right" vertical="center"/>
    </xf>
    <xf numFmtId="184" fontId="5" fillId="0" borderId="0" xfId="0" quotePrefix="1" applyNumberFormat="1" applyFont="1" applyAlignment="1">
      <alignment horizontal="center" vertical="center"/>
    </xf>
    <xf numFmtId="184" fontId="5" fillId="0" borderId="0" xfId="0" applyNumberFormat="1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Alignment="1">
      <alignment horizontal="center" vertical="center"/>
    </xf>
    <xf numFmtId="0" fontId="11" fillId="0" borderId="0" xfId="3856" applyFont="1" applyAlignment="1">
      <alignment horizontal="center" vertical="center"/>
    </xf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Alignment="1">
      <alignment horizontal="center" vertical="center"/>
    </xf>
    <xf numFmtId="0" fontId="5" fillId="0" borderId="0" xfId="1042" applyFont="1"/>
    <xf numFmtId="172" fontId="6" fillId="0" borderId="0" xfId="0" applyNumberFormat="1" applyFont="1"/>
    <xf numFmtId="37" fontId="6" fillId="0" borderId="86" xfId="12" applyNumberFormat="1" applyFont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Alignment="1">
      <alignment horizontal="center" vertical="center"/>
    </xf>
    <xf numFmtId="0" fontId="6" fillId="0" borderId="0" xfId="1962" applyFont="1"/>
    <xf numFmtId="0" fontId="11" fillId="0" borderId="0" xfId="1962" applyFont="1" applyAlignment="1">
      <alignment horizontal="center" vertical="center"/>
    </xf>
    <xf numFmtId="0" fontId="5" fillId="0" borderId="0" xfId="1962" applyFont="1"/>
    <xf numFmtId="0" fontId="17" fillId="0" borderId="0" xfId="0" applyFont="1" applyAlignment="1">
      <alignment horizontal="center" vertical="center"/>
    </xf>
    <xf numFmtId="0" fontId="157" fillId="0" borderId="0" xfId="4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8" fillId="0" borderId="0" xfId="4" applyFont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Alignment="1">
      <alignment horizontal="center"/>
    </xf>
    <xf numFmtId="0" fontId="9" fillId="0" borderId="0" xfId="1965" applyFont="1"/>
    <xf numFmtId="0" fontId="9" fillId="0" borderId="0" xfId="2012" applyFont="1"/>
    <xf numFmtId="0" fontId="8" fillId="0" borderId="0" xfId="2012" applyFont="1"/>
    <xf numFmtId="0" fontId="9" fillId="0" borderId="0" xfId="4" applyFont="1" applyAlignment="1">
      <alignment horizontal="left"/>
    </xf>
    <xf numFmtId="0" fontId="6" fillId="0" borderId="119" xfId="3856" applyFont="1" applyBorder="1"/>
    <xf numFmtId="0" fontId="6" fillId="0" borderId="2" xfId="4" applyFont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165" fontId="8" fillId="0" borderId="0" xfId="48" applyNumberFormat="1" applyFont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6" fillId="0" borderId="4" xfId="4" applyFont="1" applyBorder="1" applyAlignment="1">
      <alignment horizontal="left" indent="2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Border="1" applyAlignment="1">
      <alignment horizontal="right" vertical="center"/>
    </xf>
    <xf numFmtId="0" fontId="8" fillId="0" borderId="0" xfId="2012" applyFont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164" fontId="5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165" fontId="5" fillId="3" borderId="0" xfId="2" applyNumberFormat="1" applyFont="1" applyFill="1" applyBorder="1" applyAlignment="1">
      <alignment horizontal="right" vertical="center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Border="1" applyAlignment="1">
      <alignment vertical="center"/>
    </xf>
    <xf numFmtId="168" fontId="5" fillId="0" borderId="86" xfId="4" applyNumberFormat="1" applyFont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Alignment="1">
      <alignment horizontal="left"/>
    </xf>
    <xf numFmtId="166" fontId="5" fillId="0" borderId="3" xfId="4" applyNumberFormat="1" applyFont="1" applyBorder="1"/>
    <xf numFmtId="0" fontId="5" fillId="0" borderId="50" xfId="0" applyFont="1" applyBorder="1" applyAlignment="1">
      <alignment horizontal="left"/>
    </xf>
    <xf numFmtId="165" fontId="5" fillId="0" borderId="0" xfId="0" applyNumberFormat="1" applyFont="1" applyAlignment="1">
      <alignment vertical="center"/>
    </xf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vertical="center" wrapText="1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123" xfId="1962" applyFont="1" applyBorder="1" applyAlignment="1">
      <alignment vertical="center"/>
    </xf>
    <xf numFmtId="43" fontId="5" fillId="0" borderId="123" xfId="1962" applyNumberFormat="1" applyFont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27" fillId="0" borderId="50" xfId="0" applyFont="1" applyBorder="1" applyAlignment="1">
      <alignment horizontal="left"/>
    </xf>
    <xf numFmtId="166" fontId="5" fillId="0" borderId="111" xfId="4" applyNumberFormat="1" applyFont="1" applyBorder="1"/>
    <xf numFmtId="0" fontId="167" fillId="0" borderId="0" xfId="1965" quotePrefix="1" applyFont="1" applyAlignment="1">
      <alignment horizontal="center" vertical="center"/>
    </xf>
    <xf numFmtId="0" fontId="158" fillId="0" borderId="0" xfId="1965" applyFont="1"/>
    <xf numFmtId="0" fontId="158" fillId="0" borderId="0" xfId="0" applyFont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6" fillId="0" borderId="121" xfId="4" applyFont="1" applyBorder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4" applyNumberFormat="1" applyFont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1" xfId="4" applyFont="1" applyBorder="1" applyAlignment="1">
      <alignment horizontal="center"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5" fillId="0" borderId="3" xfId="4" applyFont="1" applyBorder="1" applyAlignment="1">
      <alignment horizontal="right" vertical="center"/>
    </xf>
    <xf numFmtId="0" fontId="5" fillId="0" borderId="120" xfId="4" applyFont="1" applyBorder="1" applyAlignment="1">
      <alignment horizontal="center"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0" fontId="5" fillId="0" borderId="2" xfId="0" applyFont="1" applyBorder="1"/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Border="1" applyAlignment="1">
      <alignment vertical="center"/>
    </xf>
    <xf numFmtId="0" fontId="5" fillId="0" borderId="129" xfId="1962" applyFont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Border="1" applyAlignment="1">
      <alignment horizontal="left" vertical="center"/>
    </xf>
    <xf numFmtId="3" fontId="5" fillId="0" borderId="127" xfId="4" applyNumberFormat="1" applyFont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Border="1" applyAlignment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1965" quotePrefix="1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Alignment="1">
      <alignment horizont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184" fontId="5" fillId="0" borderId="124" xfId="0" applyNumberFormat="1" applyFont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1" fontId="5" fillId="0" borderId="124" xfId="55" applyNumberFormat="1" applyFont="1" applyBorder="1" applyAlignment="1">
      <alignment horizontal="center" vertical="center"/>
    </xf>
    <xf numFmtId="10" fontId="27" fillId="0" borderId="124" xfId="0" applyNumberFormat="1" applyFont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5" fillId="0" borderId="127" xfId="4" applyFont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168" fontId="6" fillId="0" borderId="127" xfId="4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Border="1" applyAlignment="1">
      <alignment vertical="center"/>
    </xf>
    <xf numFmtId="3" fontId="6" fillId="0" borderId="125" xfId="4" applyNumberFormat="1" applyFont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4" xfId="4" applyFont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10" fontId="5" fillId="2" borderId="124" xfId="0" applyNumberFormat="1" applyFont="1" applyFill="1" applyBorder="1" applyAlignment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Border="1" applyAlignment="1">
      <alignment horizontal="left" vertical="center"/>
    </xf>
    <xf numFmtId="166" fontId="5" fillId="3" borderId="0" xfId="1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3" fontId="5" fillId="0" borderId="0" xfId="4" applyNumberFormat="1" applyFont="1" applyAlignment="1">
      <alignment horizontal="left" vertical="center"/>
    </xf>
    <xf numFmtId="165" fontId="6" fillId="0" borderId="48" xfId="48" applyNumberFormat="1" applyFont="1" applyBorder="1" applyAlignment="1">
      <alignment horizontal="right"/>
    </xf>
    <xf numFmtId="0" fontId="5" fillId="0" borderId="0" xfId="6107" applyFont="1" applyAlignment="1">
      <alignment horizontal="center" vertical="center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  <xf numFmtId="44" fontId="5" fillId="0" borderId="0" xfId="2" applyFont="1" applyFill="1" applyBorder="1"/>
    <xf numFmtId="0" fontId="5" fillId="0" borderId="0" xfId="1604" applyFont="1" applyAlignment="1">
      <alignment wrapText="1"/>
    </xf>
    <xf numFmtId="37" fontId="5" fillId="0" borderId="7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right" vertical="center"/>
    </xf>
    <xf numFmtId="166" fontId="5" fillId="0" borderId="0" xfId="1" applyNumberFormat="1" applyFont="1" applyBorder="1" applyAlignment="1">
      <alignment horizontal="center" vertical="center"/>
    </xf>
    <xf numFmtId="37" fontId="5" fillId="0" borderId="7" xfId="0" applyNumberFormat="1" applyFont="1" applyBorder="1" applyAlignment="1">
      <alignment horizontal="center"/>
    </xf>
    <xf numFmtId="173" fontId="5" fillId="0" borderId="7" xfId="0" applyNumberFormat="1" applyFont="1" applyBorder="1" applyAlignment="1">
      <alignment horizontal="center" wrapText="1"/>
    </xf>
    <xf numFmtId="43" fontId="8" fillId="0" borderId="0" xfId="0" applyNumberFormat="1" applyFont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165" fontId="5" fillId="0" borderId="86" xfId="0" applyNumberFormat="1" applyFont="1" applyBorder="1" applyAlignment="1">
      <alignment horizontal="center" vertical="center"/>
    </xf>
    <xf numFmtId="217" fontId="5" fillId="0" borderId="0" xfId="38096" applyNumberFormat="1" applyFont="1" applyAlignment="1">
      <alignment vertical="center"/>
    </xf>
    <xf numFmtId="3" fontId="5" fillId="0" borderId="0" xfId="4" applyNumberFormat="1" applyFont="1" applyAlignment="1">
      <alignment horizontal="centerContinuous" vertical="center"/>
    </xf>
    <xf numFmtId="3" fontId="5" fillId="0" borderId="4" xfId="4" applyNumberFormat="1" applyFont="1" applyBorder="1" applyAlignment="1">
      <alignment horizontal="centerContinuous" vertical="center"/>
    </xf>
    <xf numFmtId="3" fontId="5" fillId="0" borderId="4" xfId="4" applyNumberFormat="1" applyFont="1" applyBorder="1" applyAlignment="1">
      <alignment vertical="center"/>
    </xf>
    <xf numFmtId="38" fontId="5" fillId="0" borderId="134" xfId="1" applyNumberFormat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Continuous" vertical="center"/>
    </xf>
    <xf numFmtId="165" fontId="5" fillId="0" borderId="5" xfId="2" applyNumberFormat="1" applyFont="1" applyFill="1" applyBorder="1" applyAlignment="1">
      <alignment horizontal="center" vertical="center"/>
    </xf>
    <xf numFmtId="10" fontId="5" fillId="0" borderId="5" xfId="3" applyNumberFormat="1" applyFont="1" applyFill="1" applyBorder="1" applyAlignment="1">
      <alignment horizontal="center" vertical="center"/>
    </xf>
    <xf numFmtId="43" fontId="5" fillId="0" borderId="0" xfId="0" applyNumberFormat="1" applyFont="1"/>
    <xf numFmtId="165" fontId="5" fillId="0" borderId="86" xfId="2" applyNumberFormat="1" applyFont="1" applyBorder="1" applyAlignment="1">
      <alignment horizontal="center" vertical="center"/>
    </xf>
    <xf numFmtId="165" fontId="27" fillId="0" borderId="86" xfId="2" quotePrefix="1" applyNumberFormat="1" applyFont="1" applyFill="1" applyBorder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37" fontId="5" fillId="0" borderId="124" xfId="0" applyNumberFormat="1" applyFont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center" vertical="center"/>
    </xf>
    <xf numFmtId="43" fontId="5" fillId="0" borderId="0" xfId="1" applyFont="1" applyFill="1" applyBorder="1" applyAlignment="1">
      <alignment vertical="center"/>
    </xf>
    <xf numFmtId="165" fontId="6" fillId="0" borderId="0" xfId="2" applyNumberFormat="1" applyFont="1" applyFill="1" applyAlignment="1">
      <alignment vertical="center"/>
    </xf>
    <xf numFmtId="0" fontId="168" fillId="0" borderId="0" xfId="0" applyFont="1" applyAlignment="1">
      <alignment horizontal="center"/>
    </xf>
    <xf numFmtId="165" fontId="6" fillId="0" borderId="0" xfId="2" applyNumberFormat="1" applyFont="1" applyAlignment="1">
      <alignment vertical="center"/>
    </xf>
    <xf numFmtId="3" fontId="157" fillId="0" borderId="4" xfId="4" applyNumberFormat="1" applyFont="1" applyBorder="1" applyAlignment="1">
      <alignment horizontal="centerContinuous" vertical="center"/>
    </xf>
    <xf numFmtId="3" fontId="5" fillId="0" borderId="125" xfId="4" applyNumberFormat="1" applyFont="1" applyBorder="1" applyAlignment="1">
      <alignment horizontal="centerContinuous" vertical="center"/>
    </xf>
    <xf numFmtId="0" fontId="5" fillId="0" borderId="121" xfId="4" applyFont="1" applyBorder="1" applyAlignment="1">
      <alignment vertical="center"/>
    </xf>
    <xf numFmtId="3" fontId="5" fillId="0" borderId="125" xfId="4" applyNumberFormat="1" applyFont="1" applyBorder="1" applyAlignment="1">
      <alignment vertical="center"/>
    </xf>
    <xf numFmtId="37" fontId="5" fillId="0" borderId="4" xfId="4" applyNumberFormat="1" applyFont="1" applyBorder="1" applyAlignment="1">
      <alignment vertical="center"/>
    </xf>
    <xf numFmtId="0" fontId="169" fillId="0" borderId="0" xfId="0" applyFont="1"/>
    <xf numFmtId="165" fontId="6" fillId="0" borderId="1" xfId="2" applyNumberFormat="1" applyFont="1" applyFill="1" applyBorder="1" applyAlignment="1">
      <alignment vertical="center"/>
    </xf>
    <xf numFmtId="166" fontId="6" fillId="0" borderId="120" xfId="4" applyNumberFormat="1" applyFont="1" applyBorder="1" applyAlignment="1">
      <alignment vertical="center"/>
    </xf>
    <xf numFmtId="37" fontId="6" fillId="0" borderId="127" xfId="4" applyNumberFormat="1" applyFont="1" applyBorder="1" applyAlignment="1">
      <alignment vertical="center"/>
    </xf>
    <xf numFmtId="37" fontId="6" fillId="0" borderId="86" xfId="4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horizontal="center" vertical="center"/>
    </xf>
    <xf numFmtId="0" fontId="6" fillId="0" borderId="0" xfId="0" applyFont="1"/>
    <xf numFmtId="165" fontId="6" fillId="3" borderId="0" xfId="2" applyNumberFormat="1" applyFont="1" applyFill="1" applyAlignment="1">
      <alignment vertical="center"/>
    </xf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166" fontId="5" fillId="0" borderId="124" xfId="0" applyNumberFormat="1" applyFont="1" applyBorder="1" applyAlignment="1">
      <alignment vertical="center"/>
    </xf>
    <xf numFmtId="166" fontId="5" fillId="0" borderId="0" xfId="1" applyNumberFormat="1" applyFont="1" applyBorder="1" applyAlignment="1">
      <alignment horizontal="right" vertical="center"/>
    </xf>
    <xf numFmtId="0" fontId="11" fillId="0" borderId="7" xfId="0" applyFont="1" applyBorder="1" applyAlignment="1">
      <alignment horizontal="center" vertical="center"/>
    </xf>
    <xf numFmtId="0" fontId="170" fillId="0" borderId="0" xfId="4" applyFont="1" applyAlignment="1">
      <alignment horizontal="center" vertical="center"/>
    </xf>
    <xf numFmtId="170" fontId="5" fillId="0" borderId="0" xfId="0" applyNumberFormat="1" applyFont="1"/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>
      <alignment horizontal="center"/>
    </xf>
    <xf numFmtId="2" fontId="6" fillId="2" borderId="0" xfId="2012" applyNumberFormat="1" applyFont="1" applyFill="1" applyAlignment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>
      <alignment horizontal="center" vertical="justify"/>
    </xf>
    <xf numFmtId="37" fontId="6" fillId="0" borderId="0" xfId="1604" applyNumberFormat="1" applyFont="1" applyAlignment="1">
      <alignment horizontal="center"/>
    </xf>
    <xf numFmtId="0" fontId="6" fillId="0" borderId="0" xfId="4" quotePrefix="1" applyFont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5" fontId="6" fillId="0" borderId="0" xfId="4" quotePrefix="1" applyNumberFormat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applyFont="1"/>
    <xf numFmtId="0" fontId="6" fillId="2" borderId="0" xfId="4" applyFont="1" applyFill="1" applyAlignment="1">
      <alignment horizontal="center"/>
    </xf>
    <xf numFmtId="0" fontId="6" fillId="2" borderId="0" xfId="4" applyFont="1" applyFill="1"/>
    <xf numFmtId="0" fontId="5" fillId="0" borderId="0" xfId="0" applyFont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2.bin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3.bin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5.bin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6.bin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8.bin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9.bin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1.bin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2.bin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4.bin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5.bin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6.bin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7.bin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8.bin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9.bin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0.bin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1.bin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2.bin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3.bin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4.bin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5.bin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6.bin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7.bin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8.bin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9.bin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0.bin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1.bin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2.bin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3.bin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4.bin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55.bin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6.bin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7.bin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8.bin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9.bin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0.bin"/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3"/>
  <sheetViews>
    <sheetView tabSelected="1" zoomScale="80" zoomScaleNormal="80" workbookViewId="0"/>
  </sheetViews>
  <sheetFormatPr defaultColWidth="8.6328125" defaultRowHeight="15.5"/>
  <cols>
    <col min="1" max="1" width="5.08984375" style="247" customWidth="1"/>
    <col min="2" max="2" width="73.08984375" style="3" bestFit="1" customWidth="1"/>
    <col min="3" max="3" width="14.6328125" style="3" customWidth="1"/>
    <col min="4" max="4" width="51.36328125" style="3" bestFit="1" customWidth="1"/>
    <col min="5" max="5" width="5.08984375" style="247" customWidth="1"/>
    <col min="6" max="6" width="8.6328125" style="3"/>
    <col min="7" max="7" width="9.81640625" style="3" bestFit="1" customWidth="1"/>
    <col min="8" max="16384" width="8.6328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77" t="s">
        <v>0</v>
      </c>
      <c r="C2" s="1277"/>
      <c r="D2" s="1277"/>
      <c r="E2" s="77"/>
    </row>
    <row r="3" spans="1:7">
      <c r="B3" s="1277" t="s">
        <v>1</v>
      </c>
      <c r="C3" s="1277"/>
      <c r="D3" s="1277"/>
      <c r="E3" s="109"/>
    </row>
    <row r="4" spans="1:7">
      <c r="B4" s="1277" t="s">
        <v>2</v>
      </c>
      <c r="C4" s="1277"/>
      <c r="D4" s="1277"/>
      <c r="E4" s="109"/>
    </row>
    <row r="5" spans="1:7">
      <c r="A5" s="562"/>
      <c r="B5" s="1276" t="str">
        <f>"Rate Effective Period January 1, "&amp;Automation!B3+2 &amp;" to December 31, "&amp;Automation!B3+2</f>
        <v>Rate Effective Period January 1, 2025 to December 31, 2025</v>
      </c>
      <c r="C5" s="1276"/>
      <c r="D5" s="1276"/>
      <c r="E5" s="562"/>
    </row>
    <row r="6" spans="1:7">
      <c r="B6" s="1278" t="s">
        <v>3</v>
      </c>
      <c r="C6" s="1277"/>
      <c r="D6" s="1277"/>
      <c r="E6" s="109"/>
    </row>
    <row r="7" spans="1:7" ht="16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5" t="s">
        <v>6</v>
      </c>
      <c r="C9" s="955" t="s">
        <v>7</v>
      </c>
      <c r="D9" s="956" t="s">
        <v>8</v>
      </c>
      <c r="E9" s="564" t="s">
        <v>5</v>
      </c>
    </row>
    <row r="10" spans="1:7">
      <c r="A10" s="563"/>
      <c r="B10" s="929"/>
      <c r="C10" s="56"/>
      <c r="D10" s="88"/>
      <c r="E10" s="564"/>
    </row>
    <row r="11" spans="1:7">
      <c r="A11" s="563">
        <v>1</v>
      </c>
      <c r="B11" s="848" t="s">
        <v>9</v>
      </c>
      <c r="C11" s="595">
        <f>'A. Sec.1 - Direct Maintenance'!E27</f>
        <v>0</v>
      </c>
      <c r="D11" s="89" t="str">
        <f>"Section 1; Page 1; Line "&amp;'A. Sec.1 - Direct Maintenance'!A27</f>
        <v>Section 1; Page 1; Line 17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f>'B. Sec.2 - Non-Direct Expenses'!E35</f>
        <v>907.1293850567223</v>
      </c>
      <c r="D13" s="89" t="str">
        <f>"Section 2; Page 1; Line "&amp;'B. Sec.2 - Non-Direct Expenses'!A35</f>
        <v>Section 2; Page 1; Line 25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4">
        <f>'C. Sec.3 - Other Costs'!G42</f>
        <v>-22.633807665104086</v>
      </c>
      <c r="D15" s="658" t="str">
        <f>"Section 3; Page 1; Line "&amp;'C. Sec.3 - Other Costs'!A42</f>
        <v>Section 3; Page 1; Line 31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9">
      <c r="A17" s="563">
        <f t="shared" si="0"/>
        <v>7</v>
      </c>
      <c r="B17" s="830" t="s">
        <v>12</v>
      </c>
      <c r="C17" s="899">
        <f>C11+C13+C15</f>
        <v>884.49557739161821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9">
      <c r="A18" s="563">
        <f t="shared" si="0"/>
        <v>8</v>
      </c>
      <c r="B18" s="87"/>
      <c r="C18" s="596"/>
      <c r="D18" s="91"/>
      <c r="E18" s="564">
        <f t="shared" si="1"/>
        <v>8</v>
      </c>
      <c r="G18" s="1275"/>
    </row>
    <row r="19" spans="1:9">
      <c r="A19" s="563">
        <f t="shared" si="0"/>
        <v>9</v>
      </c>
      <c r="B19" s="848" t="s">
        <v>13</v>
      </c>
      <c r="C19" s="660">
        <f>'D. Sec.4 - TU'!M30</f>
        <v>12.262473937705261</v>
      </c>
      <c r="D19" s="658" t="str">
        <f>"Section 4; Page TU; Col. 11; Line "&amp;'D. Sec.4 - TU'!A30</f>
        <v>Section 4; Page TU; Col. 11; Line 21</v>
      </c>
      <c r="E19" s="564">
        <f t="shared" si="1"/>
        <v>9</v>
      </c>
      <c r="G19" s="1275"/>
    </row>
    <row r="20" spans="1:9">
      <c r="A20" s="563">
        <f t="shared" si="0"/>
        <v>10</v>
      </c>
      <c r="B20" s="848"/>
      <c r="C20" s="596"/>
      <c r="D20" s="92"/>
      <c r="E20" s="564">
        <f t="shared" si="1"/>
        <v>10</v>
      </c>
      <c r="G20" s="1275"/>
    </row>
    <row r="21" spans="1:9">
      <c r="A21" s="563">
        <f t="shared" si="0"/>
        <v>11</v>
      </c>
      <c r="B21" s="848" t="s">
        <v>14</v>
      </c>
      <c r="C21" s="1094">
        <f>'E1. Sec.5 - Interest TU (CY)'!H30</f>
        <v>11.275977774723639</v>
      </c>
      <c r="D21" s="94" t="str">
        <f>"Section 5; Page Interest TU (CY); Col. 6; Line "&amp;'E1. Sec.5 - Interest TU (CY)'!A30</f>
        <v>Section 5; Page Interest TU (CY); Col. 6; Line 20</v>
      </c>
      <c r="E21" s="564">
        <f t="shared" si="1"/>
        <v>11</v>
      </c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</f>
        <v>908.03402910404714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9">
      <c r="A24" s="563">
        <f t="shared" si="0"/>
        <v>14</v>
      </c>
      <c r="B24" s="793"/>
      <c r="C24" s="178"/>
      <c r="D24" s="94"/>
      <c r="E24" s="564">
        <f t="shared" si="1"/>
        <v>14</v>
      </c>
      <c r="G24" s="1245"/>
    </row>
    <row r="25" spans="1:9">
      <c r="A25" s="563">
        <f t="shared" si="0"/>
        <v>15</v>
      </c>
      <c r="B25" s="17" t="s">
        <v>16</v>
      </c>
      <c r="C25" s="1095">
        <v>3.97</v>
      </c>
      <c r="D25" s="94" t="s">
        <v>17</v>
      </c>
      <c r="E25" s="564">
        <f t="shared" si="1"/>
        <v>15</v>
      </c>
      <c r="G25" s="1261"/>
    </row>
    <row r="26" spans="1:9">
      <c r="A26" s="563">
        <f t="shared" si="0"/>
        <v>16</v>
      </c>
      <c r="B26" s="63"/>
      <c r="C26" s="930"/>
      <c r="D26" s="93"/>
      <c r="E26" s="564">
        <f t="shared" si="1"/>
        <v>16</v>
      </c>
    </row>
    <row r="27" spans="1:9" ht="16" thickBot="1">
      <c r="A27" s="563">
        <f t="shared" si="0"/>
        <v>17</v>
      </c>
      <c r="B27" s="830" t="s">
        <v>18</v>
      </c>
      <c r="C27" s="598">
        <f>C23+C25</f>
        <v>912.00402910404716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6.5" thickTop="1" thickBot="1">
      <c r="A28" s="563">
        <f t="shared" si="0"/>
        <v>18</v>
      </c>
      <c r="B28" s="931"/>
      <c r="C28" s="931"/>
      <c r="D28" s="96"/>
      <c r="E28" s="564">
        <f t="shared" si="1"/>
        <v>18</v>
      </c>
    </row>
    <row r="30" spans="1:9" ht="16" thickBot="1">
      <c r="A30" s="562"/>
      <c r="B30" s="932"/>
      <c r="C30" s="933"/>
      <c r="D30" s="933"/>
      <c r="E30" s="562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5" t="s">
        <v>19</v>
      </c>
      <c r="C32" s="955" t="str">
        <f>C9</f>
        <v>Amounts</v>
      </c>
      <c r="D32" s="956" t="str">
        <f>D9</f>
        <v>Reference</v>
      </c>
      <c r="E32" s="564" t="s">
        <v>5</v>
      </c>
    </row>
    <row r="33" spans="1:7">
      <c r="A33" s="563">
        <f>A28+1</f>
        <v>19</v>
      </c>
      <c r="B33" s="54"/>
      <c r="C33" s="56"/>
      <c r="D33" s="88"/>
      <c r="E33" s="564">
        <f>E28+1</f>
        <v>19</v>
      </c>
    </row>
    <row r="34" spans="1:7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7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7">
      <c r="A36" s="563">
        <f t="shared" si="2"/>
        <v>22</v>
      </c>
      <c r="B36" s="848" t="str">
        <f>B13</f>
        <v>Section 2 - Non-Direct Expense Cost Component</v>
      </c>
      <c r="C36" s="847">
        <f>C13/12</f>
        <v>75.594115421393525</v>
      </c>
      <c r="D36" s="89" t="str">
        <f>"Line "&amp;A13&amp;" / "&amp;C50&amp;" Months"</f>
        <v>Line 3 / 12 Months</v>
      </c>
      <c r="E36" s="564">
        <f t="shared" si="3"/>
        <v>22</v>
      </c>
    </row>
    <row r="37" spans="1:7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7">
      <c r="A38" s="563">
        <f t="shared" si="2"/>
        <v>24</v>
      </c>
      <c r="B38" s="848" t="str">
        <f>B15</f>
        <v>Section 3 - Cost Component Containing Other Specific Expenses</v>
      </c>
      <c r="C38" s="1096">
        <f>C15/12</f>
        <v>-1.8861506387586739</v>
      </c>
      <c r="D38" s="89" t="str">
        <f>"Line "&amp;A15&amp;" / "&amp;C50&amp;" Months"</f>
        <v>Line 5 / 12 Months</v>
      </c>
      <c r="E38" s="564">
        <f t="shared" si="3"/>
        <v>24</v>
      </c>
    </row>
    <row r="39" spans="1:7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7">
      <c r="A40" s="563">
        <f t="shared" si="2"/>
        <v>26</v>
      </c>
      <c r="B40" s="830" t="s">
        <v>20</v>
      </c>
      <c r="C40" s="900">
        <f>C34+C36+C38</f>
        <v>73.707964782634846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7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7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1.021872828142105</v>
      </c>
      <c r="D42" s="89" t="str">
        <f>"Line "&amp;A19&amp;" / "&amp;C50&amp;" Months"</f>
        <v>Line 9 / 12 Months</v>
      </c>
      <c r="E42" s="564">
        <f t="shared" si="3"/>
        <v>28</v>
      </c>
    </row>
    <row r="43" spans="1:7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7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0.93966481456030326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7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7">
      <c r="A46" s="563">
        <f t="shared" si="2"/>
        <v>32</v>
      </c>
      <c r="B46" s="17" t="str">
        <f>B25</f>
        <v>Other Adjustments</v>
      </c>
      <c r="C46" s="1096">
        <f>C25/12</f>
        <v>0.33083333333333337</v>
      </c>
      <c r="D46" s="93" t="str">
        <f>"Line "&amp;A25&amp;" / "&amp;C50&amp;" Months"</f>
        <v>Line 15 / 12 Months</v>
      </c>
      <c r="E46" s="564">
        <f t="shared" si="3"/>
        <v>32</v>
      </c>
      <c r="G46" s="1245"/>
    </row>
    <row r="47" spans="1:7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7" ht="16" thickBot="1">
      <c r="A48" s="563">
        <f t="shared" si="2"/>
        <v>34</v>
      </c>
      <c r="B48" s="57" t="s">
        <v>21</v>
      </c>
      <c r="C48" s="849">
        <f>C27/12</f>
        <v>76.000335758670602</v>
      </c>
      <c r="D48" s="94" t="str">
        <f>"Sum Lines "&amp;A40&amp;", "&amp;A42&amp;", "&amp;A44&amp;", "&amp;A46</f>
        <v>Sum Lines 26, 28, 30, 32</v>
      </c>
      <c r="E48" s="564">
        <f t="shared" si="3"/>
        <v>34</v>
      </c>
      <c r="G48" s="736"/>
    </row>
    <row r="49" spans="1:5" ht="16" thickTop="1">
      <c r="A49" s="563">
        <f t="shared" si="2"/>
        <v>35</v>
      </c>
      <c r="B49" s="54"/>
      <c r="C49" s="934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7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4"/>
      <c r="D51" s="100"/>
      <c r="E51" s="564">
        <f t="shared" si="3"/>
        <v>37</v>
      </c>
    </row>
    <row r="52" spans="1:5" ht="16" thickBot="1">
      <c r="A52" s="563">
        <f t="shared" si="2"/>
        <v>38</v>
      </c>
      <c r="B52" s="830" t="str">
        <f>B27</f>
        <v>Total Annual Costs</v>
      </c>
      <c r="C52" s="1212">
        <f>C48*C50</f>
        <v>912.00402910404728</v>
      </c>
      <c r="D52" s="93" t="str">
        <f>"Line "&amp;A48&amp;" x Line "&amp;A50</f>
        <v>Line 34 x Line 36</v>
      </c>
      <c r="E52" s="564">
        <f t="shared" si="3"/>
        <v>38</v>
      </c>
    </row>
    <row r="53" spans="1:5" ht="16.5" thickTop="1" thickBot="1">
      <c r="A53" s="563">
        <f t="shared" si="2"/>
        <v>39</v>
      </c>
      <c r="B53" s="935"/>
      <c r="C53" s="24"/>
      <c r="D53" s="101"/>
      <c r="E53" s="564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4" orientation="portrait" r:id="rId1"/>
  <headerFooter scaleWithDoc="0">
    <oddFooter xml:space="preserve">&amp;C&amp;"Times New Roman,Regular"&amp;10Summary of Cost Components
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4.5"/>
  <sheetData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zoomScale="80" zoomScaleNormal="80" zoomScalePageLayoutView="80" workbookViewId="0"/>
  </sheetViews>
  <sheetFormatPr defaultColWidth="8.6328125" defaultRowHeight="15.5"/>
  <cols>
    <col min="1" max="1" width="5.08984375" style="119" bestFit="1" customWidth="1"/>
    <col min="2" max="2" width="55.6328125" style="136" customWidth="1"/>
    <col min="3" max="3" width="40.36328125" style="119" bestFit="1" customWidth="1"/>
    <col min="4" max="4" width="1.54296875" style="136" customWidth="1"/>
    <col min="5" max="5" width="16.6328125" style="136" customWidth="1"/>
    <col min="6" max="6" width="1.54296875" style="136" customWidth="1"/>
    <col min="7" max="7" width="16.6328125" style="136" customWidth="1"/>
    <col min="8" max="8" width="1.54296875" style="136" customWidth="1"/>
    <col min="9" max="9" width="16.6328125" style="136" customWidth="1"/>
    <col min="10" max="10" width="1.54296875" style="136" customWidth="1"/>
    <col min="11" max="11" width="34.54296875" style="136" customWidth="1"/>
    <col min="12" max="12" width="5.08984375" style="119" bestFit="1" customWidth="1"/>
    <col min="13" max="13" width="8.6328125" style="136"/>
    <col min="14" max="14" width="38.08984375" style="136" customWidth="1"/>
    <col min="15" max="16384" width="8.6328125" style="136"/>
  </cols>
  <sheetData>
    <row r="1" spans="1:14">
      <c r="A1" s="119" t="s">
        <v>186</v>
      </c>
    </row>
    <row r="2" spans="1:14">
      <c r="A2" s="136"/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N2" s="435"/>
    </row>
    <row r="3" spans="1:14">
      <c r="A3" s="136"/>
      <c r="B3" s="1296" t="s">
        <v>187</v>
      </c>
      <c r="C3" s="1296"/>
      <c r="D3" s="1296"/>
      <c r="E3" s="1296"/>
      <c r="F3" s="1296"/>
      <c r="G3" s="1296"/>
      <c r="H3" s="1296"/>
      <c r="I3" s="1296"/>
      <c r="J3" s="1296"/>
      <c r="K3" s="1296"/>
      <c r="N3" s="435"/>
    </row>
    <row r="4" spans="1:14">
      <c r="A4" s="136"/>
      <c r="B4" s="1296" t="s">
        <v>188</v>
      </c>
      <c r="C4" s="1296"/>
      <c r="D4" s="1296"/>
      <c r="E4" s="1296"/>
      <c r="F4" s="1296"/>
      <c r="G4" s="1296"/>
      <c r="H4" s="1297"/>
      <c r="I4" s="1297"/>
      <c r="J4" s="1297"/>
      <c r="K4" s="1297"/>
    </row>
    <row r="5" spans="1:14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  <c r="H5" s="1299"/>
      <c r="I5" s="1299"/>
      <c r="J5" s="1299"/>
      <c r="K5" s="1299"/>
      <c r="N5" s="110"/>
    </row>
    <row r="6" spans="1:14">
      <c r="B6" s="1300" t="s">
        <v>3</v>
      </c>
      <c r="C6" s="1297"/>
      <c r="D6" s="1297"/>
      <c r="E6" s="1297"/>
      <c r="F6" s="1297"/>
      <c r="G6" s="1297"/>
      <c r="H6" s="1297"/>
      <c r="I6" s="1297"/>
      <c r="J6" s="1297"/>
      <c r="K6" s="1297"/>
      <c r="N6" s="435"/>
    </row>
    <row r="7" spans="1:14">
      <c r="B7" s="1089"/>
      <c r="C7" s="109"/>
      <c r="D7" s="110"/>
      <c r="E7" s="110"/>
      <c r="F7" s="110"/>
      <c r="G7" s="110"/>
      <c r="H7" s="110"/>
      <c r="I7" s="110"/>
      <c r="J7" s="110"/>
      <c r="K7" s="110"/>
      <c r="N7" s="435"/>
    </row>
    <row r="8" spans="1:14">
      <c r="A8" s="119" t="s">
        <v>4</v>
      </c>
      <c r="B8" s="109"/>
      <c r="C8" s="247" t="s">
        <v>189</v>
      </c>
      <c r="D8" s="109"/>
      <c r="E8" s="341" t="s">
        <v>77</v>
      </c>
      <c r="F8" s="119"/>
      <c r="G8" s="341" t="s">
        <v>78</v>
      </c>
      <c r="H8" s="119"/>
      <c r="I8" s="341" t="s">
        <v>190</v>
      </c>
      <c r="J8" s="109"/>
      <c r="L8" s="119" t="s">
        <v>4</v>
      </c>
    </row>
    <row r="9" spans="1:14">
      <c r="A9" s="119" t="s">
        <v>5</v>
      </c>
      <c r="B9" s="109"/>
      <c r="C9" s="997" t="s">
        <v>191</v>
      </c>
      <c r="D9" s="109"/>
      <c r="E9" s="1108" t="str">
        <f>"31-Dec-"&amp;RIGHT(Automation!$B$3-1,2)</f>
        <v>31-Dec-22</v>
      </c>
      <c r="F9" s="109"/>
      <c r="G9" s="1109" t="str">
        <f>"31-Dec-"&amp;RIGHT(Automation!$B$3,2)</f>
        <v>31-Dec-23</v>
      </c>
      <c r="H9" s="109"/>
      <c r="I9" s="1011" t="s">
        <v>192</v>
      </c>
      <c r="J9" s="109"/>
      <c r="K9" s="1012" t="s">
        <v>8</v>
      </c>
      <c r="L9" s="119" t="s">
        <v>5</v>
      </c>
      <c r="N9" s="216"/>
    </row>
    <row r="10" spans="1:14">
      <c r="E10" s="436"/>
      <c r="G10" s="436"/>
      <c r="H10" s="436"/>
      <c r="I10" s="436"/>
      <c r="J10" s="436"/>
      <c r="K10" s="436"/>
    </row>
    <row r="11" spans="1:14" ht="18">
      <c r="A11" s="119">
        <v>1</v>
      </c>
      <c r="B11" s="136" t="s">
        <v>907</v>
      </c>
      <c r="C11" s="119" t="s">
        <v>923</v>
      </c>
      <c r="E11" s="361"/>
      <c r="G11" s="361"/>
      <c r="H11" s="431"/>
      <c r="I11" s="394">
        <f>'AD-1'!E31</f>
        <v>584038.95358923054</v>
      </c>
      <c r="J11" s="352"/>
      <c r="K11" s="437" t="str">
        <f>"AD-1; Line "&amp;'AD-1'!A31</f>
        <v>AD-1; Line 18</v>
      </c>
      <c r="L11" s="119">
        <f>A11</f>
        <v>1</v>
      </c>
    </row>
    <row r="12" spans="1:14">
      <c r="A12" s="119">
        <f t="shared" ref="A12:A45" si="0">+A11+1</f>
        <v>2</v>
      </c>
      <c r="B12" s="136" t="s">
        <v>186</v>
      </c>
      <c r="E12" s="361"/>
      <c r="G12" s="361"/>
      <c r="H12" s="355"/>
      <c r="I12" s="361"/>
      <c r="J12" s="355"/>
      <c r="K12" s="437"/>
      <c r="L12" s="119">
        <f t="shared" ref="L12:L45" si="1">+L11+1</f>
        <v>2</v>
      </c>
    </row>
    <row r="13" spans="1:14" ht="18">
      <c r="A13" s="119">
        <f t="shared" si="0"/>
        <v>3</v>
      </c>
      <c r="B13" s="136" t="s">
        <v>908</v>
      </c>
      <c r="C13" s="119" t="s">
        <v>923</v>
      </c>
      <c r="E13" s="361"/>
      <c r="G13" s="361"/>
      <c r="H13" s="431"/>
      <c r="I13" s="397">
        <f>'AD-2'!E31</f>
        <v>0</v>
      </c>
      <c r="J13" s="352"/>
      <c r="K13" s="437" t="str">
        <f>"AD-2; Line "&amp;'AD-2'!A31</f>
        <v>AD-2; Line 18</v>
      </c>
      <c r="L13" s="119">
        <f t="shared" si="1"/>
        <v>3</v>
      </c>
    </row>
    <row r="14" spans="1:14">
      <c r="A14" s="119">
        <f t="shared" si="0"/>
        <v>4</v>
      </c>
      <c r="E14" s="361"/>
      <c r="F14" s="110"/>
      <c r="G14" s="361"/>
      <c r="H14" s="355"/>
      <c r="I14" s="361"/>
      <c r="J14" s="355"/>
      <c r="K14" s="437"/>
      <c r="L14" s="119">
        <f t="shared" si="1"/>
        <v>4</v>
      </c>
    </row>
    <row r="15" spans="1:14" ht="18">
      <c r="A15" s="119">
        <f t="shared" si="0"/>
        <v>5</v>
      </c>
      <c r="B15" s="136" t="s">
        <v>909</v>
      </c>
      <c r="E15" s="361"/>
      <c r="F15" s="110"/>
      <c r="G15" s="361"/>
      <c r="H15" s="431"/>
      <c r="I15" s="397">
        <f>'AD-3'!E31</f>
        <v>0</v>
      </c>
      <c r="J15" s="355"/>
      <c r="K15" s="437" t="str">
        <f>"AD-3; Line "&amp;'AD-3'!A31</f>
        <v>AD-3; Line 18</v>
      </c>
      <c r="L15" s="119">
        <f t="shared" si="1"/>
        <v>5</v>
      </c>
    </row>
    <row r="16" spans="1:14">
      <c r="A16" s="119">
        <f t="shared" si="0"/>
        <v>6</v>
      </c>
      <c r="E16" s="361"/>
      <c r="F16" s="110"/>
      <c r="G16" s="361"/>
      <c r="H16" s="355"/>
      <c r="I16" s="361"/>
      <c r="J16" s="355"/>
      <c r="K16" s="437"/>
      <c r="L16" s="119">
        <f t="shared" si="1"/>
        <v>6</v>
      </c>
    </row>
    <row r="17" spans="1:13" ht="18">
      <c r="A17" s="119">
        <f t="shared" si="0"/>
        <v>7</v>
      </c>
      <c r="B17" s="136" t="s">
        <v>910</v>
      </c>
      <c r="C17" s="119" t="s">
        <v>923</v>
      </c>
      <c r="E17" s="360"/>
      <c r="F17" s="110"/>
      <c r="G17" s="360"/>
      <c r="H17" s="426"/>
      <c r="I17" s="389">
        <f>'AD-4'!E31</f>
        <v>554696.24298076914</v>
      </c>
      <c r="J17" s="352"/>
      <c r="K17" s="437" t="str">
        <f>"AD-4; Line "&amp;'AD-4'!A31</f>
        <v>AD-4; Line 18</v>
      </c>
      <c r="L17" s="119">
        <f t="shared" si="1"/>
        <v>7</v>
      </c>
    </row>
    <row r="18" spans="1:13">
      <c r="A18" s="119">
        <f t="shared" si="0"/>
        <v>8</v>
      </c>
      <c r="E18" s="360"/>
      <c r="F18" s="110"/>
      <c r="G18" s="360"/>
      <c r="H18" s="355"/>
      <c r="I18" s="360"/>
      <c r="J18" s="355"/>
      <c r="K18" s="437"/>
      <c r="L18" s="119">
        <f t="shared" si="1"/>
        <v>8</v>
      </c>
    </row>
    <row r="19" spans="1:13" ht="18">
      <c r="A19" s="119">
        <f>+A18+1</f>
        <v>9</v>
      </c>
      <c r="B19" s="136" t="s">
        <v>911</v>
      </c>
      <c r="C19" s="119" t="s">
        <v>924</v>
      </c>
      <c r="E19" s="429">
        <f>'AD-5'!E15</f>
        <v>9750399.0658389479</v>
      </c>
      <c r="F19" s="323"/>
      <c r="G19" s="429">
        <f>'AD-5'!E17</f>
        <v>11031887.66371526</v>
      </c>
      <c r="H19" s="426"/>
      <c r="I19" s="360">
        <f>(E19+G19)/2</f>
        <v>10391143.364777103</v>
      </c>
      <c r="J19" s="355"/>
      <c r="K19" s="438" t="str">
        <f>"AD-5; Line "&amp;'AD-5'!A20</f>
        <v>AD-5; Line 6</v>
      </c>
      <c r="L19" s="119">
        <f>+L18+1</f>
        <v>9</v>
      </c>
    </row>
    <row r="20" spans="1:13">
      <c r="A20" s="119">
        <f t="shared" si="0"/>
        <v>10</v>
      </c>
      <c r="E20" s="360"/>
      <c r="G20" s="360"/>
      <c r="H20" s="355"/>
      <c r="I20" s="360"/>
      <c r="J20" s="355"/>
      <c r="K20" s="439"/>
      <c r="L20" s="119">
        <f t="shared" si="1"/>
        <v>10</v>
      </c>
    </row>
    <row r="21" spans="1:13" ht="18">
      <c r="A21" s="119">
        <f t="shared" si="0"/>
        <v>11</v>
      </c>
      <c r="B21" s="136" t="s">
        <v>193</v>
      </c>
      <c r="E21" s="426"/>
      <c r="G21" s="426"/>
      <c r="H21" s="426"/>
      <c r="I21" s="390">
        <f>'AD-6'!E36</f>
        <v>8017057.3968355898</v>
      </c>
      <c r="J21" s="352"/>
      <c r="K21" s="438" t="str">
        <f>"AD-6; Line "&amp;'AD-6'!A36</f>
        <v>AD-6; Line 23</v>
      </c>
      <c r="L21" s="119">
        <f t="shared" si="1"/>
        <v>11</v>
      </c>
    </row>
    <row r="22" spans="1:13">
      <c r="A22" s="119">
        <f t="shared" si="0"/>
        <v>12</v>
      </c>
      <c r="E22" s="426"/>
      <c r="G22" s="426"/>
      <c r="H22" s="426"/>
      <c r="I22" s="375"/>
      <c r="J22" s="352"/>
      <c r="K22" s="438"/>
      <c r="L22" s="119">
        <f t="shared" si="1"/>
        <v>12</v>
      </c>
    </row>
    <row r="23" spans="1:13" ht="18">
      <c r="A23" s="119">
        <f t="shared" si="0"/>
        <v>13</v>
      </c>
      <c r="B23" s="136" t="s">
        <v>194</v>
      </c>
      <c r="E23" s="426"/>
      <c r="G23" s="426"/>
      <c r="H23" s="426"/>
      <c r="I23" s="390">
        <f>'AD-7'!E32</f>
        <v>0</v>
      </c>
      <c r="J23" s="352"/>
      <c r="K23" s="440" t="str">
        <f>"AD-7; Line "&amp;'AD-7'!A32</f>
        <v>AD-7; Line 18</v>
      </c>
      <c r="L23" s="119">
        <f t="shared" si="1"/>
        <v>13</v>
      </c>
    </row>
    <row r="24" spans="1:13">
      <c r="A24" s="119">
        <f t="shared" si="0"/>
        <v>14</v>
      </c>
      <c r="E24" s="360"/>
      <c r="G24" s="360"/>
      <c r="H24" s="355"/>
      <c r="I24" s="360"/>
      <c r="J24" s="355"/>
      <c r="K24" s="439"/>
      <c r="L24" s="119">
        <f t="shared" si="1"/>
        <v>14</v>
      </c>
    </row>
    <row r="25" spans="1:13" ht="18">
      <c r="A25" s="119">
        <f t="shared" si="0"/>
        <v>15</v>
      </c>
      <c r="B25" s="136" t="s">
        <v>195</v>
      </c>
      <c r="C25" s="119" t="s">
        <v>924</v>
      </c>
      <c r="D25" s="193"/>
      <c r="E25" s="389">
        <f>'AD-8'!C14</f>
        <v>112870.21667000001</v>
      </c>
      <c r="F25" s="110"/>
      <c r="G25" s="389">
        <f>'AD-8'!C16</f>
        <v>125194.79648999999</v>
      </c>
      <c r="H25" s="355"/>
      <c r="I25" s="360">
        <f>(E25+G25)/2</f>
        <v>119032.50658</v>
      </c>
      <c r="J25" s="392"/>
      <c r="K25" s="440" t="str">
        <f>"AD-8; Line "&amp;'AD-8'!A19</f>
        <v>AD-8; Line 6</v>
      </c>
      <c r="L25" s="119">
        <f t="shared" si="1"/>
        <v>15</v>
      </c>
    </row>
    <row r="26" spans="1:13">
      <c r="A26" s="119">
        <f t="shared" si="0"/>
        <v>16</v>
      </c>
      <c r="E26" s="360"/>
      <c r="G26" s="360"/>
      <c r="H26" s="355"/>
      <c r="I26" s="360"/>
      <c r="J26" s="355"/>
      <c r="K26" s="439"/>
      <c r="L26" s="119">
        <f t="shared" si="1"/>
        <v>16</v>
      </c>
    </row>
    <row r="27" spans="1:13" ht="18">
      <c r="A27" s="119">
        <f t="shared" si="0"/>
        <v>17</v>
      </c>
      <c r="B27" s="136" t="s">
        <v>925</v>
      </c>
      <c r="C27" s="119" t="s">
        <v>924</v>
      </c>
      <c r="E27" s="389">
        <f>'AD-9'!C14</f>
        <v>571823.00716999953</v>
      </c>
      <c r="F27" s="110"/>
      <c r="G27" s="389">
        <f>'AD-9'!C16</f>
        <v>614792.31672999891</v>
      </c>
      <c r="H27" s="426"/>
      <c r="I27" s="360">
        <f>(E27+G27)/2</f>
        <v>593307.66194999916</v>
      </c>
      <c r="J27" s="355"/>
      <c r="K27" s="438" t="str">
        <f>"AD-9; Line "&amp;'AD-9'!A19</f>
        <v>AD-9; Line 6</v>
      </c>
      <c r="L27" s="119">
        <f t="shared" si="1"/>
        <v>17</v>
      </c>
    </row>
    <row r="28" spans="1:13">
      <c r="A28" s="119">
        <f t="shared" si="0"/>
        <v>18</v>
      </c>
      <c r="E28" s="361"/>
      <c r="F28" s="110"/>
      <c r="G28" s="361"/>
      <c r="H28" s="355"/>
      <c r="I28" s="361"/>
      <c r="J28" s="355"/>
      <c r="K28" s="438"/>
      <c r="L28" s="119">
        <f t="shared" si="1"/>
        <v>18</v>
      </c>
    </row>
    <row r="29" spans="1:13" ht="18">
      <c r="A29" s="119">
        <f t="shared" si="0"/>
        <v>19</v>
      </c>
      <c r="B29" s="136" t="s">
        <v>196</v>
      </c>
      <c r="E29" s="389">
        <f>'AD-10'!D15</f>
        <v>1555621.3643625001</v>
      </c>
      <c r="F29" s="110"/>
      <c r="G29" s="389">
        <f>'AD-10'!D19</f>
        <v>1812002.4911979998</v>
      </c>
      <c r="H29" s="426"/>
      <c r="I29" s="1110">
        <f>(E29+G29)/2</f>
        <v>1683811.9277802501</v>
      </c>
      <c r="J29" s="355"/>
      <c r="K29" s="438" t="str">
        <f>"AD-10; Line "&amp;'AD-10'!A22</f>
        <v>AD-10; Line 10</v>
      </c>
      <c r="L29" s="119">
        <f t="shared" si="1"/>
        <v>19</v>
      </c>
    </row>
    <row r="30" spans="1:13">
      <c r="A30" s="119">
        <f t="shared" si="0"/>
        <v>20</v>
      </c>
      <c r="E30" s="360"/>
      <c r="F30" s="110"/>
      <c r="G30" s="360"/>
      <c r="H30" s="355"/>
      <c r="I30" s="360"/>
      <c r="J30" s="355"/>
      <c r="K30" s="437"/>
      <c r="L30" s="119">
        <f t="shared" si="1"/>
        <v>20</v>
      </c>
    </row>
    <row r="31" spans="1:13" ht="16" thickBot="1">
      <c r="A31" s="119">
        <f t="shared" si="0"/>
        <v>21</v>
      </c>
      <c r="B31" s="136" t="s">
        <v>197</v>
      </c>
      <c r="E31" s="349"/>
      <c r="F31" s="441"/>
      <c r="G31" s="349"/>
      <c r="H31" s="347"/>
      <c r="I31" s="348">
        <f>I11+I13+I15+I17+I19+I21+I23+I25+I27+I29</f>
        <v>21943088.054492943</v>
      </c>
      <c r="J31" s="352"/>
      <c r="K31" s="437" t="str">
        <f>"Sum Lines "&amp;A11&amp;" thru "&amp;A29</f>
        <v>Sum Lines 1 thru 19</v>
      </c>
      <c r="L31" s="119">
        <f t="shared" si="1"/>
        <v>21</v>
      </c>
      <c r="M31" s="442"/>
    </row>
    <row r="32" spans="1:13" ht="16" thickTop="1">
      <c r="A32" s="119">
        <f t="shared" si="0"/>
        <v>22</v>
      </c>
      <c r="E32" s="443"/>
      <c r="G32" s="443"/>
      <c r="H32" s="354"/>
      <c r="I32" s="443"/>
      <c r="J32" s="354"/>
      <c r="K32" s="437" t="s">
        <v>186</v>
      </c>
      <c r="L32" s="119">
        <f t="shared" si="1"/>
        <v>22</v>
      </c>
    </row>
    <row r="33" spans="1:13">
      <c r="A33" s="119">
        <f t="shared" si="0"/>
        <v>23</v>
      </c>
      <c r="B33" s="136" t="s">
        <v>198</v>
      </c>
      <c r="E33" s="444"/>
      <c r="G33" s="444"/>
      <c r="H33" s="354"/>
      <c r="I33" s="1025">
        <f>'Stmt AI'!E27</f>
        <v>0.10138604007611932</v>
      </c>
      <c r="J33" s="354"/>
      <c r="K33" s="437" t="str">
        <f>"Statement AI; Line "&amp;'Stmt AI'!A27</f>
        <v>Statement AI; Line 17</v>
      </c>
      <c r="L33" s="119">
        <f t="shared" si="1"/>
        <v>23</v>
      </c>
    </row>
    <row r="34" spans="1:13">
      <c r="A34" s="119">
        <f t="shared" si="0"/>
        <v>24</v>
      </c>
      <c r="E34" s="443"/>
      <c r="G34" s="443"/>
      <c r="H34" s="354"/>
      <c r="I34" s="443"/>
      <c r="J34" s="354"/>
      <c r="K34" s="437"/>
      <c r="L34" s="119">
        <f t="shared" si="1"/>
        <v>24</v>
      </c>
    </row>
    <row r="35" spans="1:13">
      <c r="A35" s="119">
        <f t="shared" si="0"/>
        <v>25</v>
      </c>
      <c r="B35" s="136" t="s">
        <v>199</v>
      </c>
      <c r="E35" s="183"/>
      <c r="F35" s="183"/>
      <c r="G35" s="183"/>
      <c r="H35" s="445"/>
      <c r="I35" s="364">
        <f>I21+I23</f>
        <v>8017057.3968355898</v>
      </c>
      <c r="J35" s="352"/>
      <c r="K35" s="446" t="str">
        <f>"Line "&amp;A21&amp;" + Line "&amp;A23</f>
        <v>Line 11 + Line 13</v>
      </c>
      <c r="L35" s="119">
        <f t="shared" si="1"/>
        <v>25</v>
      </c>
    </row>
    <row r="36" spans="1:13">
      <c r="A36" s="119">
        <f t="shared" si="0"/>
        <v>26</v>
      </c>
      <c r="E36" s="443"/>
      <c r="G36" s="443"/>
      <c r="H36" s="354"/>
      <c r="I36" s="443"/>
      <c r="J36" s="354"/>
      <c r="K36" s="437"/>
      <c r="L36" s="119">
        <f t="shared" si="1"/>
        <v>26</v>
      </c>
    </row>
    <row r="37" spans="1:13">
      <c r="A37" s="119">
        <f t="shared" si="0"/>
        <v>27</v>
      </c>
      <c r="B37" s="136" t="s">
        <v>200</v>
      </c>
      <c r="E37" s="189"/>
      <c r="G37" s="189"/>
      <c r="H37" s="354"/>
      <c r="I37" s="447">
        <f>I25*I33</f>
        <v>12068.234482480817</v>
      </c>
      <c r="J37" s="352"/>
      <c r="K37" s="446" t="str">
        <f>"Line "&amp;A25&amp;" x Line "&amp;A33</f>
        <v>Line 15 x Line 23</v>
      </c>
      <c r="L37" s="119">
        <f t="shared" si="1"/>
        <v>27</v>
      </c>
      <c r="M37" s="442"/>
    </row>
    <row r="38" spans="1:13">
      <c r="A38" s="119">
        <f t="shared" si="0"/>
        <v>28</v>
      </c>
      <c r="E38" s="443"/>
      <c r="G38" s="443"/>
      <c r="H38" s="354"/>
      <c r="I38" s="448"/>
      <c r="J38" s="354"/>
      <c r="K38" s="437"/>
      <c r="L38" s="119">
        <f t="shared" si="1"/>
        <v>28</v>
      </c>
    </row>
    <row r="39" spans="1:13">
      <c r="A39" s="119">
        <f t="shared" si="0"/>
        <v>29</v>
      </c>
      <c r="B39" s="136" t="s">
        <v>201</v>
      </c>
      <c r="E39" s="189"/>
      <c r="G39" s="189"/>
      <c r="H39" s="354"/>
      <c r="I39" s="447">
        <f>I27*I33</f>
        <v>60153.114391931267</v>
      </c>
      <c r="J39" s="354"/>
      <c r="K39" s="446" t="str">
        <f>"Line "&amp;A27&amp;" x Line "&amp;A33</f>
        <v>Line 17 x Line 23</v>
      </c>
      <c r="L39" s="119">
        <f t="shared" si="1"/>
        <v>29</v>
      </c>
      <c r="M39" s="442"/>
    </row>
    <row r="40" spans="1:13">
      <c r="A40" s="119">
        <f t="shared" si="0"/>
        <v>30</v>
      </c>
      <c r="E40" s="189"/>
      <c r="G40" s="189"/>
      <c r="H40" s="354"/>
      <c r="I40" s="449"/>
      <c r="J40" s="354"/>
      <c r="K40" s="437"/>
      <c r="L40" s="119">
        <f t="shared" si="1"/>
        <v>30</v>
      </c>
      <c r="M40" s="442"/>
    </row>
    <row r="41" spans="1:13">
      <c r="A41" s="119">
        <f t="shared" si="0"/>
        <v>31</v>
      </c>
      <c r="B41" s="136" t="s">
        <v>202</v>
      </c>
      <c r="E41" s="189"/>
      <c r="G41" s="189"/>
      <c r="H41" s="354"/>
      <c r="I41" s="1111">
        <f>I29*I33</f>
        <v>170715.02359057617</v>
      </c>
      <c r="J41" s="354"/>
      <c r="K41" s="446" t="str">
        <f>"Line "&amp;A29&amp;" x Line "&amp;A33</f>
        <v>Line 19 x Line 23</v>
      </c>
      <c r="L41" s="119">
        <f t="shared" si="1"/>
        <v>31</v>
      </c>
      <c r="M41" s="442"/>
    </row>
    <row r="42" spans="1:13">
      <c r="A42" s="119">
        <f t="shared" si="0"/>
        <v>32</v>
      </c>
      <c r="B42" s="136" t="s">
        <v>186</v>
      </c>
      <c r="E42" s="450"/>
      <c r="G42" s="450"/>
      <c r="H42" s="354"/>
      <c r="I42" s="451"/>
      <c r="J42" s="354"/>
      <c r="K42" s="437"/>
      <c r="L42" s="119">
        <f t="shared" si="1"/>
        <v>32</v>
      </c>
    </row>
    <row r="43" spans="1:13" ht="16" thickBot="1">
      <c r="A43" s="119">
        <f t="shared" si="0"/>
        <v>33</v>
      </c>
      <c r="B43" s="136" t="s">
        <v>203</v>
      </c>
      <c r="E43" s="189"/>
      <c r="G43" s="189"/>
      <c r="H43" s="452"/>
      <c r="I43" s="453">
        <f>I35+I37+I39+I41</f>
        <v>8259993.7693005782</v>
      </c>
      <c r="J43" s="352"/>
      <c r="K43" s="446" t="str">
        <f>"Sum Lines "&amp;A35&amp;" thru "&amp;A41</f>
        <v>Sum Lines 25 thru 31</v>
      </c>
      <c r="L43" s="119">
        <f t="shared" si="1"/>
        <v>33</v>
      </c>
      <c r="M43" s="442"/>
    </row>
    <row r="44" spans="1:13" ht="16" thickTop="1">
      <c r="A44" s="119">
        <f t="shared" si="0"/>
        <v>34</v>
      </c>
      <c r="E44" s="454"/>
      <c r="G44" s="454"/>
      <c r="H44" s="452"/>
      <c r="I44" s="455"/>
      <c r="J44" s="452"/>
      <c r="K44" s="437"/>
      <c r="L44" s="119">
        <f t="shared" si="1"/>
        <v>34</v>
      </c>
    </row>
    <row r="45" spans="1:13" ht="18.5" thickBot="1">
      <c r="A45" s="119">
        <f t="shared" si="0"/>
        <v>35</v>
      </c>
      <c r="B45" s="136" t="s">
        <v>926</v>
      </c>
      <c r="E45" s="456"/>
      <c r="G45" s="456"/>
      <c r="H45" s="452"/>
      <c r="I45" s="457">
        <f>I43/I31</f>
        <v>0.37642804644396022</v>
      </c>
      <c r="J45" s="352"/>
      <c r="K45" s="446" t="str">
        <f>"Line "&amp;A43&amp;" / Line "&amp;A31</f>
        <v>Line 33 / Line 21</v>
      </c>
      <c r="L45" s="119">
        <f t="shared" si="1"/>
        <v>35</v>
      </c>
      <c r="M45" s="442"/>
    </row>
    <row r="46" spans="1:13" ht="16" thickTop="1">
      <c r="E46" s="109"/>
      <c r="G46" s="458"/>
      <c r="H46" s="332"/>
      <c r="I46" s="332"/>
      <c r="J46" s="332"/>
      <c r="K46" s="119"/>
    </row>
    <row r="47" spans="1:13">
      <c r="E47" s="109"/>
      <c r="G47" s="458"/>
      <c r="H47" s="332"/>
      <c r="I47" s="332"/>
      <c r="J47" s="332"/>
      <c r="K47" s="119"/>
    </row>
    <row r="48" spans="1:13" ht="18">
      <c r="A48" s="372">
        <v>1</v>
      </c>
      <c r="B48" s="16" t="s">
        <v>204</v>
      </c>
      <c r="E48" s="109"/>
      <c r="G48" s="458"/>
      <c r="H48" s="332"/>
      <c r="I48" s="332"/>
      <c r="J48" s="332"/>
      <c r="K48" s="119"/>
    </row>
    <row r="49" spans="1:11" ht="18">
      <c r="A49" s="135">
        <v>2</v>
      </c>
      <c r="B49" s="16" t="s">
        <v>205</v>
      </c>
      <c r="E49" s="109"/>
      <c r="G49" s="458"/>
      <c r="H49" s="332"/>
      <c r="I49" s="332"/>
      <c r="J49" s="332"/>
      <c r="K49" s="119"/>
    </row>
    <row r="50" spans="1:11" ht="18">
      <c r="A50" s="135">
        <v>3</v>
      </c>
      <c r="B50" s="16" t="s">
        <v>206</v>
      </c>
    </row>
    <row r="51" spans="1:11" ht="18">
      <c r="A51" s="135">
        <v>4</v>
      </c>
      <c r="B51" s="16" t="s">
        <v>207</v>
      </c>
    </row>
    <row r="52" spans="1:11" ht="18">
      <c r="A52" s="135">
        <v>5</v>
      </c>
      <c r="B52" s="16" t="s">
        <v>208</v>
      </c>
    </row>
    <row r="53" spans="1:11" ht="18">
      <c r="A53" s="135"/>
    </row>
    <row r="54" spans="1:11" ht="18">
      <c r="A54" s="135"/>
      <c r="B54" s="110"/>
    </row>
    <row r="55" spans="1:11" ht="18">
      <c r="A55" s="135"/>
    </row>
    <row r="77" spans="7:7">
      <c r="G77" s="11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Roman,Regular"&amp;10AD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I4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5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9">
      <c r="B2" s="1296" t="s">
        <v>0</v>
      </c>
      <c r="C2" s="1296"/>
      <c r="D2" s="1296"/>
      <c r="E2" s="1296"/>
      <c r="F2" s="1296"/>
    </row>
    <row r="3" spans="1:9">
      <c r="B3" s="1296" t="s">
        <v>209</v>
      </c>
      <c r="C3" s="1296"/>
      <c r="D3" s="1296"/>
      <c r="E3" s="1296"/>
      <c r="F3" s="1296"/>
    </row>
    <row r="4" spans="1:9">
      <c r="B4" s="1296" t="s">
        <v>210</v>
      </c>
      <c r="C4" s="1296"/>
      <c r="D4" s="1296"/>
      <c r="E4" s="1296"/>
      <c r="F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9">
      <c r="B6" s="1300" t="s">
        <v>3</v>
      </c>
      <c r="C6" s="1300"/>
      <c r="D6" s="1300"/>
      <c r="E6" s="1300"/>
      <c r="F6" s="1300"/>
    </row>
    <row r="7" spans="1:9">
      <c r="B7" s="111"/>
      <c r="C7" s="112"/>
      <c r="D7" s="113"/>
      <c r="E7" s="111"/>
      <c r="F7" s="111"/>
    </row>
    <row r="8" spans="1:9">
      <c r="B8" s="1296" t="s">
        <v>211</v>
      </c>
      <c r="C8" s="1296"/>
      <c r="D8" s="1296"/>
      <c r="E8" s="1296"/>
      <c r="F8" s="1296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212</v>
      </c>
      <c r="D11" s="116"/>
      <c r="E11" s="117" t="s">
        <v>212</v>
      </c>
      <c r="F11" s="118"/>
    </row>
    <row r="12" spans="1:9" ht="15.5">
      <c r="A12" s="119" t="s">
        <v>4</v>
      </c>
      <c r="B12" s="120"/>
      <c r="C12" s="109" t="s">
        <v>213</v>
      </c>
      <c r="D12" s="116"/>
      <c r="E12" s="121" t="s">
        <v>213</v>
      </c>
      <c r="F12" s="118"/>
      <c r="G12" s="119" t="s">
        <v>4</v>
      </c>
    </row>
    <row r="13" spans="1:9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</row>
    <row r="14" spans="1:9" ht="15.5">
      <c r="A14" s="119">
        <v>1</v>
      </c>
      <c r="B14" s="122" t="str">
        <f>"Dec-"&amp;RIGHT(Automation!$B$3-1,2)</f>
        <v>Dec-22</v>
      </c>
      <c r="C14" s="123">
        <v>562408.9543199999</v>
      </c>
      <c r="D14" s="124" t="s">
        <v>216</v>
      </c>
      <c r="E14" s="125">
        <v>578073.48988999985</v>
      </c>
      <c r="F14" s="124" t="s">
        <v>927</v>
      </c>
      <c r="G14" s="119">
        <f>A14</f>
        <v>1</v>
      </c>
      <c r="H14" s="126"/>
      <c r="I14" s="126"/>
    </row>
    <row r="15" spans="1:9" ht="15.5">
      <c r="A15" s="119">
        <f>A14+1</f>
        <v>2</v>
      </c>
      <c r="B15" s="122" t="str">
        <f>"Jan-"&amp;RIGHT(Automation!$B$3,2)</f>
        <v>Jan-23</v>
      </c>
      <c r="C15" s="127">
        <v>563623.27221999993</v>
      </c>
      <c r="D15" s="128"/>
      <c r="E15" s="129">
        <v>579287.80778999988</v>
      </c>
      <c r="F15" s="128"/>
      <c r="G15" s="119">
        <f>G14+1</f>
        <v>2</v>
      </c>
    </row>
    <row r="16" spans="1:9" ht="15.5">
      <c r="A16" s="119">
        <f t="shared" ref="A16:A32" si="0">A15+1</f>
        <v>3</v>
      </c>
      <c r="B16" s="122" t="s">
        <v>217</v>
      </c>
      <c r="C16" s="127">
        <v>563661.93705999991</v>
      </c>
      <c r="D16" s="128"/>
      <c r="E16" s="129">
        <v>579326.47262999986</v>
      </c>
      <c r="F16" s="128"/>
      <c r="G16" s="119">
        <f t="shared" ref="G16:G32" si="1">G15+1</f>
        <v>3</v>
      </c>
    </row>
    <row r="17" spans="1:9" ht="15.5">
      <c r="A17" s="119">
        <f t="shared" si="0"/>
        <v>4</v>
      </c>
      <c r="B17" s="122" t="s">
        <v>218</v>
      </c>
      <c r="C17" s="127">
        <v>563869.55168999999</v>
      </c>
      <c r="D17" s="128"/>
      <c r="E17" s="129">
        <v>579534.08725999994</v>
      </c>
      <c r="F17" s="128"/>
      <c r="G17" s="119">
        <f t="shared" si="1"/>
        <v>4</v>
      </c>
    </row>
    <row r="18" spans="1:9" ht="15.5">
      <c r="A18" s="119">
        <f t="shared" si="0"/>
        <v>5</v>
      </c>
      <c r="B18" s="122" t="s">
        <v>219</v>
      </c>
      <c r="C18" s="127">
        <v>564037.79978000012</v>
      </c>
      <c r="D18" s="128"/>
      <c r="E18" s="129">
        <v>579702.33535000007</v>
      </c>
      <c r="F18" s="128"/>
      <c r="G18" s="119">
        <f t="shared" si="1"/>
        <v>5</v>
      </c>
    </row>
    <row r="19" spans="1:9" ht="15.5">
      <c r="A19" s="119">
        <f t="shared" si="0"/>
        <v>6</v>
      </c>
      <c r="B19" s="122" t="s">
        <v>161</v>
      </c>
      <c r="C19" s="127">
        <v>564812.14225999976</v>
      </c>
      <c r="D19" s="128"/>
      <c r="E19" s="129">
        <v>580476.67782999971</v>
      </c>
      <c r="F19" s="128"/>
      <c r="G19" s="119">
        <f t="shared" si="1"/>
        <v>6</v>
      </c>
    </row>
    <row r="20" spans="1:9" ht="15.5">
      <c r="A20" s="119">
        <f>A19+1</f>
        <v>7</v>
      </c>
      <c r="B20" s="122" t="s">
        <v>220</v>
      </c>
      <c r="C20" s="127">
        <v>565723.80906</v>
      </c>
      <c r="D20" s="128"/>
      <c r="E20" s="129">
        <v>581388.34462999995</v>
      </c>
      <c r="F20" s="128"/>
      <c r="G20" s="119">
        <f>G19+1</f>
        <v>7</v>
      </c>
    </row>
    <row r="21" spans="1:9" ht="15.5">
      <c r="A21" s="119">
        <f t="shared" si="0"/>
        <v>8</v>
      </c>
      <c r="B21" s="122" t="s">
        <v>221</v>
      </c>
      <c r="C21" s="127">
        <v>567537.37085999991</v>
      </c>
      <c r="D21" s="128"/>
      <c r="E21" s="129">
        <v>583201.90642999986</v>
      </c>
      <c r="F21" s="128"/>
      <c r="G21" s="119">
        <f t="shared" si="1"/>
        <v>8</v>
      </c>
    </row>
    <row r="22" spans="1:9" ht="15.5">
      <c r="A22" s="119">
        <f t="shared" si="0"/>
        <v>9</v>
      </c>
      <c r="B22" s="122" t="s">
        <v>222</v>
      </c>
      <c r="C22" s="127">
        <v>574330.00165999983</v>
      </c>
      <c r="D22" s="128"/>
      <c r="E22" s="129">
        <v>589994.53722999978</v>
      </c>
      <c r="F22" s="128"/>
      <c r="G22" s="119">
        <f t="shared" si="1"/>
        <v>9</v>
      </c>
    </row>
    <row r="23" spans="1:9" ht="15.5">
      <c r="A23" s="119">
        <f t="shared" si="0"/>
        <v>10</v>
      </c>
      <c r="B23" s="122" t="s">
        <v>223</v>
      </c>
      <c r="C23" s="127">
        <v>574116.31579000014</v>
      </c>
      <c r="D23" s="128"/>
      <c r="E23" s="129">
        <v>589780.85136000009</v>
      </c>
      <c r="F23" s="128"/>
      <c r="G23" s="119">
        <f t="shared" si="1"/>
        <v>10</v>
      </c>
    </row>
    <row r="24" spans="1:9" ht="15.5">
      <c r="A24" s="119">
        <f t="shared" si="0"/>
        <v>11</v>
      </c>
      <c r="B24" s="122" t="s">
        <v>224</v>
      </c>
      <c r="C24" s="127">
        <v>574610.30617999984</v>
      </c>
      <c r="D24" s="128"/>
      <c r="E24" s="129">
        <v>590274.84174999979</v>
      </c>
      <c r="F24" s="128"/>
      <c r="G24" s="119">
        <f t="shared" si="1"/>
        <v>11</v>
      </c>
    </row>
    <row r="25" spans="1:9" ht="15.5">
      <c r="A25" s="119">
        <f t="shared" si="0"/>
        <v>12</v>
      </c>
      <c r="B25" s="122" t="s">
        <v>225</v>
      </c>
      <c r="C25" s="127">
        <v>574750.67025999993</v>
      </c>
      <c r="D25" s="128"/>
      <c r="E25" s="129">
        <v>590415.20582999988</v>
      </c>
      <c r="F25" s="128"/>
      <c r="G25" s="119">
        <f t="shared" si="1"/>
        <v>12</v>
      </c>
    </row>
    <row r="26" spans="1:9" ht="15.5">
      <c r="A26" s="119">
        <f t="shared" si="0"/>
        <v>13</v>
      </c>
      <c r="B26" s="1032" t="str">
        <f>"Dec-"&amp;RIGHT(Automation!$B$3,2)</f>
        <v>Dec-23</v>
      </c>
      <c r="C26" s="1114">
        <v>575385.30310999975</v>
      </c>
      <c r="D26" s="124" t="s">
        <v>216</v>
      </c>
      <c r="E26" s="1114">
        <v>591049.8386799997</v>
      </c>
      <c r="F26" s="124" t="s">
        <v>928</v>
      </c>
      <c r="G26" s="119">
        <f t="shared" si="1"/>
        <v>13</v>
      </c>
      <c r="I26" s="126"/>
    </row>
    <row r="27" spans="1:9" ht="15.5">
      <c r="A27" s="119">
        <f t="shared" si="0"/>
        <v>14</v>
      </c>
      <c r="B27" s="130"/>
      <c r="C27" s="927"/>
      <c r="D27" s="857"/>
      <c r="E27" s="131"/>
      <c r="F27" s="857"/>
      <c r="G27" s="119">
        <f t="shared" si="1"/>
        <v>14</v>
      </c>
    </row>
    <row r="28" spans="1:9" ht="15.5">
      <c r="A28" s="119">
        <f t="shared" si="0"/>
        <v>15</v>
      </c>
      <c r="B28" s="130" t="s">
        <v>226</v>
      </c>
      <c r="C28" s="132">
        <f>SUM(C14:C26)</f>
        <v>7388867.4342499981</v>
      </c>
      <c r="D28" s="158" t="str">
        <f>"Sum Lines "&amp;A14&amp;" thru "&amp;A26</f>
        <v>Sum Lines 1 thru 13</v>
      </c>
      <c r="E28" s="132">
        <f>SUM(E14:E26)</f>
        <v>7592506.3966599973</v>
      </c>
      <c r="F28" s="158" t="str">
        <f>"Sum Lines "&amp;A14&amp;" thru "&amp;A26</f>
        <v>Sum Lines 1 thru 13</v>
      </c>
      <c r="G28" s="119">
        <f t="shared" si="1"/>
        <v>15</v>
      </c>
    </row>
    <row r="29" spans="1:9" ht="15.5">
      <c r="A29" s="119">
        <f t="shared" si="0"/>
        <v>16</v>
      </c>
      <c r="B29" s="1016"/>
      <c r="C29" s="1115"/>
      <c r="D29" s="1016"/>
      <c r="E29" s="1115"/>
      <c r="F29" s="1016"/>
      <c r="G29" s="119">
        <f t="shared" si="1"/>
        <v>16</v>
      </c>
    </row>
    <row r="30" spans="1:9" ht="15.5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 ht="15.5">
      <c r="A31" s="119">
        <f t="shared" si="0"/>
        <v>18</v>
      </c>
      <c r="B31" s="130" t="s">
        <v>227</v>
      </c>
      <c r="C31" s="132">
        <f>C28/13</f>
        <v>568374.41801923059</v>
      </c>
      <c r="D31" s="158" t="str">
        <f>"Average of Lines "&amp;A14&amp;" thru "&amp;A26</f>
        <v>Average of Lines 1 thru 13</v>
      </c>
      <c r="E31" s="132">
        <f>E28/13</f>
        <v>584038.95358923054</v>
      </c>
      <c r="F31" s="124" t="s">
        <v>929</v>
      </c>
      <c r="G31" s="119">
        <f t="shared" si="1"/>
        <v>18</v>
      </c>
      <c r="H31" s="126"/>
      <c r="I31" s="126"/>
    </row>
    <row r="32" spans="1:9" ht="15.5">
      <c r="A32" s="119">
        <f t="shared" si="0"/>
        <v>19</v>
      </c>
      <c r="B32" s="1016"/>
      <c r="C32" s="1116"/>
      <c r="D32" s="1016"/>
      <c r="E32" s="1116"/>
      <c r="F32" s="1016"/>
      <c r="G32" s="119">
        <f t="shared" si="1"/>
        <v>19</v>
      </c>
    </row>
    <row r="33" spans="1:5" ht="15.5">
      <c r="A33" s="119"/>
      <c r="C33" s="134"/>
      <c r="D33" s="110"/>
      <c r="E33" s="134"/>
    </row>
    <row r="34" spans="1:5">
      <c r="C34" s="134"/>
      <c r="D34" s="110"/>
      <c r="E34" s="134"/>
    </row>
    <row r="35" spans="1:5" ht="18">
      <c r="A35" s="135">
        <v>1</v>
      </c>
      <c r="B35" s="136" t="s">
        <v>228</v>
      </c>
      <c r="C35" s="134"/>
      <c r="D35" s="110"/>
      <c r="E35" s="134"/>
    </row>
    <row r="36" spans="1:5" ht="15.5">
      <c r="B36" s="136" t="s">
        <v>229</v>
      </c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H39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5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8">
      <c r="B2" s="1296" t="s">
        <v>0</v>
      </c>
      <c r="C2" s="1296"/>
      <c r="D2" s="1296"/>
      <c r="E2" s="1296"/>
      <c r="F2" s="1296"/>
    </row>
    <row r="3" spans="1:8">
      <c r="B3" s="1296" t="s">
        <v>209</v>
      </c>
      <c r="C3" s="1296"/>
      <c r="D3" s="1296"/>
      <c r="E3" s="1296"/>
      <c r="F3" s="1296"/>
    </row>
    <row r="4" spans="1:8">
      <c r="B4" s="1296" t="s">
        <v>210</v>
      </c>
      <c r="C4" s="1296"/>
      <c r="D4" s="1296"/>
      <c r="E4" s="1296"/>
      <c r="F4" s="1296"/>
    </row>
    <row r="5" spans="1:8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8">
      <c r="B6" s="1300" t="s">
        <v>3</v>
      </c>
      <c r="C6" s="1300"/>
      <c r="D6" s="1300"/>
      <c r="E6" s="1300"/>
      <c r="F6" s="1300"/>
    </row>
    <row r="7" spans="1:8">
      <c r="B7" s="111"/>
      <c r="C7" s="112"/>
      <c r="D7" s="113"/>
      <c r="E7" s="111"/>
      <c r="F7" s="111"/>
    </row>
    <row r="8" spans="1:8">
      <c r="B8" s="1296" t="s">
        <v>230</v>
      </c>
      <c r="C8" s="1296"/>
      <c r="D8" s="1296"/>
      <c r="E8" s="1296"/>
      <c r="F8" s="1296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231</v>
      </c>
      <c r="D11" s="116"/>
      <c r="E11" s="121" t="s">
        <v>231</v>
      </c>
      <c r="F11" s="116"/>
      <c r="H11" s="140"/>
    </row>
    <row r="12" spans="1:8" ht="15.5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  <c r="H12" s="140"/>
    </row>
    <row r="13" spans="1:8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  <c r="H13" s="140"/>
    </row>
    <row r="14" spans="1:8" ht="15.5">
      <c r="A14" s="119">
        <v>1</v>
      </c>
      <c r="B14" s="122" t="str">
        <f>"Dec-"&amp;RIGHT(Automation!$B$3-1,2)</f>
        <v>Dec-22</v>
      </c>
      <c r="C14" s="141">
        <v>0</v>
      </c>
      <c r="D14" s="124" t="s">
        <v>216</v>
      </c>
      <c r="E14" s="141">
        <v>0</v>
      </c>
      <c r="F14" s="124" t="s">
        <v>927</v>
      </c>
      <c r="G14" s="119">
        <f>A14</f>
        <v>1</v>
      </c>
      <c r="H14" s="126"/>
    </row>
    <row r="15" spans="1:8" ht="15.5">
      <c r="A15" s="119">
        <f>A14+1</f>
        <v>2</v>
      </c>
      <c r="B15" s="122" t="str">
        <f>"Jan-"&amp;RIGHT(Automation!$B$3,2)</f>
        <v>Jan-23</v>
      </c>
      <c r="C15" s="142">
        <v>0</v>
      </c>
      <c r="D15" s="128"/>
      <c r="E15" s="142">
        <v>0</v>
      </c>
      <c r="F15" s="128"/>
      <c r="G15" s="119">
        <f>G14+1</f>
        <v>2</v>
      </c>
    </row>
    <row r="16" spans="1:8" ht="15.5">
      <c r="A16" s="119">
        <f t="shared" ref="A16:A32" si="0">A15+1</f>
        <v>3</v>
      </c>
      <c r="B16" s="122" t="s">
        <v>217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</row>
    <row r="17" spans="1:8" ht="15.5">
      <c r="A17" s="119">
        <f t="shared" si="0"/>
        <v>4</v>
      </c>
      <c r="B17" s="122" t="s">
        <v>218</v>
      </c>
      <c r="C17" s="142">
        <v>0</v>
      </c>
      <c r="D17" s="128"/>
      <c r="E17" s="142">
        <v>0</v>
      </c>
      <c r="F17" s="128"/>
      <c r="G17" s="119">
        <f t="shared" si="1"/>
        <v>4</v>
      </c>
    </row>
    <row r="18" spans="1:8" ht="15.5">
      <c r="A18" s="119">
        <f t="shared" si="0"/>
        <v>5</v>
      </c>
      <c r="B18" s="122" t="s">
        <v>219</v>
      </c>
      <c r="C18" s="142">
        <v>0</v>
      </c>
      <c r="D18" s="128"/>
      <c r="E18" s="142">
        <v>0</v>
      </c>
      <c r="F18" s="128"/>
      <c r="G18" s="119">
        <f t="shared" si="1"/>
        <v>5</v>
      </c>
    </row>
    <row r="19" spans="1:8" ht="15.5">
      <c r="A19" s="119">
        <f t="shared" si="0"/>
        <v>6</v>
      </c>
      <c r="B19" s="122" t="s">
        <v>161</v>
      </c>
      <c r="C19" s="142">
        <v>0</v>
      </c>
      <c r="D19" s="128"/>
      <c r="E19" s="142">
        <v>0</v>
      </c>
      <c r="F19" s="128"/>
      <c r="G19" s="119">
        <f t="shared" si="1"/>
        <v>6</v>
      </c>
    </row>
    <row r="20" spans="1:8" ht="15.5">
      <c r="A20" s="119">
        <f>A19+1</f>
        <v>7</v>
      </c>
      <c r="B20" s="122" t="s">
        <v>220</v>
      </c>
      <c r="C20" s="142">
        <v>0</v>
      </c>
      <c r="D20" s="128"/>
      <c r="E20" s="142">
        <v>0</v>
      </c>
      <c r="F20" s="128"/>
      <c r="G20" s="119">
        <f>G19+1</f>
        <v>7</v>
      </c>
    </row>
    <row r="21" spans="1:8" ht="15.5">
      <c r="A21" s="119">
        <f t="shared" si="0"/>
        <v>8</v>
      </c>
      <c r="B21" s="122" t="s">
        <v>221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8" ht="15.5">
      <c r="A22" s="119">
        <f t="shared" si="0"/>
        <v>9</v>
      </c>
      <c r="B22" s="122" t="s">
        <v>222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8" ht="15.5">
      <c r="A23" s="119">
        <f t="shared" si="0"/>
        <v>10</v>
      </c>
      <c r="B23" s="122" t="s">
        <v>223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8" ht="15.5">
      <c r="A24" s="119">
        <f t="shared" si="0"/>
        <v>11</v>
      </c>
      <c r="B24" s="122" t="s">
        <v>224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8" ht="15.5">
      <c r="A25" s="119">
        <f t="shared" si="0"/>
        <v>12</v>
      </c>
      <c r="B25" s="122" t="s">
        <v>225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8" ht="15.5">
      <c r="A26" s="119">
        <f t="shared" si="0"/>
        <v>13</v>
      </c>
      <c r="B26" s="1032" t="str">
        <f>"Dec-"&amp;RIGHT(Automation!$B$3,2)</f>
        <v>Dec-23</v>
      </c>
      <c r="C26" s="142">
        <v>0</v>
      </c>
      <c r="D26" s="1117" t="s">
        <v>216</v>
      </c>
      <c r="E26" s="1118">
        <v>0</v>
      </c>
      <c r="F26" s="124" t="s">
        <v>928</v>
      </c>
      <c r="G26" s="119">
        <f t="shared" si="1"/>
        <v>13</v>
      </c>
      <c r="H26" s="126"/>
    </row>
    <row r="27" spans="1:8" ht="15.5">
      <c r="A27" s="119">
        <f t="shared" si="0"/>
        <v>14</v>
      </c>
      <c r="B27" s="130"/>
      <c r="C27" s="862"/>
      <c r="D27" s="130"/>
      <c r="E27" s="143"/>
      <c r="F27" s="857"/>
      <c r="G27" s="119">
        <f t="shared" si="1"/>
        <v>14</v>
      </c>
    </row>
    <row r="28" spans="1:8" ht="15.5">
      <c r="A28" s="119">
        <f t="shared" si="0"/>
        <v>15</v>
      </c>
      <c r="B28" s="130" t="s">
        <v>226</v>
      </c>
      <c r="C28" s="144">
        <f>SUM(C14:C26)</f>
        <v>0</v>
      </c>
      <c r="D28" s="158" t="str">
        <f>"Sum Lines "&amp;A14&amp;" thru "&amp;A26</f>
        <v>Sum Lines 1 thru 13</v>
      </c>
      <c r="E28" s="144">
        <f>SUM(E14:E26)</f>
        <v>0</v>
      </c>
      <c r="F28" s="158" t="str">
        <f>"Sum Lines "&amp;A14&amp;" thru "&amp;A26</f>
        <v>Sum Lines 1 thru 13</v>
      </c>
      <c r="G28" s="119">
        <f t="shared" si="1"/>
        <v>15</v>
      </c>
    </row>
    <row r="29" spans="1:8" ht="15.5">
      <c r="A29" s="119">
        <f t="shared" si="0"/>
        <v>16</v>
      </c>
      <c r="B29" s="1016"/>
      <c r="C29" s="1115"/>
      <c r="D29" s="1016"/>
      <c r="E29" s="1115"/>
      <c r="F29" s="1016"/>
      <c r="G29" s="119">
        <f t="shared" si="1"/>
        <v>16</v>
      </c>
    </row>
    <row r="30" spans="1:8" ht="15.5">
      <c r="A30" s="119">
        <f t="shared" si="0"/>
        <v>17</v>
      </c>
      <c r="B30" s="130"/>
      <c r="C30" s="143"/>
      <c r="D30" s="130"/>
      <c r="E30" s="143"/>
      <c r="F30" s="130"/>
      <c r="G30" s="119">
        <f t="shared" si="1"/>
        <v>17</v>
      </c>
    </row>
    <row r="31" spans="1:8" ht="15.5">
      <c r="A31" s="119">
        <f t="shared" si="0"/>
        <v>18</v>
      </c>
      <c r="B31" s="130" t="s">
        <v>227</v>
      </c>
      <c r="C31" s="144">
        <f>C28/13</f>
        <v>0</v>
      </c>
      <c r="D31" s="158" t="str">
        <f>"Average of Lines "&amp;A14&amp;" thru "&amp;A26</f>
        <v>Average of Lines 1 thru 13</v>
      </c>
      <c r="E31" s="144">
        <f>E28/13</f>
        <v>0</v>
      </c>
      <c r="F31" s="124" t="s">
        <v>929</v>
      </c>
      <c r="G31" s="119">
        <f t="shared" si="1"/>
        <v>18</v>
      </c>
      <c r="H31" s="126"/>
    </row>
    <row r="32" spans="1:8" ht="15.5">
      <c r="A32" s="119">
        <f t="shared" si="0"/>
        <v>19</v>
      </c>
      <c r="B32" s="1016"/>
      <c r="C32" s="1119"/>
      <c r="D32" s="1016"/>
      <c r="E32" s="1119"/>
      <c r="F32" s="1016"/>
      <c r="G32" s="119">
        <f t="shared" si="1"/>
        <v>19</v>
      </c>
    </row>
    <row r="33" spans="1:7" ht="15.5">
      <c r="B33" s="136"/>
      <c r="C33" s="145"/>
      <c r="D33" s="136"/>
      <c r="E33" s="145"/>
      <c r="F33" s="136"/>
      <c r="G33" s="575"/>
    </row>
    <row r="34" spans="1:7" ht="15.5">
      <c r="C34" s="145"/>
      <c r="D34" s="136"/>
      <c r="E34" s="145"/>
      <c r="F34" s="136"/>
      <c r="G34" s="575"/>
    </row>
    <row r="35" spans="1:7" ht="18">
      <c r="A35" s="135">
        <v>1</v>
      </c>
      <c r="B35" s="136" t="s">
        <v>228</v>
      </c>
      <c r="C35" s="146"/>
      <c r="D35" s="136"/>
      <c r="E35" s="146"/>
      <c r="F35" s="136"/>
      <c r="G35" s="575"/>
    </row>
    <row r="36" spans="1:7" ht="15.5">
      <c r="B36" s="136" t="s">
        <v>229</v>
      </c>
      <c r="C36" s="146"/>
      <c r="D36" s="136"/>
      <c r="E36" s="146"/>
      <c r="F36" s="136"/>
      <c r="G36" s="575"/>
    </row>
    <row r="37" spans="1:7" ht="15.5">
      <c r="C37" s="146"/>
      <c r="D37" s="136"/>
      <c r="E37" s="146"/>
      <c r="F37" s="136"/>
      <c r="G37" s="575"/>
    </row>
    <row r="38" spans="1:7" ht="15.5">
      <c r="C38" s="146"/>
      <c r="D38" s="136"/>
      <c r="E38" s="146"/>
      <c r="F38" s="136"/>
      <c r="G38" s="575"/>
    </row>
    <row r="39" spans="1:7">
      <c r="C39" s="147"/>
      <c r="E39" s="140"/>
      <c r="G39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I38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4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9">
      <c r="B2" s="1296" t="s">
        <v>0</v>
      </c>
      <c r="C2" s="1296"/>
      <c r="D2" s="1296"/>
      <c r="E2" s="1296"/>
      <c r="F2" s="1296"/>
    </row>
    <row r="3" spans="1:9">
      <c r="B3" s="1296" t="s">
        <v>209</v>
      </c>
      <c r="C3" s="1296"/>
      <c r="D3" s="1296"/>
      <c r="E3" s="1296"/>
      <c r="F3" s="1296"/>
    </row>
    <row r="4" spans="1:9">
      <c r="B4" s="1296" t="s">
        <v>210</v>
      </c>
      <c r="C4" s="1296"/>
      <c r="D4" s="1296"/>
      <c r="E4" s="1296"/>
      <c r="F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9">
      <c r="B6" s="1300" t="s">
        <v>3</v>
      </c>
      <c r="C6" s="1300"/>
      <c r="D6" s="1300"/>
      <c r="E6" s="1300"/>
      <c r="F6" s="1300"/>
    </row>
    <row r="7" spans="1:9">
      <c r="B7" s="111"/>
      <c r="C7" s="112"/>
      <c r="D7" s="112"/>
      <c r="E7" s="111"/>
      <c r="F7" s="111"/>
    </row>
    <row r="8" spans="1:9">
      <c r="B8" s="1296" t="s">
        <v>232</v>
      </c>
      <c r="C8" s="1296"/>
      <c r="D8" s="1296"/>
      <c r="E8" s="1296"/>
      <c r="F8" s="1296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21" t="s">
        <v>233</v>
      </c>
      <c r="D11" s="116"/>
      <c r="E11" s="121" t="s">
        <v>233</v>
      </c>
      <c r="F11" s="116"/>
    </row>
    <row r="12" spans="1:9" ht="15.5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</row>
    <row r="13" spans="1:9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  <c r="H13" s="140"/>
    </row>
    <row r="14" spans="1:9" ht="15.5">
      <c r="A14" s="119">
        <v>1</v>
      </c>
      <c r="B14" s="122" t="str">
        <f>"Dec-"&amp;RIGHT(Automation!$B$3-1,2)</f>
        <v>Dec-22</v>
      </c>
      <c r="C14" s="141">
        <v>0</v>
      </c>
      <c r="D14" s="124" t="s">
        <v>216</v>
      </c>
      <c r="E14" s="141">
        <v>0</v>
      </c>
      <c r="F14" s="124" t="s">
        <v>216</v>
      </c>
      <c r="G14" s="119">
        <f>A14</f>
        <v>1</v>
      </c>
      <c r="H14" s="140"/>
      <c r="I14" s="140"/>
    </row>
    <row r="15" spans="1:9" ht="15.5">
      <c r="A15" s="119">
        <f>A14+1</f>
        <v>2</v>
      </c>
      <c r="B15" s="122" t="str">
        <f>"Jan-"&amp;RIGHT(Automation!$B$3,2)</f>
        <v>Jan-23</v>
      </c>
      <c r="C15" s="142">
        <v>0</v>
      </c>
      <c r="D15" s="128"/>
      <c r="E15" s="142">
        <v>0</v>
      </c>
      <c r="F15" s="128"/>
      <c r="G15" s="119">
        <f>G14+1</f>
        <v>2</v>
      </c>
      <c r="H15" s="140"/>
    </row>
    <row r="16" spans="1:9" ht="15.5">
      <c r="A16" s="119">
        <f t="shared" ref="A16:A32" si="0">A15+1</f>
        <v>3</v>
      </c>
      <c r="B16" s="122" t="s">
        <v>217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  <c r="H16" s="140"/>
    </row>
    <row r="17" spans="1:9" ht="15.5">
      <c r="A17" s="119">
        <f t="shared" si="0"/>
        <v>4</v>
      </c>
      <c r="B17" s="122" t="s">
        <v>218</v>
      </c>
      <c r="C17" s="142">
        <v>0</v>
      </c>
      <c r="D17" s="128"/>
      <c r="E17" s="142">
        <v>0</v>
      </c>
      <c r="F17" s="128"/>
      <c r="G17" s="119">
        <f t="shared" si="1"/>
        <v>4</v>
      </c>
      <c r="H17" s="140"/>
    </row>
    <row r="18" spans="1:9" ht="15.5">
      <c r="A18" s="119">
        <f t="shared" si="0"/>
        <v>5</v>
      </c>
      <c r="B18" s="122" t="s">
        <v>219</v>
      </c>
      <c r="C18" s="142">
        <v>0</v>
      </c>
      <c r="D18" s="128"/>
      <c r="E18" s="142">
        <v>0</v>
      </c>
      <c r="F18" s="128"/>
      <c r="G18" s="119">
        <f t="shared" si="1"/>
        <v>5</v>
      </c>
      <c r="H18" s="140"/>
    </row>
    <row r="19" spans="1:9" ht="15.5">
      <c r="A19" s="119">
        <f t="shared" si="0"/>
        <v>6</v>
      </c>
      <c r="B19" s="122" t="s">
        <v>161</v>
      </c>
      <c r="C19" s="142">
        <v>0</v>
      </c>
      <c r="D19" s="128"/>
      <c r="E19" s="142">
        <v>0</v>
      </c>
      <c r="F19" s="128"/>
      <c r="G19" s="119">
        <f t="shared" si="1"/>
        <v>6</v>
      </c>
      <c r="H19" s="140"/>
    </row>
    <row r="20" spans="1:9" ht="15.5">
      <c r="A20" s="119">
        <f>A19+1</f>
        <v>7</v>
      </c>
      <c r="B20" s="122" t="s">
        <v>220</v>
      </c>
      <c r="C20" s="142">
        <v>0</v>
      </c>
      <c r="D20" s="128"/>
      <c r="E20" s="142">
        <v>0</v>
      </c>
      <c r="F20" s="128"/>
      <c r="G20" s="119">
        <f>G19+1</f>
        <v>7</v>
      </c>
      <c r="H20" s="140"/>
    </row>
    <row r="21" spans="1:9" ht="15.5">
      <c r="A21" s="119">
        <f t="shared" si="0"/>
        <v>8</v>
      </c>
      <c r="B21" s="122" t="s">
        <v>221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9" ht="15.5">
      <c r="A22" s="119">
        <f t="shared" si="0"/>
        <v>9</v>
      </c>
      <c r="B22" s="122" t="s">
        <v>222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9" ht="15.5">
      <c r="A23" s="119">
        <f t="shared" si="0"/>
        <v>10</v>
      </c>
      <c r="B23" s="122" t="s">
        <v>223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9" ht="15.5">
      <c r="A24" s="119">
        <f t="shared" si="0"/>
        <v>11</v>
      </c>
      <c r="B24" s="122" t="s">
        <v>224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9" ht="15.5">
      <c r="A25" s="119">
        <f t="shared" si="0"/>
        <v>12</v>
      </c>
      <c r="B25" s="122" t="s">
        <v>225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9" ht="15.5">
      <c r="A26" s="119">
        <f t="shared" si="0"/>
        <v>13</v>
      </c>
      <c r="B26" s="1032" t="str">
        <f>"Dec-"&amp;RIGHT(Automation!$B$3,2)</f>
        <v>Dec-23</v>
      </c>
      <c r="C26" s="142">
        <v>0</v>
      </c>
      <c r="D26" s="1117" t="s">
        <v>216</v>
      </c>
      <c r="E26" s="1118">
        <v>0</v>
      </c>
      <c r="F26" s="1117" t="s">
        <v>216</v>
      </c>
      <c r="G26" s="119">
        <f t="shared" si="1"/>
        <v>13</v>
      </c>
      <c r="I26" s="140"/>
    </row>
    <row r="27" spans="1:9" ht="15.5">
      <c r="A27" s="119">
        <f t="shared" si="0"/>
        <v>14</v>
      </c>
      <c r="B27" s="130"/>
      <c r="C27" s="862"/>
      <c r="D27" s="148"/>
      <c r="E27" s="143"/>
      <c r="F27" s="863"/>
      <c r="G27" s="119">
        <f t="shared" si="1"/>
        <v>14</v>
      </c>
    </row>
    <row r="28" spans="1:9" ht="15.5">
      <c r="A28" s="119">
        <f t="shared" si="0"/>
        <v>15</v>
      </c>
      <c r="B28" s="130" t="s">
        <v>226</v>
      </c>
      <c r="C28" s="144">
        <f>SUM(C14:C26)</f>
        <v>0</v>
      </c>
      <c r="D28" s="336" t="str">
        <f>"Sum Lines "&amp;A14&amp;" thru "&amp;A26</f>
        <v>Sum Lines 1 thru 13</v>
      </c>
      <c r="E28" s="144">
        <f>SUM(E14:E26)</f>
        <v>0</v>
      </c>
      <c r="F28" s="520" t="str">
        <f>"Sum Lines "&amp;A14&amp;" thru "&amp;A26</f>
        <v>Sum Lines 1 thru 13</v>
      </c>
      <c r="G28" s="119">
        <f t="shared" si="1"/>
        <v>15</v>
      </c>
    </row>
    <row r="29" spans="1:9" ht="15.5">
      <c r="A29" s="119">
        <f t="shared" si="0"/>
        <v>16</v>
      </c>
      <c r="B29" s="1016"/>
      <c r="C29" s="1119"/>
      <c r="D29" s="1120"/>
      <c r="E29" s="1119"/>
      <c r="F29" s="1121"/>
      <c r="G29" s="119">
        <f t="shared" si="1"/>
        <v>16</v>
      </c>
    </row>
    <row r="30" spans="1:9" ht="15.5">
      <c r="A30" s="119">
        <f t="shared" si="0"/>
        <v>17</v>
      </c>
      <c r="B30" s="130"/>
      <c r="C30" s="143"/>
      <c r="D30" s="149"/>
      <c r="E30" s="143"/>
      <c r="F30" s="150"/>
      <c r="G30" s="119">
        <f t="shared" si="1"/>
        <v>17</v>
      </c>
    </row>
    <row r="31" spans="1:9" ht="15.5">
      <c r="A31" s="119">
        <f t="shared" si="0"/>
        <v>18</v>
      </c>
      <c r="B31" s="130" t="s">
        <v>227</v>
      </c>
      <c r="C31" s="151">
        <f>C28/13</f>
        <v>0</v>
      </c>
      <c r="D31" s="336" t="str">
        <f>"Average of Lines "&amp;A14&amp;" thru "&amp;A26</f>
        <v>Average of Lines 1 thru 13</v>
      </c>
      <c r="E31" s="151">
        <f>E28/13</f>
        <v>0</v>
      </c>
      <c r="F31" s="520" t="str">
        <f>"Average of Lines "&amp;A14&amp;" thru "&amp;A26</f>
        <v>Average of Lines 1 thru 13</v>
      </c>
      <c r="G31" s="119">
        <f t="shared" si="1"/>
        <v>18</v>
      </c>
      <c r="I31" s="140"/>
    </row>
    <row r="32" spans="1:9" ht="15.5">
      <c r="A32" s="119">
        <f t="shared" si="0"/>
        <v>19</v>
      </c>
      <c r="B32" s="1016"/>
      <c r="C32" s="1119"/>
      <c r="D32" s="1017"/>
      <c r="E32" s="1119"/>
      <c r="F32" s="1121"/>
      <c r="G32" s="119">
        <f t="shared" si="1"/>
        <v>19</v>
      </c>
    </row>
    <row r="33" spans="1:7" ht="15.5">
      <c r="A33" s="119"/>
      <c r="B33" s="136"/>
      <c r="C33" s="145"/>
      <c r="D33" s="145"/>
      <c r="E33" s="145"/>
      <c r="F33" s="146"/>
      <c r="G33" s="575"/>
    </row>
    <row r="34" spans="1:7" ht="15.5">
      <c r="A34" s="119"/>
      <c r="C34" s="146"/>
      <c r="D34" s="146"/>
      <c r="E34" s="146"/>
      <c r="F34" s="146"/>
      <c r="G34" s="575"/>
    </row>
    <row r="35" spans="1:7" ht="18">
      <c r="A35" s="135">
        <v>1</v>
      </c>
      <c r="B35" s="136" t="s">
        <v>228</v>
      </c>
      <c r="C35" s="146"/>
      <c r="D35" s="146"/>
      <c r="E35" s="146"/>
      <c r="F35" s="146"/>
      <c r="G35" s="575"/>
    </row>
    <row r="36" spans="1:7" ht="15.5">
      <c r="B36" s="136" t="s">
        <v>229</v>
      </c>
      <c r="C36" s="146"/>
      <c r="D36" s="146"/>
      <c r="E36" s="146"/>
      <c r="F36" s="146"/>
      <c r="G36" s="575"/>
    </row>
    <row r="37" spans="1:7" ht="15.5">
      <c r="C37" s="146"/>
      <c r="D37" s="146"/>
      <c r="E37" s="146"/>
      <c r="F37" s="146"/>
      <c r="G37" s="575"/>
    </row>
    <row r="38" spans="1:7">
      <c r="C38" s="147"/>
      <c r="D38" s="147"/>
      <c r="E38" s="140"/>
      <c r="F38" s="140"/>
      <c r="G38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H44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53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8">
      <c r="B2" s="1296" t="s">
        <v>0</v>
      </c>
      <c r="C2" s="1296"/>
      <c r="D2" s="1296"/>
      <c r="E2" s="1296"/>
      <c r="F2" s="1296"/>
    </row>
    <row r="3" spans="1:8">
      <c r="B3" s="1296" t="s">
        <v>209</v>
      </c>
      <c r="C3" s="1296"/>
      <c r="D3" s="1296"/>
      <c r="E3" s="1296"/>
      <c r="F3" s="1296"/>
    </row>
    <row r="4" spans="1:8">
      <c r="B4" s="1296" t="s">
        <v>210</v>
      </c>
      <c r="C4" s="1296"/>
      <c r="D4" s="1296"/>
      <c r="E4" s="1296"/>
      <c r="F4" s="1296"/>
    </row>
    <row r="5" spans="1:8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8">
      <c r="B6" s="1300" t="s">
        <v>3</v>
      </c>
      <c r="C6" s="1300"/>
      <c r="D6" s="1300"/>
      <c r="E6" s="1300"/>
      <c r="F6" s="1300"/>
    </row>
    <row r="7" spans="1:8">
      <c r="B7" s="111"/>
      <c r="C7" s="112"/>
      <c r="D7" s="152"/>
      <c r="E7" s="111"/>
      <c r="F7" s="111"/>
    </row>
    <row r="8" spans="1:8">
      <c r="B8" s="1296" t="s">
        <v>234</v>
      </c>
      <c r="C8" s="1296"/>
      <c r="D8" s="1296"/>
      <c r="E8" s="1296"/>
      <c r="F8" s="1296"/>
    </row>
    <row r="10" spans="1:8">
      <c r="B10" s="857"/>
      <c r="C10" s="858" t="s">
        <v>80</v>
      </c>
      <c r="D10" s="859"/>
      <c r="E10" s="858"/>
      <c r="F10" s="859"/>
    </row>
    <row r="11" spans="1:8" ht="15.5">
      <c r="A11" s="119"/>
      <c r="B11" s="116"/>
      <c r="C11" s="109" t="s">
        <v>235</v>
      </c>
      <c r="D11" s="116"/>
      <c r="E11" s="121" t="s">
        <v>235</v>
      </c>
      <c r="F11" s="116"/>
    </row>
    <row r="12" spans="1:8" ht="15.5">
      <c r="A12" s="119" t="s">
        <v>4</v>
      </c>
      <c r="B12" s="120"/>
      <c r="C12" s="109" t="s">
        <v>213</v>
      </c>
      <c r="D12" s="116"/>
      <c r="E12" s="121" t="s">
        <v>213</v>
      </c>
      <c r="F12" s="116"/>
      <c r="G12" s="119" t="s">
        <v>4</v>
      </c>
    </row>
    <row r="13" spans="1:8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</row>
    <row r="14" spans="1:8" ht="15.5">
      <c r="A14" s="119">
        <v>1</v>
      </c>
      <c r="B14" s="122" t="str">
        <f>"Dec-"&amp;RIGHT(Automation!$B$3-1,2)</f>
        <v>Dec-22</v>
      </c>
      <c r="C14" s="123">
        <v>587096.16952999996</v>
      </c>
      <c r="D14" s="124" t="s">
        <v>216</v>
      </c>
      <c r="E14" s="123">
        <v>545098.80998000002</v>
      </c>
      <c r="F14" s="124" t="s">
        <v>927</v>
      </c>
      <c r="G14" s="119">
        <f>A14</f>
        <v>1</v>
      </c>
      <c r="H14" s="126"/>
    </row>
    <row r="15" spans="1:8" ht="15.5">
      <c r="A15" s="119">
        <f>A14+1</f>
        <v>2</v>
      </c>
      <c r="B15" s="122" t="str">
        <f>"Jan-"&amp;RIGHT(Automation!$B$3,2)</f>
        <v>Jan-23</v>
      </c>
      <c r="C15" s="127">
        <v>587054.83519999997</v>
      </c>
      <c r="D15" s="128"/>
      <c r="E15" s="127">
        <v>545057.47565000004</v>
      </c>
      <c r="F15" s="128"/>
      <c r="G15" s="119">
        <f>G14+1</f>
        <v>2</v>
      </c>
    </row>
    <row r="16" spans="1:8" ht="15.5">
      <c r="A16" s="119">
        <f t="shared" ref="A16:A32" si="0">A15+1</f>
        <v>3</v>
      </c>
      <c r="B16" s="122" t="s">
        <v>217</v>
      </c>
      <c r="C16" s="127">
        <v>589101.92278000002</v>
      </c>
      <c r="D16" s="128"/>
      <c r="E16" s="127">
        <v>547104.56323000009</v>
      </c>
      <c r="F16" s="128"/>
      <c r="G16" s="119">
        <f t="shared" ref="G16:G32" si="1">G15+1</f>
        <v>3</v>
      </c>
    </row>
    <row r="17" spans="1:8" ht="15.5">
      <c r="A17" s="119">
        <f t="shared" si="0"/>
        <v>4</v>
      </c>
      <c r="B17" s="122" t="s">
        <v>218</v>
      </c>
      <c r="C17" s="127">
        <v>589136.52129999979</v>
      </c>
      <c r="D17" s="128"/>
      <c r="E17" s="127">
        <v>547139.16174999985</v>
      </c>
      <c r="F17" s="128"/>
      <c r="G17" s="119">
        <f t="shared" si="1"/>
        <v>4</v>
      </c>
    </row>
    <row r="18" spans="1:8" ht="15.5">
      <c r="A18" s="119">
        <f t="shared" si="0"/>
        <v>5</v>
      </c>
      <c r="B18" s="122" t="s">
        <v>219</v>
      </c>
      <c r="C18" s="127">
        <v>589140.32504999975</v>
      </c>
      <c r="D18" s="128"/>
      <c r="E18" s="127">
        <v>547142.96549999982</v>
      </c>
      <c r="F18" s="128"/>
      <c r="G18" s="119">
        <f t="shared" si="1"/>
        <v>5</v>
      </c>
    </row>
    <row r="19" spans="1:8" ht="15.5">
      <c r="A19" s="119">
        <f t="shared" si="0"/>
        <v>6</v>
      </c>
      <c r="B19" s="122" t="s">
        <v>161</v>
      </c>
      <c r="C19" s="127">
        <v>593021.19967</v>
      </c>
      <c r="D19" s="128"/>
      <c r="E19" s="127">
        <v>550828.10889000003</v>
      </c>
      <c r="F19" s="128"/>
      <c r="G19" s="119">
        <f t="shared" si="1"/>
        <v>6</v>
      </c>
    </row>
    <row r="20" spans="1:8" ht="15.5">
      <c r="A20" s="119">
        <f>A19+1</f>
        <v>7</v>
      </c>
      <c r="B20" s="122" t="s">
        <v>220</v>
      </c>
      <c r="C20" s="127">
        <v>593062.3841899999</v>
      </c>
      <c r="D20" s="128"/>
      <c r="E20" s="127">
        <v>550869.29340999993</v>
      </c>
      <c r="F20" s="128"/>
      <c r="G20" s="119">
        <f>G19+1</f>
        <v>7</v>
      </c>
    </row>
    <row r="21" spans="1:8" ht="15.5">
      <c r="A21" s="119">
        <f t="shared" si="0"/>
        <v>8</v>
      </c>
      <c r="B21" s="122" t="s">
        <v>221</v>
      </c>
      <c r="C21" s="127">
        <v>593484.06429000024</v>
      </c>
      <c r="D21" s="128"/>
      <c r="E21" s="127">
        <v>551290.97351000027</v>
      </c>
      <c r="F21" s="128"/>
      <c r="G21" s="119">
        <f t="shared" si="1"/>
        <v>8</v>
      </c>
    </row>
    <row r="22" spans="1:8" ht="15.5">
      <c r="A22" s="119">
        <f t="shared" si="0"/>
        <v>9</v>
      </c>
      <c r="B22" s="122" t="s">
        <v>222</v>
      </c>
      <c r="C22" s="127">
        <v>593955.88179999986</v>
      </c>
      <c r="D22" s="128"/>
      <c r="E22" s="127">
        <v>551762.79101999989</v>
      </c>
      <c r="F22" s="128"/>
      <c r="G22" s="119">
        <f t="shared" si="1"/>
        <v>9</v>
      </c>
    </row>
    <row r="23" spans="1:8" ht="15.5">
      <c r="A23" s="119">
        <f t="shared" si="0"/>
        <v>10</v>
      </c>
      <c r="B23" s="122" t="s">
        <v>223</v>
      </c>
      <c r="C23" s="127">
        <v>593881.12346999999</v>
      </c>
      <c r="D23" s="128"/>
      <c r="E23" s="127">
        <v>551688.03269000002</v>
      </c>
      <c r="F23" s="128"/>
      <c r="G23" s="119">
        <f t="shared" si="1"/>
        <v>10</v>
      </c>
    </row>
    <row r="24" spans="1:8" ht="15.5">
      <c r="A24" s="119">
        <f t="shared" si="0"/>
        <v>11</v>
      </c>
      <c r="B24" s="122" t="s">
        <v>224</v>
      </c>
      <c r="C24" s="127">
        <v>604404.37380000018</v>
      </c>
      <c r="D24" s="128"/>
      <c r="E24" s="127">
        <v>562211.28302000021</v>
      </c>
      <c r="F24" s="128"/>
      <c r="G24" s="119">
        <f t="shared" si="1"/>
        <v>11</v>
      </c>
    </row>
    <row r="25" spans="1:8" ht="15.5">
      <c r="A25" s="119">
        <f t="shared" si="0"/>
        <v>12</v>
      </c>
      <c r="B25" s="122" t="s">
        <v>225</v>
      </c>
      <c r="C25" s="127">
        <v>620741.82563000009</v>
      </c>
      <c r="D25" s="128"/>
      <c r="E25" s="127">
        <v>578548.73485000012</v>
      </c>
      <c r="F25" s="128"/>
      <c r="G25" s="119">
        <f t="shared" si="1"/>
        <v>12</v>
      </c>
    </row>
    <row r="26" spans="1:8" ht="15.5">
      <c r="A26" s="119">
        <f t="shared" si="0"/>
        <v>13</v>
      </c>
      <c r="B26" s="1032" t="str">
        <f>"Dec-"&amp;RIGHT(Automation!$B$3,2)</f>
        <v>Dec-23</v>
      </c>
      <c r="C26" s="127">
        <v>624502.05602999998</v>
      </c>
      <c r="D26" s="1117" t="s">
        <v>216</v>
      </c>
      <c r="E26" s="1120">
        <v>582308.96525000012</v>
      </c>
      <c r="F26" s="124" t="s">
        <v>928</v>
      </c>
      <c r="G26" s="119">
        <f t="shared" si="1"/>
        <v>13</v>
      </c>
      <c r="H26" s="126"/>
    </row>
    <row r="27" spans="1:8" ht="15.5">
      <c r="A27" s="119">
        <f>A26+1</f>
        <v>14</v>
      </c>
      <c r="B27" s="130"/>
      <c r="C27" s="862"/>
      <c r="D27" s="130"/>
      <c r="E27" s="143"/>
      <c r="F27" s="857"/>
      <c r="G27" s="119">
        <f>G26+1</f>
        <v>14</v>
      </c>
    </row>
    <row r="28" spans="1:8" ht="15.5">
      <c r="A28" s="119">
        <f t="shared" si="0"/>
        <v>15</v>
      </c>
      <c r="B28" s="130" t="s">
        <v>226</v>
      </c>
      <c r="C28" s="132">
        <f>SUM(C14:C26)</f>
        <v>7758582.6827399982</v>
      </c>
      <c r="D28" s="158" t="str">
        <f>"Sum Lines "&amp;A14&amp;" thru "&amp;A26</f>
        <v>Sum Lines 1 thru 13</v>
      </c>
      <c r="E28" s="132">
        <f>SUM(E14:E26)</f>
        <v>7211051.1587499995</v>
      </c>
      <c r="F28" s="158" t="str">
        <f>"Sum Lines "&amp;A14&amp;" thru "&amp;A26</f>
        <v>Sum Lines 1 thru 13</v>
      </c>
      <c r="G28" s="119">
        <f t="shared" si="1"/>
        <v>15</v>
      </c>
    </row>
    <row r="29" spans="1:8" ht="15.5">
      <c r="A29" s="119">
        <f t="shared" si="0"/>
        <v>16</v>
      </c>
      <c r="B29" s="1016"/>
      <c r="C29" s="1115"/>
      <c r="D29" s="1122"/>
      <c r="E29" s="1115"/>
      <c r="F29" s="1122"/>
      <c r="G29" s="119">
        <f t="shared" si="1"/>
        <v>16</v>
      </c>
    </row>
    <row r="30" spans="1:8" ht="15.5">
      <c r="A30" s="119">
        <f t="shared" si="0"/>
        <v>17</v>
      </c>
      <c r="B30" s="130"/>
      <c r="C30" s="132"/>
      <c r="D30" s="133"/>
      <c r="E30" s="132"/>
      <c r="F30" s="133"/>
      <c r="G30" s="119">
        <f t="shared" si="1"/>
        <v>17</v>
      </c>
    </row>
    <row r="31" spans="1:8" ht="15.5">
      <c r="A31" s="119">
        <f t="shared" si="0"/>
        <v>18</v>
      </c>
      <c r="B31" s="130" t="s">
        <v>227</v>
      </c>
      <c r="C31" s="132">
        <f>C28/13</f>
        <v>596814.05251846137</v>
      </c>
      <c r="D31" s="158" t="str">
        <f>"Average of Lines "&amp;A14&amp;" thru "&amp;A26</f>
        <v>Average of Lines 1 thru 13</v>
      </c>
      <c r="E31" s="132">
        <f>E28/13</f>
        <v>554696.24298076914</v>
      </c>
      <c r="F31" s="124" t="s">
        <v>929</v>
      </c>
      <c r="G31" s="119">
        <f t="shared" si="1"/>
        <v>18</v>
      </c>
      <c r="H31" s="126"/>
    </row>
    <row r="32" spans="1:8" ht="15.5">
      <c r="A32" s="119">
        <f t="shared" si="0"/>
        <v>19</v>
      </c>
      <c r="B32" s="1016"/>
      <c r="C32" s="1119"/>
      <c r="D32" s="1016"/>
      <c r="E32" s="1119"/>
      <c r="F32" s="1016"/>
      <c r="G32" s="119">
        <f t="shared" si="1"/>
        <v>19</v>
      </c>
    </row>
    <row r="33" spans="1:7" ht="15.5">
      <c r="B33" s="136"/>
      <c r="C33" s="145"/>
      <c r="D33" s="136"/>
      <c r="E33" s="145"/>
      <c r="F33" s="136"/>
    </row>
    <row r="34" spans="1:7" ht="15.5">
      <c r="C34" s="145"/>
      <c r="D34" s="136"/>
      <c r="E34" s="145"/>
      <c r="F34" s="136"/>
    </row>
    <row r="35" spans="1:7" ht="18">
      <c r="A35" s="135">
        <v>1</v>
      </c>
      <c r="B35" s="136" t="s">
        <v>228</v>
      </c>
      <c r="C35" s="145"/>
      <c r="D35" s="136"/>
      <c r="E35" s="145"/>
      <c r="F35" s="136"/>
    </row>
    <row r="36" spans="1:7" ht="15.5">
      <c r="B36" s="136" t="s">
        <v>229</v>
      </c>
      <c r="C36" s="145"/>
      <c r="D36" s="136"/>
      <c r="E36" s="145"/>
      <c r="F36" s="136"/>
    </row>
    <row r="37" spans="1:7" ht="15.5">
      <c r="C37" s="145"/>
      <c r="D37" s="136"/>
      <c r="E37" s="145"/>
      <c r="F37" s="136"/>
    </row>
    <row r="38" spans="1:7" ht="15.5">
      <c r="C38" s="145"/>
      <c r="D38" s="136"/>
      <c r="E38" s="145"/>
      <c r="F38" s="136"/>
    </row>
    <row r="39" spans="1:7">
      <c r="C39" s="154"/>
      <c r="D39" s="154"/>
      <c r="E39" s="154"/>
      <c r="F39" s="154"/>
      <c r="G39" s="576"/>
    </row>
    <row r="40" spans="1:7">
      <c r="E40" s="155"/>
    </row>
    <row r="41" spans="1:7">
      <c r="E41" s="155"/>
    </row>
    <row r="42" spans="1:7">
      <c r="E42" s="155"/>
    </row>
    <row r="43" spans="1:7">
      <c r="E43" s="155"/>
    </row>
    <row r="44" spans="1:7">
      <c r="E44" s="15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9.08984375" style="114" bestFit="1" customWidth="1"/>
    <col min="5" max="5" width="18.54296875" style="110" customWidth="1"/>
    <col min="6" max="6" width="60.45312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9">
      <c r="B2" s="1296" t="s">
        <v>0</v>
      </c>
      <c r="C2" s="1296"/>
      <c r="D2" s="1296"/>
      <c r="E2" s="1296"/>
      <c r="F2" s="1296"/>
    </row>
    <row r="3" spans="1:9">
      <c r="B3" s="1296" t="s">
        <v>209</v>
      </c>
      <c r="C3" s="1296"/>
      <c r="D3" s="1296"/>
      <c r="E3" s="1296"/>
      <c r="F3" s="1296"/>
    </row>
    <row r="4" spans="1:9">
      <c r="B4" s="1296" t="s">
        <v>210</v>
      </c>
      <c r="C4" s="1296"/>
      <c r="D4" s="1296"/>
      <c r="E4" s="1296"/>
      <c r="F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9">
      <c r="B6" s="1300" t="s">
        <v>3</v>
      </c>
      <c r="C6" s="1300"/>
      <c r="D6" s="1300"/>
      <c r="E6" s="1300"/>
      <c r="F6" s="1300"/>
    </row>
    <row r="7" spans="1:9">
      <c r="B7" s="111"/>
      <c r="C7" s="112"/>
      <c r="D7" s="112"/>
      <c r="E7" s="111"/>
      <c r="F7" s="111"/>
    </row>
    <row r="8" spans="1:9">
      <c r="B8" s="1296" t="s">
        <v>236</v>
      </c>
      <c r="C8" s="1296"/>
      <c r="D8" s="1296"/>
      <c r="E8" s="1296"/>
      <c r="F8" s="1296"/>
    </row>
    <row r="9" spans="1:9" ht="15.5">
      <c r="G9" s="119"/>
    </row>
    <row r="10" spans="1:9" ht="15.5">
      <c r="B10" s="857"/>
      <c r="C10" s="858" t="s">
        <v>80</v>
      </c>
      <c r="D10" s="859"/>
      <c r="E10" s="858"/>
      <c r="F10" s="859"/>
      <c r="G10" s="119"/>
    </row>
    <row r="11" spans="1:9" ht="15.5">
      <c r="B11" s="116"/>
      <c r="C11" s="109" t="s">
        <v>237</v>
      </c>
      <c r="D11" s="116"/>
      <c r="E11" s="121" t="s">
        <v>237</v>
      </c>
      <c r="F11" s="116"/>
      <c r="G11" s="119"/>
    </row>
    <row r="12" spans="1:9" ht="15.5">
      <c r="A12" s="119" t="s">
        <v>4</v>
      </c>
      <c r="B12" s="120"/>
      <c r="C12" s="109" t="s">
        <v>238</v>
      </c>
      <c r="D12" s="116"/>
      <c r="E12" s="121" t="s">
        <v>238</v>
      </c>
      <c r="F12" s="116"/>
      <c r="G12" s="119" t="s">
        <v>4</v>
      </c>
    </row>
    <row r="13" spans="1:9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</row>
    <row r="14" spans="1:9" ht="15.5">
      <c r="A14" s="119"/>
      <c r="B14" s="156"/>
      <c r="C14" s="957"/>
      <c r="D14" s="116"/>
      <c r="E14" s="121"/>
      <c r="F14" s="116"/>
      <c r="G14" s="119"/>
    </row>
    <row r="15" spans="1:9" ht="15.5">
      <c r="A15" s="119">
        <v>1</v>
      </c>
      <c r="B15" s="122" t="str">
        <f>"Dec-"&amp;RIGHT(Automation!$B$3-1,2)</f>
        <v>Dec-22</v>
      </c>
      <c r="C15" s="123">
        <v>9583284.5886699781</v>
      </c>
      <c r="D15" s="157" t="s">
        <v>216</v>
      </c>
      <c r="E15" s="125">
        <v>9750399.0658389479</v>
      </c>
      <c r="F15" s="157" t="s">
        <v>927</v>
      </c>
      <c r="G15" s="119">
        <f>A15</f>
        <v>1</v>
      </c>
      <c r="H15" s="629"/>
      <c r="I15" s="1203"/>
    </row>
    <row r="16" spans="1:9" ht="15.5">
      <c r="A16" s="119">
        <f>A15+1</f>
        <v>2</v>
      </c>
      <c r="B16" s="122"/>
      <c r="C16" s="127"/>
      <c r="D16" s="157"/>
      <c r="E16" s="129"/>
      <c r="F16" s="157"/>
      <c r="G16" s="119">
        <f>G15+1</f>
        <v>2</v>
      </c>
    </row>
    <row r="17" spans="1:9" ht="15.75" customHeight="1">
      <c r="A17" s="119">
        <f t="shared" ref="A17:A21" si="0">A16+1</f>
        <v>3</v>
      </c>
      <c r="B17" s="122" t="str">
        <f>"Dec-"&amp;RIGHT(Automation!$B$3,2)</f>
        <v>Dec-23</v>
      </c>
      <c r="C17" s="127">
        <v>10855749.871329978</v>
      </c>
      <c r="D17" s="157" t="s">
        <v>216</v>
      </c>
      <c r="E17" s="127">
        <v>11031887.66371526</v>
      </c>
      <c r="F17" s="157" t="s">
        <v>928</v>
      </c>
      <c r="G17" s="119">
        <f t="shared" ref="G17:G21" si="1">G16+1</f>
        <v>3</v>
      </c>
      <c r="I17" s="126"/>
    </row>
    <row r="18" spans="1:9" ht="15.5">
      <c r="A18" s="119">
        <f t="shared" si="0"/>
        <v>4</v>
      </c>
      <c r="B18" s="1123"/>
      <c r="C18" s="1119"/>
      <c r="D18" s="1124"/>
      <c r="E18" s="1119"/>
      <c r="F18" s="1124"/>
      <c r="G18" s="119">
        <f t="shared" si="1"/>
        <v>4</v>
      </c>
    </row>
    <row r="19" spans="1:9" ht="15.5">
      <c r="A19" s="119">
        <f>A18+1</f>
        <v>5</v>
      </c>
      <c r="B19" s="130"/>
      <c r="C19" s="143"/>
      <c r="D19" s="130"/>
      <c r="E19" s="143"/>
      <c r="F19" s="130"/>
      <c r="G19" s="119">
        <f>G18+1</f>
        <v>5</v>
      </c>
    </row>
    <row r="20" spans="1:9" ht="15.5">
      <c r="A20" s="119">
        <f t="shared" si="0"/>
        <v>6</v>
      </c>
      <c r="B20" s="130" t="s">
        <v>239</v>
      </c>
      <c r="C20" s="132">
        <f>(C15+C17)/2</f>
        <v>10219517.229999978</v>
      </c>
      <c r="D20" s="207" t="str">
        <f>"Average of Line "&amp;A15&amp;" and Line "&amp;A17</f>
        <v>Average of Line 1 and Line 3</v>
      </c>
      <c r="E20" s="132">
        <f>(E15+E17)/2</f>
        <v>10391143.364777103</v>
      </c>
      <c r="F20" s="158" t="str">
        <f>"Average of Line "&amp;A15&amp;" and Line "&amp;A17</f>
        <v>Average of Line 1 and Line 3</v>
      </c>
      <c r="G20" s="119">
        <f t="shared" si="1"/>
        <v>6</v>
      </c>
    </row>
    <row r="21" spans="1:9" ht="15.5">
      <c r="A21" s="119">
        <f t="shared" si="0"/>
        <v>7</v>
      </c>
      <c r="B21" s="1016"/>
      <c r="C21" s="1115"/>
      <c r="D21" s="1038"/>
      <c r="E21" s="1115"/>
      <c r="F21" s="1125"/>
      <c r="G21" s="119">
        <f t="shared" si="1"/>
        <v>7</v>
      </c>
    </row>
    <row r="22" spans="1:9" ht="15.5">
      <c r="B22" s="136"/>
      <c r="C22" s="136"/>
      <c r="D22" s="136"/>
      <c r="E22" s="136"/>
      <c r="F22" s="136"/>
    </row>
    <row r="23" spans="1:9" ht="15.5">
      <c r="C23" s="136"/>
      <c r="D23" s="136"/>
      <c r="E23" s="159"/>
      <c r="F23" s="136"/>
    </row>
    <row r="24" spans="1:9" ht="18">
      <c r="A24" s="135">
        <v>1</v>
      </c>
      <c r="B24" s="136" t="s">
        <v>228</v>
      </c>
      <c r="C24" s="136"/>
      <c r="D24" s="136"/>
      <c r="E24" s="136"/>
      <c r="F24" s="136"/>
    </row>
    <row r="25" spans="1:9" ht="15.5">
      <c r="B25" s="136" t="s">
        <v>229</v>
      </c>
      <c r="C25" s="136"/>
      <c r="D25" s="136"/>
      <c r="E25" s="136"/>
      <c r="F25" s="136"/>
    </row>
    <row r="26" spans="1:9" ht="15.5">
      <c r="C26" s="136"/>
      <c r="D26" s="136"/>
      <c r="E26" s="136"/>
      <c r="F26" s="136"/>
    </row>
    <row r="27" spans="1:9" ht="18">
      <c r="A27" s="135"/>
      <c r="B27" s="136"/>
      <c r="C27" s="136"/>
      <c r="D27" s="136"/>
      <c r="E27" s="136"/>
      <c r="F27" s="136"/>
    </row>
    <row r="28" spans="1:9" ht="15.5">
      <c r="A28" s="119"/>
      <c r="B28" s="136"/>
    </row>
    <row r="29" spans="1:9" ht="15.5">
      <c r="A29" s="119"/>
      <c r="B29" s="136"/>
      <c r="H29" s="193"/>
    </row>
    <row r="30" spans="1:9" ht="15.5">
      <c r="B30" s="136"/>
    </row>
    <row r="31" spans="1:9" ht="15.5">
      <c r="B31" s="13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K4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4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9.632812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11">
      <c r="B2" s="1296" t="s">
        <v>0</v>
      </c>
      <c r="C2" s="1296"/>
      <c r="D2" s="1296"/>
      <c r="E2" s="1296"/>
      <c r="F2" s="1296"/>
    </row>
    <row r="3" spans="1:11">
      <c r="B3" s="1296" t="s">
        <v>209</v>
      </c>
      <c r="C3" s="1296"/>
      <c r="D3" s="1296"/>
      <c r="E3" s="1296"/>
      <c r="F3" s="1296"/>
    </row>
    <row r="4" spans="1:11">
      <c r="B4" s="1296" t="s">
        <v>210</v>
      </c>
      <c r="C4" s="1296"/>
      <c r="D4" s="1296"/>
      <c r="E4" s="1296"/>
      <c r="F4" s="1296"/>
    </row>
    <row r="5" spans="1:11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11">
      <c r="B6" s="1300" t="s">
        <v>3</v>
      </c>
      <c r="C6" s="1300"/>
      <c r="D6" s="1300"/>
      <c r="E6" s="1300"/>
      <c r="F6" s="1300"/>
    </row>
    <row r="7" spans="1:11">
      <c r="B7" s="111"/>
      <c r="C7" s="112"/>
      <c r="D7" s="112"/>
      <c r="E7" s="111"/>
      <c r="F7" s="111"/>
    </row>
    <row r="8" spans="1:11">
      <c r="B8" s="1296" t="s">
        <v>240</v>
      </c>
      <c r="C8" s="1296"/>
      <c r="D8" s="1296"/>
      <c r="E8" s="1296"/>
      <c r="F8" s="1296"/>
    </row>
    <row r="10" spans="1:11">
      <c r="B10" s="857"/>
      <c r="C10" s="859" t="s">
        <v>80</v>
      </c>
      <c r="D10" s="858"/>
      <c r="E10" s="859"/>
      <c r="F10" s="858"/>
    </row>
    <row r="11" spans="1:11" ht="15.5">
      <c r="B11" s="116"/>
      <c r="C11" s="116" t="s">
        <v>241</v>
      </c>
      <c r="D11" s="121"/>
      <c r="E11" s="116" t="s">
        <v>241</v>
      </c>
      <c r="F11" s="121"/>
      <c r="G11" s="119"/>
    </row>
    <row r="12" spans="1:11" ht="15.5">
      <c r="A12" s="119" t="s">
        <v>4</v>
      </c>
      <c r="B12" s="120"/>
      <c r="C12" s="116" t="s">
        <v>238</v>
      </c>
      <c r="D12" s="121"/>
      <c r="E12" s="116" t="s">
        <v>238</v>
      </c>
      <c r="F12" s="121"/>
      <c r="G12" s="119" t="s">
        <v>4</v>
      </c>
    </row>
    <row r="13" spans="1:11" ht="18">
      <c r="A13" s="119" t="s">
        <v>5</v>
      </c>
      <c r="B13" s="1015" t="s">
        <v>124</v>
      </c>
      <c r="C13" s="1015" t="s">
        <v>214</v>
      </c>
      <c r="D13" s="1113" t="s">
        <v>8</v>
      </c>
      <c r="E13" s="1015" t="s">
        <v>215</v>
      </c>
      <c r="F13" s="1113" t="s">
        <v>8</v>
      </c>
      <c r="G13" s="119" t="s">
        <v>5</v>
      </c>
    </row>
    <row r="14" spans="1:11" ht="15.5">
      <c r="A14" s="119">
        <v>1</v>
      </c>
      <c r="B14" s="122" t="str">
        <f>"Dec-"&amp;RIGHT(Automation!$B$3-1,2)</f>
        <v>Dec-22</v>
      </c>
      <c r="C14" s="222">
        <v>7943479.0554299969</v>
      </c>
      <c r="D14" s="1238" t="s">
        <v>216</v>
      </c>
      <c r="E14" s="526">
        <v>7802920.2436010288</v>
      </c>
      <c r="F14" s="1238" t="s">
        <v>927</v>
      </c>
      <c r="G14" s="119">
        <f>A14</f>
        <v>1</v>
      </c>
      <c r="H14" s="126"/>
      <c r="K14" s="155"/>
    </row>
    <row r="15" spans="1:11" ht="15.5">
      <c r="A15" s="119">
        <f>A14+1</f>
        <v>2</v>
      </c>
      <c r="B15" s="122" t="str">
        <f>"Jan-"&amp;RIGHT(Automation!$B$3,2)</f>
        <v>Jan-23</v>
      </c>
      <c r="C15" s="149">
        <v>7956130.8900799956</v>
      </c>
      <c r="D15" s="1256"/>
      <c r="E15" s="208">
        <v>7815790.0957797151</v>
      </c>
      <c r="F15" s="1256"/>
      <c r="G15" s="119">
        <f>G14+1</f>
        <v>2</v>
      </c>
      <c r="H15" s="155"/>
      <c r="K15" s="155"/>
    </row>
    <row r="16" spans="1:11" ht="15.5">
      <c r="A16" s="119">
        <f t="shared" ref="A16:A36" si="0">A15+1</f>
        <v>3</v>
      </c>
      <c r="B16" s="122" t="s">
        <v>217</v>
      </c>
      <c r="C16" s="149">
        <v>8022829.9579400066</v>
      </c>
      <c r="D16" s="1256"/>
      <c r="E16" s="208">
        <v>7881802.3241647268</v>
      </c>
      <c r="F16" s="1256"/>
      <c r="G16" s="119">
        <f t="shared" ref="G16:G36" si="1">G15+1</f>
        <v>3</v>
      </c>
      <c r="H16" s="155"/>
      <c r="K16" s="155"/>
    </row>
    <row r="17" spans="1:11" ht="15.5">
      <c r="A17" s="119">
        <f t="shared" si="0"/>
        <v>4</v>
      </c>
      <c r="B17" s="122" t="s">
        <v>218</v>
      </c>
      <c r="C17" s="149">
        <v>8027621.0841199923</v>
      </c>
      <c r="D17" s="1256"/>
      <c r="E17" s="208">
        <v>7886593.2150647119</v>
      </c>
      <c r="F17" s="1256"/>
      <c r="G17" s="119">
        <f t="shared" si="1"/>
        <v>4</v>
      </c>
      <c r="H17" s="155"/>
      <c r="K17" s="155"/>
    </row>
    <row r="18" spans="1:11" ht="15.5">
      <c r="A18" s="119">
        <f t="shared" si="0"/>
        <v>5</v>
      </c>
      <c r="B18" s="122" t="s">
        <v>219</v>
      </c>
      <c r="C18" s="149">
        <v>8041118.9653499983</v>
      </c>
      <c r="D18" s="1256"/>
      <c r="E18" s="208">
        <v>7899925.8367047179</v>
      </c>
      <c r="F18" s="1256"/>
      <c r="G18" s="119">
        <f t="shared" si="1"/>
        <v>5</v>
      </c>
      <c r="H18" s="155"/>
      <c r="K18" s="155"/>
    </row>
    <row r="19" spans="1:11" ht="15.5">
      <c r="A19" s="119">
        <f t="shared" si="0"/>
        <v>6</v>
      </c>
      <c r="B19" s="122" t="s">
        <v>161</v>
      </c>
      <c r="C19" s="149">
        <v>8070243.0638700007</v>
      </c>
      <c r="D19" s="1256"/>
      <c r="E19" s="208">
        <v>7928091.1333247209</v>
      </c>
      <c r="F19" s="1256"/>
      <c r="G19" s="119">
        <f t="shared" si="1"/>
        <v>6</v>
      </c>
      <c r="H19" s="155"/>
      <c r="K19" s="155"/>
    </row>
    <row r="20" spans="1:11" ht="15.5">
      <c r="A20" s="119">
        <f>A19+1</f>
        <v>7</v>
      </c>
      <c r="B20" s="122" t="s">
        <v>220</v>
      </c>
      <c r="C20" s="149">
        <v>8078004.5011799885</v>
      </c>
      <c r="D20" s="1256"/>
      <c r="E20" s="208">
        <v>7935884.1512597082</v>
      </c>
      <c r="F20" s="1256"/>
      <c r="G20" s="119">
        <f>G19+1</f>
        <v>7</v>
      </c>
      <c r="H20" s="155"/>
      <c r="K20" s="155"/>
    </row>
    <row r="21" spans="1:11" ht="15.5">
      <c r="A21" s="119">
        <f t="shared" si="0"/>
        <v>8</v>
      </c>
      <c r="B21" s="122" t="s">
        <v>221</v>
      </c>
      <c r="C21" s="149">
        <v>8169864.5123599991</v>
      </c>
      <c r="D21" s="1256"/>
      <c r="E21" s="208">
        <v>8027538.3665547194</v>
      </c>
      <c r="F21" s="1256"/>
      <c r="G21" s="119">
        <f t="shared" si="1"/>
        <v>8</v>
      </c>
      <c r="H21" s="155"/>
      <c r="K21" s="155"/>
    </row>
    <row r="22" spans="1:11" ht="15.5">
      <c r="A22" s="119">
        <f t="shared" si="0"/>
        <v>9</v>
      </c>
      <c r="B22" s="122" t="s">
        <v>222</v>
      </c>
      <c r="C22" s="149">
        <v>8195642.7234300077</v>
      </c>
      <c r="D22" s="1256"/>
      <c r="E22" s="208">
        <v>8053308.8792897277</v>
      </c>
      <c r="F22" s="1256"/>
      <c r="G22" s="119">
        <f t="shared" si="1"/>
        <v>9</v>
      </c>
      <c r="H22" s="155"/>
      <c r="K22" s="155"/>
    </row>
    <row r="23" spans="1:11" ht="15.5">
      <c r="A23" s="119">
        <f t="shared" si="0"/>
        <v>10</v>
      </c>
      <c r="B23" s="122" t="s">
        <v>223</v>
      </c>
      <c r="C23" s="149">
        <v>8207793.0239600008</v>
      </c>
      <c r="D23" s="1256"/>
      <c r="E23" s="208">
        <v>8065459.1798197208</v>
      </c>
      <c r="F23" s="1256"/>
      <c r="G23" s="119">
        <f t="shared" si="1"/>
        <v>10</v>
      </c>
      <c r="H23" s="155"/>
      <c r="K23" s="155"/>
    </row>
    <row r="24" spans="1:11" ht="15.5">
      <c r="A24" s="119">
        <f t="shared" si="0"/>
        <v>11</v>
      </c>
      <c r="B24" s="122" t="s">
        <v>224</v>
      </c>
      <c r="C24" s="149">
        <v>8312297.9447500026</v>
      </c>
      <c r="D24" s="1256"/>
      <c r="E24" s="208">
        <v>8169556.7994497223</v>
      </c>
      <c r="F24" s="1256"/>
      <c r="G24" s="119">
        <f t="shared" si="1"/>
        <v>11</v>
      </c>
      <c r="H24" s="155"/>
      <c r="K24" s="155"/>
    </row>
    <row r="25" spans="1:11" ht="15.5">
      <c r="A25" s="119">
        <f t="shared" si="0"/>
        <v>12</v>
      </c>
      <c r="B25" s="122" t="s">
        <v>225</v>
      </c>
      <c r="C25" s="149">
        <v>8313513.5381199969</v>
      </c>
      <c r="D25" s="1256"/>
      <c r="E25" s="208">
        <v>8171476.2753647165</v>
      </c>
      <c r="F25" s="1256"/>
      <c r="G25" s="119">
        <f t="shared" si="1"/>
        <v>12</v>
      </c>
      <c r="H25" s="155"/>
      <c r="K25" s="155"/>
    </row>
    <row r="26" spans="1:11" ht="15.5">
      <c r="A26" s="119">
        <f t="shared" si="0"/>
        <v>13</v>
      </c>
      <c r="B26" s="1032" t="str">
        <f>"Dec-"&amp;RIGHT(Automation!$B$3,2)</f>
        <v>Dec-23</v>
      </c>
      <c r="C26" s="1120">
        <v>8381786.0543000083</v>
      </c>
      <c r="D26" s="1257" t="s">
        <v>216</v>
      </c>
      <c r="E26" s="1126">
        <v>8232399.6584847281</v>
      </c>
      <c r="F26" s="1238" t="s">
        <v>928</v>
      </c>
      <c r="G26" s="119">
        <f t="shared" si="1"/>
        <v>13</v>
      </c>
      <c r="H26" s="126"/>
      <c r="K26" s="155"/>
    </row>
    <row r="27" spans="1:11" ht="15.5">
      <c r="A27" s="119">
        <f t="shared" si="0"/>
        <v>14</v>
      </c>
      <c r="B27" s="130"/>
      <c r="C27" s="1263"/>
      <c r="D27" s="1258"/>
      <c r="E27" s="148"/>
      <c r="F27" s="927"/>
      <c r="G27" s="119">
        <f t="shared" si="1"/>
        <v>14</v>
      </c>
    </row>
    <row r="28" spans="1:11" ht="15.5">
      <c r="A28" s="119">
        <f t="shared" si="0"/>
        <v>15</v>
      </c>
      <c r="B28" s="130" t="s">
        <v>226</v>
      </c>
      <c r="C28" s="202">
        <f>SUM(C14:C26)</f>
        <v>105720325.31488998</v>
      </c>
      <c r="D28" s="203" t="str">
        <f>"Sum Lines "&amp;A14&amp;" thru "&amp;A26</f>
        <v>Sum Lines 1 thru 13</v>
      </c>
      <c r="E28" s="202">
        <f>SUM(E14:E26)</f>
        <v>103870746.15886267</v>
      </c>
      <c r="F28" s="203" t="str">
        <f>"Sum Lines "&amp;A14&amp;" thru "&amp;A26</f>
        <v>Sum Lines 1 thru 13</v>
      </c>
      <c r="G28" s="119">
        <f t="shared" si="1"/>
        <v>15</v>
      </c>
    </row>
    <row r="29" spans="1:11" ht="15.5">
      <c r="A29" s="119">
        <f t="shared" si="0"/>
        <v>16</v>
      </c>
      <c r="B29" s="1016"/>
      <c r="C29" s="1041"/>
      <c r="D29" s="1259"/>
      <c r="E29" s="1041"/>
      <c r="F29" s="1259"/>
      <c r="G29" s="119">
        <f t="shared" si="1"/>
        <v>16</v>
      </c>
    </row>
    <row r="30" spans="1:11" ht="15.5">
      <c r="A30" s="119">
        <f t="shared" si="0"/>
        <v>17</v>
      </c>
      <c r="B30" s="130"/>
      <c r="C30" s="148"/>
      <c r="D30" s="1239"/>
      <c r="E30" s="148"/>
      <c r="F30" s="1239"/>
      <c r="G30" s="119">
        <f t="shared" si="1"/>
        <v>17</v>
      </c>
    </row>
    <row r="31" spans="1:11" ht="15.5">
      <c r="A31" s="119">
        <f t="shared" si="0"/>
        <v>18</v>
      </c>
      <c r="B31" s="130" t="s">
        <v>227</v>
      </c>
      <c r="C31" s="202">
        <f>C28/13</f>
        <v>8132332.7165299989</v>
      </c>
      <c r="D31" s="203" t="str">
        <f>"Average of Lines "&amp;A14&amp;" thru "&amp;A26</f>
        <v>Average of Lines 1 thru 13</v>
      </c>
      <c r="E31" s="202">
        <f>E28/13</f>
        <v>7990057.3968355898</v>
      </c>
      <c r="F31" s="1238" t="s">
        <v>929</v>
      </c>
      <c r="G31" s="119">
        <f t="shared" si="1"/>
        <v>18</v>
      </c>
      <c r="H31" s="126"/>
    </row>
    <row r="32" spans="1:11" ht="15.5">
      <c r="A32" s="119">
        <f t="shared" si="0"/>
        <v>19</v>
      </c>
      <c r="B32" s="1016"/>
      <c r="C32" s="1264"/>
      <c r="D32" s="1116"/>
      <c r="E32" s="1264"/>
      <c r="F32" s="1116"/>
      <c r="G32" s="119">
        <f t="shared" si="1"/>
        <v>19</v>
      </c>
    </row>
    <row r="33" spans="1:7" ht="15.5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 ht="18">
      <c r="A34" s="119">
        <f t="shared" si="0"/>
        <v>21</v>
      </c>
      <c r="B34" s="136" t="s">
        <v>242</v>
      </c>
      <c r="C34" s="136"/>
      <c r="D34" s="136"/>
      <c r="E34" s="1128">
        <f>'AD-6A'!E31</f>
        <v>27000</v>
      </c>
      <c r="F34" s="119" t="s">
        <v>47</v>
      </c>
      <c r="G34" s="119">
        <f t="shared" si="1"/>
        <v>21</v>
      </c>
    </row>
    <row r="35" spans="1:7" ht="15.5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" thickBot="1">
      <c r="A36" s="119">
        <f t="shared" si="0"/>
        <v>23</v>
      </c>
      <c r="B36" s="110" t="s">
        <v>243</v>
      </c>
      <c r="C36" s="136"/>
      <c r="D36" s="136"/>
      <c r="E36" s="322">
        <f>E31+E34</f>
        <v>8017057.3968355898</v>
      </c>
      <c r="F36" s="119" t="str">
        <f>"Line "&amp;A31&amp;" + Line "&amp;A34</f>
        <v>Line 18 + Line 21</v>
      </c>
      <c r="G36" s="119">
        <f t="shared" si="1"/>
        <v>23</v>
      </c>
    </row>
    <row r="37" spans="1:7" ht="16" thickTop="1">
      <c r="A37" s="119"/>
      <c r="B37" s="136"/>
      <c r="C37" s="136"/>
      <c r="D37" s="136"/>
      <c r="E37" s="136"/>
      <c r="F37" s="136"/>
    </row>
    <row r="38" spans="1:7" ht="15.5">
      <c r="D38" s="136"/>
      <c r="E38" s="159"/>
      <c r="F38" s="136"/>
    </row>
    <row r="39" spans="1:7" ht="18">
      <c r="A39" s="135">
        <v>1</v>
      </c>
      <c r="B39" s="136" t="s">
        <v>228</v>
      </c>
      <c r="C39" s="136"/>
      <c r="D39" s="136"/>
      <c r="E39" s="136"/>
      <c r="F39" s="136"/>
    </row>
    <row r="40" spans="1:7" ht="15.5">
      <c r="B40" s="136" t="s">
        <v>229</v>
      </c>
      <c r="C40" s="161"/>
      <c r="D40" s="136"/>
      <c r="E40" s="136"/>
      <c r="F40" s="136"/>
    </row>
    <row r="41" spans="1:7" ht="15.5">
      <c r="B41" s="136"/>
      <c r="C41" s="161"/>
      <c r="D41" s="136"/>
      <c r="E41" s="136"/>
      <c r="F41" s="136"/>
    </row>
    <row r="42" spans="1:7" ht="18">
      <c r="A42" s="135">
        <v>2</v>
      </c>
      <c r="B42" s="136" t="s">
        <v>244</v>
      </c>
      <c r="C42" s="136"/>
      <c r="D42" s="136"/>
      <c r="E42" s="136"/>
      <c r="F42" s="136"/>
    </row>
    <row r="43" spans="1:7" ht="15.5">
      <c r="B43" s="136"/>
      <c r="C43" s="136"/>
      <c r="D43" s="136"/>
      <c r="E43" s="136"/>
      <c r="F43" s="136"/>
    </row>
    <row r="44" spans="1:7" ht="18">
      <c r="A44" s="135"/>
      <c r="B44" s="216"/>
      <c r="C44" s="136"/>
      <c r="D44" s="110"/>
    </row>
    <row r="45" spans="1:7" ht="15.5">
      <c r="B45" s="216"/>
    </row>
    <row r="47" spans="1:7">
      <c r="A47" s="108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5" customWidth="1"/>
    <col min="5" max="5" width="18.54296875" style="110" customWidth="1"/>
    <col min="6" max="6" width="57.632812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9">
      <c r="B2" s="1296" t="s">
        <v>0</v>
      </c>
      <c r="C2" s="1296"/>
      <c r="D2" s="1296"/>
      <c r="E2" s="1296"/>
      <c r="F2" s="1296"/>
    </row>
    <row r="3" spans="1:9">
      <c r="B3" s="1296" t="s">
        <v>209</v>
      </c>
      <c r="C3" s="1296"/>
      <c r="D3" s="1296"/>
      <c r="E3" s="1296"/>
      <c r="F3" s="1296"/>
    </row>
    <row r="4" spans="1:9">
      <c r="B4" s="1296" t="s">
        <v>210</v>
      </c>
      <c r="C4" s="1296"/>
      <c r="D4" s="1296"/>
      <c r="E4" s="1296"/>
      <c r="F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9">
      <c r="B6" s="1300" t="s">
        <v>3</v>
      </c>
      <c r="C6" s="1300"/>
      <c r="D6" s="1300"/>
      <c r="E6" s="1300"/>
      <c r="F6" s="1300"/>
    </row>
    <row r="7" spans="1:9">
      <c r="B7" s="111"/>
      <c r="C7" s="112"/>
      <c r="D7" s="113"/>
      <c r="E7" s="111"/>
      <c r="F7" s="111"/>
    </row>
    <row r="8" spans="1:9">
      <c r="B8" s="1296" t="s">
        <v>240</v>
      </c>
      <c r="C8" s="1296"/>
      <c r="D8" s="1296"/>
      <c r="E8" s="1296"/>
      <c r="F8" s="1296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241</v>
      </c>
      <c r="D11" s="116"/>
      <c r="E11" s="117" t="s">
        <v>241</v>
      </c>
      <c r="F11" s="118"/>
    </row>
    <row r="12" spans="1:9" ht="15.5">
      <c r="A12" s="119" t="s">
        <v>4</v>
      </c>
      <c r="B12" s="120"/>
      <c r="C12" s="109" t="s">
        <v>238</v>
      </c>
      <c r="D12" s="116"/>
      <c r="E12" s="121" t="s">
        <v>238</v>
      </c>
      <c r="F12" s="118"/>
      <c r="G12" s="119" t="s">
        <v>4</v>
      </c>
    </row>
    <row r="13" spans="1:9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245</v>
      </c>
      <c r="F13" s="1015" t="s">
        <v>8</v>
      </c>
      <c r="G13" s="119" t="s">
        <v>5</v>
      </c>
    </row>
    <row r="14" spans="1:9" ht="15.5">
      <c r="A14" s="119">
        <v>1</v>
      </c>
      <c r="B14" s="122" t="str">
        <f>"Dec-"&amp;RIGHT(Automation!$B$3-1,2)</f>
        <v>Dec-22</v>
      </c>
      <c r="C14" s="123">
        <v>0</v>
      </c>
      <c r="D14" s="157" t="s">
        <v>216</v>
      </c>
      <c r="E14" s="129">
        <v>27000</v>
      </c>
      <c r="F14" s="157" t="s">
        <v>216</v>
      </c>
      <c r="G14" s="119">
        <f>A14</f>
        <v>1</v>
      </c>
      <c r="I14" s="126"/>
    </row>
    <row r="15" spans="1:9" ht="15.5">
      <c r="A15" s="119">
        <f>A14+1</f>
        <v>2</v>
      </c>
      <c r="B15" s="122" t="str">
        <f>"Jan-"&amp;RIGHT(Automation!$B$3,2)</f>
        <v>Jan-23</v>
      </c>
      <c r="C15" s="127">
        <v>0</v>
      </c>
      <c r="D15" s="128"/>
      <c r="E15" s="129">
        <v>27000</v>
      </c>
      <c r="F15" s="128"/>
      <c r="G15" s="119">
        <f>G14+1</f>
        <v>2</v>
      </c>
    </row>
    <row r="16" spans="1:9" ht="15.5">
      <c r="A16" s="119">
        <f t="shared" ref="A16:A32" si="0">A15+1</f>
        <v>3</v>
      </c>
      <c r="B16" s="122" t="s">
        <v>217</v>
      </c>
      <c r="C16" s="127">
        <v>0</v>
      </c>
      <c r="D16" s="128"/>
      <c r="E16" s="129">
        <v>27000</v>
      </c>
      <c r="F16" s="128"/>
      <c r="G16" s="119">
        <f t="shared" ref="G16:G32" si="1">G15+1</f>
        <v>3</v>
      </c>
    </row>
    <row r="17" spans="1:9" ht="15.5">
      <c r="A17" s="119">
        <f t="shared" si="0"/>
        <v>4</v>
      </c>
      <c r="B17" s="122" t="s">
        <v>218</v>
      </c>
      <c r="C17" s="127">
        <v>0</v>
      </c>
      <c r="D17" s="128"/>
      <c r="E17" s="129">
        <v>27000</v>
      </c>
      <c r="F17" s="128"/>
      <c r="G17" s="119">
        <f t="shared" si="1"/>
        <v>4</v>
      </c>
    </row>
    <row r="18" spans="1:9" ht="15.5">
      <c r="A18" s="119">
        <f t="shared" si="0"/>
        <v>5</v>
      </c>
      <c r="B18" s="122" t="s">
        <v>219</v>
      </c>
      <c r="C18" s="127">
        <v>0</v>
      </c>
      <c r="D18" s="128"/>
      <c r="E18" s="129">
        <v>27000</v>
      </c>
      <c r="F18" s="128"/>
      <c r="G18" s="119">
        <f t="shared" si="1"/>
        <v>5</v>
      </c>
    </row>
    <row r="19" spans="1:9" ht="15.5">
      <c r="A19" s="119">
        <f t="shared" si="0"/>
        <v>6</v>
      </c>
      <c r="B19" s="122" t="s">
        <v>161</v>
      </c>
      <c r="C19" s="127">
        <v>0</v>
      </c>
      <c r="D19" s="128"/>
      <c r="E19" s="129">
        <v>27000</v>
      </c>
      <c r="F19" s="128"/>
      <c r="G19" s="119">
        <f t="shared" si="1"/>
        <v>6</v>
      </c>
    </row>
    <row r="20" spans="1:9" ht="15.5">
      <c r="A20" s="119">
        <f>A19+1</f>
        <v>7</v>
      </c>
      <c r="B20" s="122" t="s">
        <v>220</v>
      </c>
      <c r="C20" s="127">
        <v>0</v>
      </c>
      <c r="D20" s="128"/>
      <c r="E20" s="129">
        <v>27000</v>
      </c>
      <c r="F20" s="128"/>
      <c r="G20" s="119">
        <f>G19+1</f>
        <v>7</v>
      </c>
    </row>
    <row r="21" spans="1:9" ht="15.5">
      <c r="A21" s="119">
        <f t="shared" si="0"/>
        <v>8</v>
      </c>
      <c r="B21" s="122" t="s">
        <v>221</v>
      </c>
      <c r="C21" s="127">
        <v>0</v>
      </c>
      <c r="D21" s="128"/>
      <c r="E21" s="129">
        <v>27000</v>
      </c>
      <c r="F21" s="128"/>
      <c r="G21" s="119">
        <f t="shared" si="1"/>
        <v>8</v>
      </c>
    </row>
    <row r="22" spans="1:9" ht="15.5">
      <c r="A22" s="119">
        <f t="shared" si="0"/>
        <v>9</v>
      </c>
      <c r="B22" s="122" t="s">
        <v>222</v>
      </c>
      <c r="C22" s="127">
        <v>0</v>
      </c>
      <c r="D22" s="128"/>
      <c r="E22" s="129">
        <v>27000</v>
      </c>
      <c r="F22" s="128"/>
      <c r="G22" s="119">
        <f t="shared" si="1"/>
        <v>9</v>
      </c>
    </row>
    <row r="23" spans="1:9" ht="15.5">
      <c r="A23" s="119">
        <f t="shared" si="0"/>
        <v>10</v>
      </c>
      <c r="B23" s="122" t="s">
        <v>223</v>
      </c>
      <c r="C23" s="127">
        <v>0</v>
      </c>
      <c r="D23" s="128"/>
      <c r="E23" s="129">
        <v>27000</v>
      </c>
      <c r="F23" s="128"/>
      <c r="G23" s="119">
        <f t="shared" si="1"/>
        <v>10</v>
      </c>
    </row>
    <row r="24" spans="1:9" ht="15.5">
      <c r="A24" s="119">
        <f t="shared" si="0"/>
        <v>11</v>
      </c>
      <c r="B24" s="122" t="s">
        <v>224</v>
      </c>
      <c r="C24" s="127">
        <v>0</v>
      </c>
      <c r="D24" s="128"/>
      <c r="E24" s="129">
        <v>27000</v>
      </c>
      <c r="F24" s="128"/>
      <c r="G24" s="119">
        <f t="shared" si="1"/>
        <v>11</v>
      </c>
    </row>
    <row r="25" spans="1:9" ht="15.5">
      <c r="A25" s="119">
        <f t="shared" si="0"/>
        <v>12</v>
      </c>
      <c r="B25" s="122" t="s">
        <v>225</v>
      </c>
      <c r="C25" s="127">
        <v>0</v>
      </c>
      <c r="D25" s="128"/>
      <c r="E25" s="129">
        <v>27000</v>
      </c>
      <c r="F25" s="128"/>
      <c r="G25" s="119">
        <f t="shared" si="1"/>
        <v>12</v>
      </c>
    </row>
    <row r="26" spans="1:9" ht="15.5">
      <c r="A26" s="119">
        <f t="shared" si="0"/>
        <v>13</v>
      </c>
      <c r="B26" s="1032" t="str">
        <f>"Dec-"&amp;RIGHT(Automation!$B$3,2)</f>
        <v>Dec-23</v>
      </c>
      <c r="C26" s="1114">
        <v>0</v>
      </c>
      <c r="D26" s="1021" t="s">
        <v>216</v>
      </c>
      <c r="E26" s="1126">
        <v>27000</v>
      </c>
      <c r="F26" s="158" t="str">
        <f>Automation!B3&amp;" Form 1; Page 213; Line 2; Col. f"</f>
        <v>2023 Form 1; Page 213; Line 2; Col. f</v>
      </c>
      <c r="G26" s="119">
        <f t="shared" si="1"/>
        <v>13</v>
      </c>
      <c r="I26" s="126"/>
    </row>
    <row r="27" spans="1:9" ht="15.5">
      <c r="A27" s="119">
        <f t="shared" si="0"/>
        <v>14</v>
      </c>
      <c r="B27" s="130"/>
      <c r="C27" s="927"/>
      <c r="D27" s="857"/>
      <c r="E27" s="131"/>
      <c r="F27" s="857"/>
      <c r="G27" s="119">
        <f t="shared" si="1"/>
        <v>14</v>
      </c>
    </row>
    <row r="28" spans="1:9" ht="15.5">
      <c r="A28" s="119">
        <f t="shared" si="0"/>
        <v>15</v>
      </c>
      <c r="B28" s="130" t="s">
        <v>226</v>
      </c>
      <c r="C28" s="132">
        <f>SUM(C14:C26)</f>
        <v>0</v>
      </c>
      <c r="D28" s="158" t="str">
        <f>"Sum Lines "&amp;A14&amp;" thru "&amp;A26</f>
        <v>Sum Lines 1 thru 13</v>
      </c>
      <c r="E28" s="132">
        <f>SUM(E14:E26)</f>
        <v>351000</v>
      </c>
      <c r="F28" s="158" t="str">
        <f>"Sum Lines "&amp;A14&amp;" thru "&amp;A26</f>
        <v>Sum Lines 1 thru 13</v>
      </c>
      <c r="G28" s="119">
        <f t="shared" si="1"/>
        <v>15</v>
      </c>
    </row>
    <row r="29" spans="1:9" ht="15.5">
      <c r="A29" s="119">
        <f t="shared" si="0"/>
        <v>16</v>
      </c>
      <c r="B29" s="1016"/>
      <c r="C29" s="1115"/>
      <c r="D29" s="1016"/>
      <c r="E29" s="1115"/>
      <c r="F29" s="1016"/>
      <c r="G29" s="119">
        <f t="shared" si="1"/>
        <v>16</v>
      </c>
    </row>
    <row r="30" spans="1:9" ht="15.5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 ht="15.5">
      <c r="A31" s="119">
        <f t="shared" si="0"/>
        <v>18</v>
      </c>
      <c r="B31" s="130" t="s">
        <v>227</v>
      </c>
      <c r="C31" s="132">
        <f>C28/13</f>
        <v>0</v>
      </c>
      <c r="D31" s="158" t="str">
        <f>"Average of Lines "&amp;A14&amp;" thru "&amp;A26</f>
        <v>Average of Lines 1 thru 13</v>
      </c>
      <c r="E31" s="132">
        <f>E28/13</f>
        <v>27000</v>
      </c>
      <c r="F31" s="158" t="str">
        <f>"Average of Lines "&amp;A14&amp;" thru "&amp;A26</f>
        <v>Average of Lines 1 thru 13</v>
      </c>
      <c r="G31" s="119">
        <f t="shared" si="1"/>
        <v>18</v>
      </c>
      <c r="H31" s="126"/>
      <c r="I31" s="126"/>
    </row>
    <row r="32" spans="1:9" ht="15.5">
      <c r="A32" s="119">
        <f t="shared" si="0"/>
        <v>19</v>
      </c>
      <c r="B32" s="1016"/>
      <c r="C32" s="1116"/>
      <c r="D32" s="1016"/>
      <c r="E32" s="1116"/>
      <c r="F32" s="1016"/>
      <c r="G32" s="119">
        <f t="shared" si="1"/>
        <v>19</v>
      </c>
    </row>
    <row r="33" spans="1:5" ht="15.5">
      <c r="A33" s="119"/>
      <c r="C33" s="134"/>
      <c r="D33" s="110"/>
      <c r="E33" s="134"/>
    </row>
    <row r="34" spans="1:5">
      <c r="C34" s="134"/>
      <c r="D34" s="110"/>
      <c r="E34" s="134"/>
    </row>
    <row r="35" spans="1:5" ht="18">
      <c r="A35" s="135">
        <v>1</v>
      </c>
      <c r="B35" s="136" t="s">
        <v>246</v>
      </c>
      <c r="C35" s="134"/>
      <c r="D35" s="110"/>
      <c r="E35" s="134"/>
    </row>
    <row r="36" spans="1:5" ht="15.5">
      <c r="B36" s="136"/>
      <c r="C36" s="134"/>
      <c r="D36" s="110"/>
      <c r="E36" s="134"/>
    </row>
    <row r="37" spans="1:5" ht="15.5">
      <c r="B37" s="136"/>
      <c r="C37" s="134"/>
      <c r="D37" s="110"/>
      <c r="E37" s="134"/>
    </row>
    <row r="38" spans="1:5" ht="15.5">
      <c r="B38" s="136"/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/>
  </sheetViews>
  <sheetFormatPr defaultColWidth="9.08984375" defaultRowHeight="15.5"/>
  <cols>
    <col min="1" max="1" width="5.08984375" style="119" customWidth="1"/>
    <col min="2" max="2" width="11.08984375" style="119" customWidth="1"/>
    <col min="3" max="3" width="32.36328125" style="136" customWidth="1"/>
    <col min="4" max="10" width="18.54296875" style="189" customWidth="1"/>
    <col min="11" max="11" width="18.54296875" style="136" customWidth="1"/>
    <col min="12" max="12" width="24" style="136" customWidth="1"/>
    <col min="13" max="13" width="5.08984375" style="119" customWidth="1"/>
    <col min="14" max="14" width="11.6328125" style="136" bestFit="1" customWidth="1"/>
    <col min="15" max="15" width="13.08984375" style="136" customWidth="1"/>
    <col min="16" max="16384" width="9.08984375" style="136"/>
  </cols>
  <sheetData>
    <row r="1" spans="1:13">
      <c r="C1" s="119"/>
    </row>
    <row r="2" spans="1:13" s="110" customFormat="1" ht="15">
      <c r="A2" s="109"/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L2" s="1296"/>
      <c r="M2" s="109"/>
    </row>
    <row r="3" spans="1:13" s="110" customFormat="1" ht="15">
      <c r="A3" s="109"/>
      <c r="B3" s="1296" t="s">
        <v>247</v>
      </c>
      <c r="C3" s="1296"/>
      <c r="D3" s="1296"/>
      <c r="E3" s="1296"/>
      <c r="F3" s="1296"/>
      <c r="G3" s="1296"/>
      <c r="H3" s="1296"/>
      <c r="I3" s="1296"/>
      <c r="J3" s="1296"/>
      <c r="K3" s="1296"/>
      <c r="L3" s="1296"/>
      <c r="M3" s="109"/>
    </row>
    <row r="4" spans="1:13">
      <c r="B4" s="1296" t="s">
        <v>248</v>
      </c>
      <c r="C4" s="1296"/>
      <c r="D4" s="1296"/>
      <c r="E4" s="1296"/>
      <c r="F4" s="1296"/>
      <c r="G4" s="1296"/>
      <c r="H4" s="1296"/>
      <c r="I4" s="1296"/>
      <c r="J4" s="1296"/>
      <c r="K4" s="1296"/>
      <c r="L4" s="1296"/>
    </row>
    <row r="5" spans="1:13">
      <c r="B5" s="1300" t="str">
        <f>"BALANCES AS OF 12/31/"&amp;Automation!$B$3-1</f>
        <v>BALANCES AS OF 12/31/2022</v>
      </c>
      <c r="C5" s="1300"/>
      <c r="D5" s="1300"/>
      <c r="E5" s="1300"/>
      <c r="F5" s="1300"/>
      <c r="G5" s="1300"/>
      <c r="H5" s="1300"/>
      <c r="I5" s="1300"/>
      <c r="J5" s="1300"/>
      <c r="K5" s="1300"/>
      <c r="L5" s="1300"/>
    </row>
    <row r="6" spans="1:13">
      <c r="B6" s="1300" t="s">
        <v>3</v>
      </c>
      <c r="C6" s="1296"/>
      <c r="D6" s="1296"/>
      <c r="E6" s="1296"/>
      <c r="F6" s="1296"/>
      <c r="G6" s="1296"/>
      <c r="H6" s="1296"/>
      <c r="I6" s="1296"/>
      <c r="J6" s="1296"/>
      <c r="K6" s="1296"/>
      <c r="L6" s="1296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 ht="15">
      <c r="B8" s="859"/>
      <c r="C8" s="958"/>
      <c r="D8" s="959" t="s">
        <v>249</v>
      </c>
      <c r="E8" s="960" t="s">
        <v>250</v>
      </c>
      <c r="F8" s="960" t="s">
        <v>251</v>
      </c>
      <c r="G8" s="960" t="s">
        <v>252</v>
      </c>
      <c r="H8" s="960" t="s">
        <v>253</v>
      </c>
      <c r="I8" s="960" t="s">
        <v>254</v>
      </c>
      <c r="J8" s="960" t="s">
        <v>255</v>
      </c>
      <c r="K8" s="960" t="s">
        <v>256</v>
      </c>
      <c r="L8" s="859"/>
      <c r="M8" s="109" t="s">
        <v>186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186</v>
      </c>
    </row>
    <row r="10" spans="1:13">
      <c r="B10" s="170"/>
      <c r="C10" s="133"/>
      <c r="D10" s="167"/>
      <c r="E10" s="168" t="s">
        <v>257</v>
      </c>
      <c r="F10" s="168" t="s">
        <v>237</v>
      </c>
      <c r="G10" s="168" t="s">
        <v>241</v>
      </c>
      <c r="H10" s="168" t="s">
        <v>241</v>
      </c>
      <c r="I10" s="168" t="s">
        <v>241</v>
      </c>
      <c r="J10" s="168" t="s">
        <v>241</v>
      </c>
      <c r="K10" s="168" t="s">
        <v>241</v>
      </c>
      <c r="L10" s="158"/>
      <c r="M10" s="119" t="s">
        <v>186</v>
      </c>
    </row>
    <row r="11" spans="1:13">
      <c r="B11" s="171"/>
      <c r="C11" s="130"/>
      <c r="D11" s="172" t="s">
        <v>80</v>
      </c>
      <c r="E11" s="168" t="s">
        <v>258</v>
      </c>
      <c r="F11" s="168" t="s">
        <v>258</v>
      </c>
      <c r="G11" s="168" t="s">
        <v>258</v>
      </c>
      <c r="H11" s="168" t="s">
        <v>258</v>
      </c>
      <c r="I11" s="168" t="s">
        <v>258</v>
      </c>
      <c r="J11" s="168" t="s">
        <v>258</v>
      </c>
      <c r="K11" s="168" t="s">
        <v>238</v>
      </c>
      <c r="L11" s="116"/>
    </row>
    <row r="12" spans="1:13">
      <c r="A12" s="119" t="s">
        <v>4</v>
      </c>
      <c r="B12" s="171"/>
      <c r="C12" s="116"/>
      <c r="D12" s="172" t="s">
        <v>241</v>
      </c>
      <c r="E12" s="168" t="s">
        <v>259</v>
      </c>
      <c r="F12" s="173" t="s">
        <v>259</v>
      </c>
      <c r="G12" s="168" t="s">
        <v>259</v>
      </c>
      <c r="H12" s="168" t="s">
        <v>259</v>
      </c>
      <c r="I12" s="168" t="s">
        <v>259</v>
      </c>
      <c r="J12" s="168" t="s">
        <v>259</v>
      </c>
      <c r="K12" s="168" t="s">
        <v>260</v>
      </c>
      <c r="L12" s="116"/>
      <c r="M12" s="119" t="s">
        <v>4</v>
      </c>
    </row>
    <row r="13" spans="1:13">
      <c r="A13" s="119" t="s">
        <v>5</v>
      </c>
      <c r="B13" s="1015" t="s">
        <v>261</v>
      </c>
      <c r="C13" s="1015" t="s">
        <v>262</v>
      </c>
      <c r="D13" s="1129" t="s">
        <v>258</v>
      </c>
      <c r="E13" s="1130" t="s">
        <v>263</v>
      </c>
      <c r="F13" s="1130" t="s">
        <v>264</v>
      </c>
      <c r="G13" s="1130" t="s">
        <v>265</v>
      </c>
      <c r="H13" s="1130" t="s">
        <v>266</v>
      </c>
      <c r="I13" s="1130" t="s">
        <v>231</v>
      </c>
      <c r="J13" s="1131" t="s">
        <v>267</v>
      </c>
      <c r="K13" s="1015" t="s">
        <v>268</v>
      </c>
      <c r="L13" s="1015" t="s">
        <v>8</v>
      </c>
      <c r="M13" s="119" t="s">
        <v>5</v>
      </c>
    </row>
    <row r="14" spans="1:13">
      <c r="B14" s="158"/>
      <c r="C14" s="133" t="s">
        <v>269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270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216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271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216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272</v>
      </c>
      <c r="D17" s="178">
        <v>0</v>
      </c>
      <c r="E17" s="178">
        <v>4.5990200000000003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4.5990200000000003</v>
      </c>
      <c r="L17" s="158" t="s">
        <v>216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272</v>
      </c>
      <c r="D18" s="178">
        <v>0</v>
      </c>
      <c r="E18" s="178">
        <v>0</v>
      </c>
      <c r="F18" s="179">
        <v>3626.3653199999999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3626.3653199999999</v>
      </c>
      <c r="L18" s="158" t="s">
        <v>216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273</v>
      </c>
      <c r="D19" s="178">
        <v>0</v>
      </c>
      <c r="E19" s="178">
        <v>0</v>
      </c>
      <c r="F19" s="179">
        <v>1496.2538400000001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1496.2538400000001</v>
      </c>
      <c r="L19" s="158" t="s">
        <v>216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81" t="s">
        <v>274</v>
      </c>
      <c r="C21" s="1182" t="s">
        <v>275</v>
      </c>
      <c r="D21" s="1183">
        <f>SUM(D15:D20)</f>
        <v>0</v>
      </c>
      <c r="E21" s="1183">
        <f t="shared" ref="E21:I21" si="2">SUM(E15:E20)</f>
        <v>4.5990200000000003</v>
      </c>
      <c r="F21" s="1183">
        <f t="shared" si="2"/>
        <v>5122.6191600000002</v>
      </c>
      <c r="G21" s="1183">
        <f t="shared" si="2"/>
        <v>0</v>
      </c>
      <c r="H21" s="1183">
        <f t="shared" si="2"/>
        <v>0</v>
      </c>
      <c r="I21" s="1183">
        <f t="shared" si="2"/>
        <v>0</v>
      </c>
      <c r="J21" s="1183">
        <f>SUM(J15:J20)</f>
        <v>0</v>
      </c>
      <c r="K21" s="961">
        <f>SUM(K15:K20)</f>
        <v>5127.2181799999998</v>
      </c>
      <c r="L21" s="1184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272</v>
      </c>
      <c r="D23" s="184">
        <v>256898.14848999999</v>
      </c>
      <c r="E23" s="176">
        <v>0</v>
      </c>
      <c r="F23" s="177"/>
      <c r="G23" s="176">
        <v>0</v>
      </c>
      <c r="H23" s="176">
        <v>0</v>
      </c>
      <c r="I23" s="176">
        <v>0</v>
      </c>
      <c r="J23" s="176">
        <v>-13536.05595</v>
      </c>
      <c r="K23" s="185">
        <f t="shared" ref="K23:K31" si="3">SUM(D23:J23)</f>
        <v>243362.09253999998</v>
      </c>
      <c r="L23" s="158" t="s">
        <v>216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273</v>
      </c>
      <c r="D24" s="186">
        <v>818920.32406999997</v>
      </c>
      <c r="E24" s="179">
        <v>0</v>
      </c>
      <c r="F24" s="179"/>
      <c r="G24" s="181">
        <v>-1928.27782</v>
      </c>
      <c r="H24" s="179">
        <v>0</v>
      </c>
      <c r="I24" s="179">
        <v>0</v>
      </c>
      <c r="J24" s="182">
        <v>-112635.03347000001</v>
      </c>
      <c r="K24" s="187">
        <f t="shared" si="3"/>
        <v>704357.01277999999</v>
      </c>
      <c r="L24" s="158" t="s">
        <v>216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276</v>
      </c>
      <c r="D25" s="186">
        <v>2277735.1889599999</v>
      </c>
      <c r="E25" s="179">
        <v>0</v>
      </c>
      <c r="F25" s="179"/>
      <c r="G25" s="181">
        <v>-12009.877780000001</v>
      </c>
      <c r="H25" s="179">
        <v>-1420.3928800000001</v>
      </c>
      <c r="I25" s="179">
        <v>0</v>
      </c>
      <c r="J25" s="182">
        <v>-2429.9854399999999</v>
      </c>
      <c r="K25" s="187">
        <f t="shared" si="3"/>
        <v>2261874.9328599996</v>
      </c>
      <c r="L25" s="158" t="s">
        <v>216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277</v>
      </c>
      <c r="D26" s="186">
        <v>930804.89881000004</v>
      </c>
      <c r="E26" s="179">
        <v>0</v>
      </c>
      <c r="F26" s="179"/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930804.89881000004</v>
      </c>
      <c r="L26" s="158" t="s">
        <v>216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278</v>
      </c>
      <c r="D27" s="186">
        <v>1080815.14552</v>
      </c>
      <c r="E27" s="179">
        <v>0</v>
      </c>
      <c r="F27" s="179"/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1080815.14552</v>
      </c>
      <c r="L27" s="158" t="s">
        <v>216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279</v>
      </c>
      <c r="D28" s="186">
        <v>940375.96794999996</v>
      </c>
      <c r="E28" s="179">
        <v>0</v>
      </c>
      <c r="F28" s="179"/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940375.96794999996</v>
      </c>
      <c r="L28" s="158" t="s">
        <v>216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280</v>
      </c>
      <c r="D29" s="186">
        <v>635069.28517000005</v>
      </c>
      <c r="E29" s="179">
        <v>0</v>
      </c>
      <c r="F29" s="179"/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635069.28517000005</v>
      </c>
      <c r="L29" s="158" t="s">
        <v>216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281</v>
      </c>
      <c r="D30" s="186">
        <v>611501.32154999999</v>
      </c>
      <c r="E30" s="179">
        <v>0</v>
      </c>
      <c r="F30" s="179"/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609774.94157999998</v>
      </c>
      <c r="L30" s="158" t="s">
        <v>216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282</v>
      </c>
      <c r="D31" s="186">
        <v>391358.77490999998</v>
      </c>
      <c r="E31" s="179">
        <v>0</v>
      </c>
      <c r="F31" s="179"/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391358.77490999998</v>
      </c>
      <c r="L31" s="158" t="s">
        <v>216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3"/>
      <c r="G32" s="1033"/>
      <c r="H32" s="1033"/>
      <c r="I32" s="1033"/>
      <c r="J32" s="182"/>
      <c r="K32" s="1132"/>
      <c r="L32" s="175"/>
      <c r="M32" s="119">
        <f t="shared" si="1"/>
        <v>18</v>
      </c>
    </row>
    <row r="33" spans="1:13">
      <c r="A33" s="119">
        <f t="shared" si="0"/>
        <v>19</v>
      </c>
      <c r="B33" s="1185" t="s">
        <v>274</v>
      </c>
      <c r="C33" s="1182" t="s">
        <v>240</v>
      </c>
      <c r="D33" s="1183">
        <f>SUM(D23:D32)</f>
        <v>7943479.0554299997</v>
      </c>
      <c r="E33" s="1183">
        <f t="shared" ref="E33:I33" si="4">SUM(E23:E32)</f>
        <v>0</v>
      </c>
      <c r="F33" s="1183">
        <f t="shared" si="4"/>
        <v>0</v>
      </c>
      <c r="G33" s="1183">
        <f t="shared" si="4"/>
        <v>-15664.53557</v>
      </c>
      <c r="H33" s="1183">
        <f t="shared" si="4"/>
        <v>-1420.3928800000001</v>
      </c>
      <c r="I33" s="1183">
        <f t="shared" si="4"/>
        <v>0</v>
      </c>
      <c r="J33" s="1183">
        <f>SUM(J23:J32)</f>
        <v>-128601.07486000001</v>
      </c>
      <c r="K33" s="961">
        <f>SUM(K23:K32)</f>
        <v>7797793.0521200001</v>
      </c>
      <c r="L33" s="1186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62"/>
      <c r="M34" s="119">
        <f t="shared" si="1"/>
        <v>20</v>
      </c>
    </row>
    <row r="35" spans="1:13">
      <c r="A35" s="119">
        <f t="shared" si="0"/>
        <v>21</v>
      </c>
      <c r="B35" s="1187" t="s">
        <v>283</v>
      </c>
      <c r="C35" s="963"/>
      <c r="D35" s="1188">
        <f>D33+D21</f>
        <v>7943479.0554299997</v>
      </c>
      <c r="E35" s="1188">
        <f t="shared" ref="E35:I35" si="5">E33+E21</f>
        <v>4.5990200000000003</v>
      </c>
      <c r="F35" s="1188">
        <f t="shared" si="5"/>
        <v>5122.6191600000002</v>
      </c>
      <c r="G35" s="1188">
        <f>G33+G21</f>
        <v>-15664.53557</v>
      </c>
      <c r="H35" s="1188">
        <f>H33+H21</f>
        <v>-1420.3928800000001</v>
      </c>
      <c r="I35" s="1189">
        <f t="shared" si="5"/>
        <v>0</v>
      </c>
      <c r="J35" s="1188">
        <f>J33+J21</f>
        <v>-128601.07486000001</v>
      </c>
      <c r="K35" s="964">
        <f>K33+K21</f>
        <v>7802920.2703</v>
      </c>
      <c r="L35" s="1184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284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28"/>
  <sheetViews>
    <sheetView zoomScale="80" zoomScaleNormal="80" workbookViewId="0"/>
  </sheetViews>
  <sheetFormatPr defaultColWidth="8.6328125" defaultRowHeight="15.5"/>
  <cols>
    <col min="1" max="1" width="5.08984375" style="247" customWidth="1"/>
    <col min="2" max="2" width="89.6328125" style="3" bestFit="1" customWidth="1"/>
    <col min="3" max="3" width="10.36328125" style="3" customWidth="1"/>
    <col min="4" max="4" width="1.54296875" style="3" customWidth="1"/>
    <col min="5" max="5" width="16.6328125" style="3" customWidth="1"/>
    <col min="6" max="6" width="1.54296875" style="3" customWidth="1"/>
    <col min="7" max="7" width="43.36328125" style="3" customWidth="1"/>
    <col min="8" max="8" width="5.08984375" style="247" customWidth="1"/>
    <col min="9" max="16384" width="8.6328125" style="3"/>
  </cols>
  <sheetData>
    <row r="2" spans="1:8">
      <c r="B2" s="1279" t="str">
        <f>'Summary of Cost Components'!B2:D2</f>
        <v>SAN DIEGO GAS &amp; ELECTRIC COMPANY</v>
      </c>
      <c r="C2" s="1279"/>
      <c r="D2" s="1279"/>
      <c r="E2" s="1279"/>
      <c r="F2" s="1279"/>
      <c r="G2" s="1279"/>
    </row>
    <row r="3" spans="1:8" ht="15.75" customHeight="1">
      <c r="B3" s="1279" t="str">
        <f>'Summary of Cost Components'!B3:D3</f>
        <v>CITIZENS' SHARE OF THE SX-PQ UNDERGROUND LINE SEGMENT</v>
      </c>
      <c r="C3" s="1279"/>
      <c r="D3" s="1279"/>
      <c r="E3" s="1279"/>
      <c r="F3" s="1279"/>
      <c r="G3" s="1279"/>
      <c r="H3" s="566"/>
    </row>
    <row r="4" spans="1:8">
      <c r="B4" s="1280" t="s">
        <v>9</v>
      </c>
      <c r="C4" s="1280"/>
      <c r="D4" s="1280"/>
      <c r="E4" s="1280"/>
      <c r="F4" s="1280"/>
      <c r="G4" s="1280"/>
      <c r="H4" s="565"/>
    </row>
    <row r="5" spans="1:8">
      <c r="B5" s="1281" t="str">
        <f>"Base Period &amp; True-Up Period 12 - Months Ending December 31, "&amp;Automation!B3</f>
        <v>Base Period &amp; True-Up Period 12 - Months Ending December 31, 2023</v>
      </c>
      <c r="C5" s="1281"/>
      <c r="D5" s="1281"/>
      <c r="E5" s="1281"/>
      <c r="F5" s="1281"/>
      <c r="G5" s="1281"/>
      <c r="H5" s="565"/>
    </row>
    <row r="6" spans="1:8">
      <c r="B6" s="1282" t="s">
        <v>3</v>
      </c>
      <c r="C6" s="1282"/>
      <c r="D6" s="1282"/>
      <c r="E6" s="1282"/>
      <c r="F6" s="1282"/>
      <c r="G6" s="1282"/>
      <c r="H6" s="567"/>
    </row>
    <row r="8" spans="1:8">
      <c r="A8" s="562" t="s">
        <v>4</v>
      </c>
      <c r="B8" s="44"/>
      <c r="C8" s="44"/>
      <c r="D8" s="44"/>
      <c r="E8" s="48"/>
      <c r="F8" s="48"/>
      <c r="G8" s="44"/>
      <c r="H8" s="562" t="s">
        <v>4</v>
      </c>
    </row>
    <row r="9" spans="1:8">
      <c r="A9" s="562" t="s">
        <v>5</v>
      </c>
      <c r="B9" s="44"/>
      <c r="C9" s="44"/>
      <c r="D9" s="44"/>
      <c r="E9" s="945" t="s">
        <v>7</v>
      </c>
      <c r="F9" s="21"/>
      <c r="G9" s="945" t="s">
        <v>8</v>
      </c>
      <c r="H9" s="562" t="s">
        <v>5</v>
      </c>
    </row>
    <row r="10" spans="1:8">
      <c r="A10" s="565"/>
      <c r="B10" s="44"/>
      <c r="C10" s="44"/>
      <c r="D10" s="44"/>
      <c r="E10" s="59"/>
      <c r="F10" s="21"/>
      <c r="G10" s="59"/>
      <c r="H10" s="562"/>
    </row>
    <row r="11" spans="1:8">
      <c r="A11" s="562">
        <v>1</v>
      </c>
      <c r="B11" s="15" t="s">
        <v>23</v>
      </c>
      <c r="C11" s="15"/>
      <c r="D11" s="15"/>
      <c r="E11" s="44"/>
      <c r="F11" s="44"/>
      <c r="G11" s="44"/>
      <c r="H11" s="562">
        <f>A11</f>
        <v>1</v>
      </c>
    </row>
    <row r="12" spans="1:8">
      <c r="A12" s="562">
        <f>A11+1</f>
        <v>2</v>
      </c>
      <c r="B12" s="59" t="s">
        <v>24</v>
      </c>
      <c r="C12" s="59"/>
      <c r="D12" s="59"/>
      <c r="E12" s="599">
        <f>'Stmt AH'!E12</f>
        <v>0</v>
      </c>
      <c r="F12" s="44"/>
      <c r="G12" s="21" t="str">
        <f>"Statement AH; Line "&amp;'Stmt AH'!A12</f>
        <v>Statement AH; Line 2</v>
      </c>
      <c r="H12" s="562">
        <f>H11+1</f>
        <v>2</v>
      </c>
    </row>
    <row r="13" spans="1:8">
      <c r="A13" s="562">
        <f t="shared" ref="A13:A27" si="0">A12+1</f>
        <v>3</v>
      </c>
      <c r="B13" s="59" t="s">
        <v>25</v>
      </c>
      <c r="C13" s="59"/>
      <c r="D13" s="59"/>
      <c r="E13" s="1098">
        <v>0.13100000000000001</v>
      </c>
      <c r="F13" s="44"/>
      <c r="G13" s="44"/>
      <c r="H13" s="562">
        <f t="shared" ref="H13:H27" si="1">H12+1</f>
        <v>3</v>
      </c>
    </row>
    <row r="14" spans="1:8">
      <c r="A14" s="562">
        <f t="shared" si="0"/>
        <v>4</v>
      </c>
      <c r="B14" s="59" t="s">
        <v>26</v>
      </c>
      <c r="C14" s="59"/>
      <c r="D14" s="59"/>
      <c r="E14" s="600">
        <f>E12*E13</f>
        <v>0</v>
      </c>
      <c r="F14" s="14"/>
      <c r="G14" s="21" t="str">
        <f>"Line "&amp;A12&amp;" x Line "&amp;A13</f>
        <v>Line 2 x Line 3</v>
      </c>
      <c r="H14" s="562">
        <f t="shared" si="1"/>
        <v>4</v>
      </c>
    </row>
    <row r="15" spans="1:8">
      <c r="A15" s="562">
        <f t="shared" si="0"/>
        <v>5</v>
      </c>
      <c r="B15" s="59"/>
      <c r="C15" s="59"/>
      <c r="D15" s="59"/>
      <c r="E15" s="569"/>
      <c r="F15" s="59"/>
      <c r="G15" s="21"/>
      <c r="H15" s="562">
        <f t="shared" si="1"/>
        <v>5</v>
      </c>
    </row>
    <row r="16" spans="1:8">
      <c r="A16" s="562">
        <f t="shared" si="0"/>
        <v>6</v>
      </c>
      <c r="B16" s="136" t="s">
        <v>27</v>
      </c>
      <c r="C16" s="136"/>
      <c r="D16" s="136"/>
      <c r="E16" s="1098">
        <f>1/8</f>
        <v>0.125</v>
      </c>
      <c r="F16" s="44"/>
      <c r="G16" s="21" t="s">
        <v>28</v>
      </c>
      <c r="H16" s="562">
        <f t="shared" si="1"/>
        <v>6</v>
      </c>
    </row>
    <row r="17" spans="1:14">
      <c r="A17" s="562">
        <f t="shared" si="0"/>
        <v>7</v>
      </c>
      <c r="B17" s="59" t="s">
        <v>29</v>
      </c>
      <c r="C17" s="59"/>
      <c r="D17" s="59"/>
      <c r="E17" s="600">
        <f>E14*E16</f>
        <v>0</v>
      </c>
      <c r="F17" s="14"/>
      <c r="G17" s="21" t="str">
        <f>"Line "&amp;A14&amp;" x Line "&amp;A16</f>
        <v>Line 4 x Line 6</v>
      </c>
      <c r="H17" s="562">
        <f t="shared" si="1"/>
        <v>7</v>
      </c>
    </row>
    <row r="18" spans="1:14">
      <c r="A18" s="562">
        <f t="shared" si="0"/>
        <v>8</v>
      </c>
      <c r="B18" s="59"/>
      <c r="C18" s="59"/>
      <c r="D18" s="59"/>
      <c r="E18" s="569"/>
      <c r="F18" s="59"/>
      <c r="G18" s="21"/>
      <c r="H18" s="562">
        <f t="shared" si="1"/>
        <v>8</v>
      </c>
    </row>
    <row r="19" spans="1:14">
      <c r="A19" s="562">
        <f t="shared" si="0"/>
        <v>9</v>
      </c>
      <c r="B19" s="59" t="s">
        <v>30</v>
      </c>
      <c r="C19" s="59"/>
      <c r="D19" s="59"/>
      <c r="E19" s="946">
        <f>'Stmt AV'!G110</f>
        <v>9.7709132427002521E-2</v>
      </c>
      <c r="F19" s="44"/>
      <c r="G19" s="26" t="str">
        <f>"Statement AV2; Line "&amp;'Stmt AV'!A110</f>
        <v>Statement AV2; Line 31</v>
      </c>
      <c r="H19" s="562">
        <f t="shared" si="1"/>
        <v>9</v>
      </c>
    </row>
    <row r="20" spans="1:14">
      <c r="A20" s="562">
        <f t="shared" si="0"/>
        <v>10</v>
      </c>
      <c r="B20" s="59"/>
      <c r="C20" s="59"/>
      <c r="D20" s="59"/>
      <c r="E20" s="569"/>
      <c r="F20" s="59"/>
      <c r="G20" s="21"/>
      <c r="H20" s="562">
        <f t="shared" si="1"/>
        <v>10</v>
      </c>
    </row>
    <row r="21" spans="1:14">
      <c r="A21" s="562">
        <f t="shared" si="0"/>
        <v>11</v>
      </c>
      <c r="B21" s="59" t="s">
        <v>31</v>
      </c>
      <c r="C21" s="59"/>
      <c r="D21" s="59"/>
      <c r="E21" s="1099">
        <f>E19*E17</f>
        <v>0</v>
      </c>
      <c r="F21" s="522"/>
      <c r="G21" s="21" t="str">
        <f>"Line "&amp;A17&amp;" x Line "&amp;A19</f>
        <v>Line 7 x Line 9</v>
      </c>
      <c r="H21" s="562">
        <f t="shared" si="1"/>
        <v>11</v>
      </c>
    </row>
    <row r="22" spans="1:14">
      <c r="A22" s="562">
        <f t="shared" si="0"/>
        <v>12</v>
      </c>
      <c r="B22" s="59"/>
      <c r="C22" s="59"/>
      <c r="D22" s="59"/>
      <c r="E22" s="569"/>
      <c r="F22" s="59"/>
      <c r="G22" s="21"/>
      <c r="H22" s="562">
        <f t="shared" si="1"/>
        <v>12</v>
      </c>
    </row>
    <row r="23" spans="1:14">
      <c r="A23" s="562">
        <f t="shared" si="0"/>
        <v>13</v>
      </c>
      <c r="B23" s="59" t="s">
        <v>32</v>
      </c>
      <c r="C23" s="59"/>
      <c r="D23" s="59"/>
      <c r="E23" s="601">
        <f>E21+E14</f>
        <v>0</v>
      </c>
      <c r="F23" s="522"/>
      <c r="G23" s="21" t="str">
        <f>"Line "&amp;A14&amp;" + Line "&amp;A21</f>
        <v>Line 4 + Line 11</v>
      </c>
      <c r="H23" s="562">
        <f t="shared" si="1"/>
        <v>13</v>
      </c>
    </row>
    <row r="24" spans="1:14">
      <c r="A24" s="562">
        <f t="shared" si="0"/>
        <v>14</v>
      </c>
      <c r="B24" s="59"/>
      <c r="C24" s="59"/>
      <c r="D24" s="59"/>
      <c r="E24" s="602"/>
      <c r="F24" s="22"/>
      <c r="G24" s="21"/>
      <c r="H24" s="562">
        <f t="shared" si="1"/>
        <v>14</v>
      </c>
    </row>
    <row r="25" spans="1:14">
      <c r="A25" s="562">
        <f t="shared" si="0"/>
        <v>15</v>
      </c>
      <c r="B25" s="59" t="s">
        <v>33</v>
      </c>
      <c r="C25" s="604">
        <v>1.0207000000000001E-2</v>
      </c>
      <c r="D25" s="59"/>
      <c r="E25" s="1099">
        <f>E23*C25</f>
        <v>0</v>
      </c>
      <c r="F25" s="522"/>
      <c r="G25" s="21" t="str">
        <f>"Line "&amp;A23&amp;" x Franchise Fee Rate"</f>
        <v>Line 13 x Franchise Fee Rate</v>
      </c>
      <c r="H25" s="562">
        <f t="shared" si="1"/>
        <v>15</v>
      </c>
      <c r="J25"/>
      <c r="K25"/>
      <c r="L25"/>
      <c r="M25"/>
      <c r="N25"/>
    </row>
    <row r="26" spans="1:14">
      <c r="A26" s="562">
        <f t="shared" si="0"/>
        <v>16</v>
      </c>
      <c r="B26" s="59"/>
      <c r="C26" s="59"/>
      <c r="D26" s="59"/>
      <c r="E26" s="603"/>
      <c r="F26" s="23"/>
      <c r="G26" s="21"/>
      <c r="H26" s="562">
        <f t="shared" si="1"/>
        <v>16</v>
      </c>
    </row>
    <row r="27" spans="1:14" ht="16" thickBot="1">
      <c r="A27" s="562">
        <f t="shared" si="0"/>
        <v>17</v>
      </c>
      <c r="B27" s="44" t="s">
        <v>34</v>
      </c>
      <c r="C27" s="59"/>
      <c r="D27" s="59"/>
      <c r="E27" s="936">
        <f>E25+E23</f>
        <v>0</v>
      </c>
      <c r="F27" s="546"/>
      <c r="G27" s="21" t="str">
        <f>"Line "&amp;A23&amp;" + Line "&amp;A25</f>
        <v>Line 13 + Line 15</v>
      </c>
      <c r="H27" s="562">
        <f t="shared" si="1"/>
        <v>17</v>
      </c>
    </row>
    <row r="28" spans="1:14" ht="16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 xml:space="preserve">&amp;C&amp;"Times New Roman,Regular"&amp;10Section 1
Direct Maintenance
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/>
  </sheetViews>
  <sheetFormatPr defaultColWidth="9.08984375" defaultRowHeight="15.5"/>
  <cols>
    <col min="1" max="1" width="5.08984375" style="119" customWidth="1"/>
    <col min="2" max="2" width="11.08984375" style="119" customWidth="1"/>
    <col min="3" max="3" width="32.36328125" style="136" customWidth="1"/>
    <col min="4" max="10" width="18.54296875" style="189" customWidth="1"/>
    <col min="11" max="11" width="18.54296875" style="136" customWidth="1"/>
    <col min="12" max="12" width="24" style="136" customWidth="1"/>
    <col min="13" max="13" width="5.08984375" style="119" customWidth="1"/>
    <col min="14" max="14" width="11.6328125" style="136" bestFit="1" customWidth="1"/>
    <col min="15" max="15" width="13.08984375" style="136" customWidth="1"/>
    <col min="16" max="16384" width="9.08984375" style="136"/>
  </cols>
  <sheetData>
    <row r="1" spans="1:13">
      <c r="C1" s="119"/>
    </row>
    <row r="2" spans="1:13" s="110" customFormat="1" ht="15">
      <c r="A2" s="109"/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L2" s="1296"/>
      <c r="M2" s="109"/>
    </row>
    <row r="3" spans="1:13" s="110" customFormat="1" ht="15">
      <c r="A3" s="109"/>
      <c r="B3" s="1296" t="s">
        <v>247</v>
      </c>
      <c r="C3" s="1296"/>
      <c r="D3" s="1296"/>
      <c r="E3" s="1296"/>
      <c r="F3" s="1296"/>
      <c r="G3" s="1296"/>
      <c r="H3" s="1296"/>
      <c r="I3" s="1296"/>
      <c r="J3" s="1296"/>
      <c r="K3" s="1296"/>
      <c r="L3" s="1296"/>
      <c r="M3" s="109"/>
    </row>
    <row r="4" spans="1:13">
      <c r="B4" s="1296" t="s">
        <v>248</v>
      </c>
      <c r="C4" s="1296"/>
      <c r="D4" s="1296"/>
      <c r="E4" s="1296"/>
      <c r="F4" s="1296"/>
      <c r="G4" s="1296"/>
      <c r="H4" s="1296"/>
      <c r="I4" s="1296"/>
      <c r="J4" s="1296"/>
      <c r="K4" s="1296"/>
      <c r="L4" s="1296"/>
    </row>
    <row r="5" spans="1:13">
      <c r="B5" s="1300" t="str">
        <f>"BALANCES AS OF 12/31/"&amp;Automation!$B$3</f>
        <v>BALANCES AS OF 12/31/2023</v>
      </c>
      <c r="C5" s="1300"/>
      <c r="D5" s="1300"/>
      <c r="E5" s="1300"/>
      <c r="F5" s="1300"/>
      <c r="G5" s="1300"/>
      <c r="H5" s="1300"/>
      <c r="I5" s="1300"/>
      <c r="J5" s="1300"/>
      <c r="K5" s="1300"/>
      <c r="L5" s="1300"/>
    </row>
    <row r="6" spans="1:13">
      <c r="B6" s="1300" t="s">
        <v>3</v>
      </c>
      <c r="C6" s="1296"/>
      <c r="D6" s="1296"/>
      <c r="E6" s="1296"/>
      <c r="F6" s="1296"/>
      <c r="G6" s="1296"/>
      <c r="H6" s="1296"/>
      <c r="I6" s="1296"/>
      <c r="J6" s="1296"/>
      <c r="K6" s="1296"/>
      <c r="L6" s="1296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 ht="15">
      <c r="B8" s="859"/>
      <c r="C8" s="958"/>
      <c r="D8" s="959" t="s">
        <v>249</v>
      </c>
      <c r="E8" s="960" t="s">
        <v>250</v>
      </c>
      <c r="F8" s="960" t="s">
        <v>251</v>
      </c>
      <c r="G8" s="960" t="s">
        <v>252</v>
      </c>
      <c r="H8" s="960" t="s">
        <v>253</v>
      </c>
      <c r="I8" s="960" t="s">
        <v>254</v>
      </c>
      <c r="J8" s="960" t="s">
        <v>255</v>
      </c>
      <c r="K8" s="960" t="s">
        <v>256</v>
      </c>
      <c r="L8" s="859"/>
      <c r="M8" s="109" t="s">
        <v>186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186</v>
      </c>
    </row>
    <row r="10" spans="1:13">
      <c r="B10" s="170"/>
      <c r="C10" s="133"/>
      <c r="D10" s="167"/>
      <c r="E10" s="168" t="s">
        <v>257</v>
      </c>
      <c r="F10" s="168" t="s">
        <v>237</v>
      </c>
      <c r="G10" s="168" t="s">
        <v>241</v>
      </c>
      <c r="H10" s="168" t="s">
        <v>241</v>
      </c>
      <c r="I10" s="168" t="s">
        <v>241</v>
      </c>
      <c r="J10" s="168" t="s">
        <v>241</v>
      </c>
      <c r="K10" s="168" t="s">
        <v>241</v>
      </c>
      <c r="L10" s="158"/>
      <c r="M10" s="119" t="s">
        <v>186</v>
      </c>
    </row>
    <row r="11" spans="1:13">
      <c r="B11" s="171"/>
      <c r="C11" s="130"/>
      <c r="D11" s="172" t="s">
        <v>80</v>
      </c>
      <c r="E11" s="168" t="s">
        <v>258</v>
      </c>
      <c r="F11" s="168" t="s">
        <v>258</v>
      </c>
      <c r="G11" s="168" t="s">
        <v>258</v>
      </c>
      <c r="H11" s="168" t="s">
        <v>258</v>
      </c>
      <c r="I11" s="168" t="s">
        <v>258</v>
      </c>
      <c r="J11" s="168" t="s">
        <v>258</v>
      </c>
      <c r="K11" s="168" t="s">
        <v>238</v>
      </c>
      <c r="L11" s="116"/>
    </row>
    <row r="12" spans="1:13">
      <c r="A12" s="119" t="s">
        <v>4</v>
      </c>
      <c r="B12" s="171"/>
      <c r="C12" s="116"/>
      <c r="D12" s="172" t="s">
        <v>241</v>
      </c>
      <c r="E12" s="168" t="s">
        <v>259</v>
      </c>
      <c r="F12" s="173" t="s">
        <v>259</v>
      </c>
      <c r="G12" s="168" t="s">
        <v>259</v>
      </c>
      <c r="H12" s="168" t="s">
        <v>259</v>
      </c>
      <c r="I12" s="168" t="s">
        <v>259</v>
      </c>
      <c r="J12" s="168" t="s">
        <v>259</v>
      </c>
      <c r="K12" s="168" t="s">
        <v>260</v>
      </c>
      <c r="L12" s="116"/>
      <c r="M12" s="119" t="s">
        <v>4</v>
      </c>
    </row>
    <row r="13" spans="1:13">
      <c r="A13" s="119" t="s">
        <v>5</v>
      </c>
      <c r="B13" s="1015" t="s">
        <v>261</v>
      </c>
      <c r="C13" s="1015" t="s">
        <v>262</v>
      </c>
      <c r="D13" s="1129" t="s">
        <v>258</v>
      </c>
      <c r="E13" s="1130" t="s">
        <v>263</v>
      </c>
      <c r="F13" s="1130" t="s">
        <v>264</v>
      </c>
      <c r="G13" s="1130" t="s">
        <v>265</v>
      </c>
      <c r="H13" s="1130" t="s">
        <v>266</v>
      </c>
      <c r="I13" s="1130" t="s">
        <v>231</v>
      </c>
      <c r="J13" s="1131" t="s">
        <v>267</v>
      </c>
      <c r="K13" s="1015" t="s">
        <v>268</v>
      </c>
      <c r="L13" s="1015" t="s">
        <v>8</v>
      </c>
      <c r="M13" s="119" t="s">
        <v>5</v>
      </c>
    </row>
    <row r="14" spans="1:13">
      <c r="B14" s="158"/>
      <c r="C14" s="133" t="s">
        <v>269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270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216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271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216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272</v>
      </c>
      <c r="D17" s="178">
        <v>0</v>
      </c>
      <c r="E17" s="178">
        <v>4.5723099999999999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4.5723099999999999</v>
      </c>
      <c r="L17" s="158" t="s">
        <v>216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272</v>
      </c>
      <c r="D18" s="178">
        <v>0</v>
      </c>
      <c r="E18" s="178">
        <v>0</v>
      </c>
      <c r="F18" s="179">
        <v>3626.3653099999997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3626.3653099999997</v>
      </c>
      <c r="L18" s="158" t="s">
        <v>216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273</v>
      </c>
      <c r="D19" s="178">
        <v>0</v>
      </c>
      <c r="E19" s="178">
        <v>0</v>
      </c>
      <c r="F19" s="179">
        <v>1496.2538400000001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1496.2538400000001</v>
      </c>
      <c r="L19" s="158" t="s">
        <v>216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81" t="s">
        <v>274</v>
      </c>
      <c r="C21" s="1182" t="s">
        <v>275</v>
      </c>
      <c r="D21" s="1183">
        <f>SUM(D15:D20)</f>
        <v>0</v>
      </c>
      <c r="E21" s="1183">
        <f t="shared" ref="E21:I21" si="2">SUM(E15:E20)</f>
        <v>4.5723099999999999</v>
      </c>
      <c r="F21" s="1183">
        <f t="shared" si="2"/>
        <v>5122.6191499999995</v>
      </c>
      <c r="G21" s="1183">
        <f t="shared" si="2"/>
        <v>0</v>
      </c>
      <c r="H21" s="1183">
        <f t="shared" si="2"/>
        <v>0</v>
      </c>
      <c r="I21" s="1183">
        <f t="shared" si="2"/>
        <v>0</v>
      </c>
      <c r="J21" s="1183">
        <f>SUM(J15:J20)</f>
        <v>0</v>
      </c>
      <c r="K21" s="961">
        <f>SUM(K15:K20)</f>
        <v>5127.19146</v>
      </c>
      <c r="L21" s="1184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272</v>
      </c>
      <c r="D23" s="184">
        <v>259692.10494000005</v>
      </c>
      <c r="E23" s="176">
        <v>0</v>
      </c>
      <c r="F23" s="177"/>
      <c r="G23" s="176">
        <v>0</v>
      </c>
      <c r="H23" s="176">
        <v>0</v>
      </c>
      <c r="I23" s="176">
        <v>0</v>
      </c>
      <c r="J23" s="176">
        <v>-13557.506586751999</v>
      </c>
      <c r="K23" s="185">
        <f t="shared" ref="K23:K31" si="3">SUM(D23:J23)</f>
        <v>246134.59835324806</v>
      </c>
      <c r="L23" s="158" t="s">
        <v>216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273</v>
      </c>
      <c r="D24" s="186">
        <v>884871.03006999998</v>
      </c>
      <c r="E24" s="179">
        <v>0</v>
      </c>
      <c r="F24" s="179"/>
      <c r="G24" s="181">
        <v>-1928.2778199999998</v>
      </c>
      <c r="H24" s="179">
        <v>0</v>
      </c>
      <c r="I24" s="179">
        <v>0</v>
      </c>
      <c r="J24" s="182">
        <v>-121441.14931999987</v>
      </c>
      <c r="K24" s="187">
        <f t="shared" si="3"/>
        <v>761501.60293000017</v>
      </c>
      <c r="L24" s="158" t="s">
        <v>216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276</v>
      </c>
      <c r="D25" s="186">
        <v>2378839.4029300078</v>
      </c>
      <c r="E25" s="179">
        <v>0</v>
      </c>
      <c r="F25" s="179"/>
      <c r="G25" s="181">
        <v>-12009.877779999999</v>
      </c>
      <c r="H25" s="179">
        <v>-1420.3928800000001</v>
      </c>
      <c r="I25" s="179">
        <v>0</v>
      </c>
      <c r="J25" s="182">
        <v>-2429.9854400000017</v>
      </c>
      <c r="K25" s="187">
        <f t="shared" si="3"/>
        <v>2362979.1468300074</v>
      </c>
      <c r="L25" s="158" t="s">
        <v>216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277</v>
      </c>
      <c r="D26" s="186">
        <v>939903.55375999701</v>
      </c>
      <c r="E26" s="179">
        <v>0</v>
      </c>
      <c r="F26" s="179"/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939903.55375999701</v>
      </c>
      <c r="L26" s="158" t="s">
        <v>216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278</v>
      </c>
      <c r="D27" s="186">
        <v>1231461.317300003</v>
      </c>
      <c r="E27" s="179">
        <v>0</v>
      </c>
      <c r="F27" s="179"/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1231461.317300003</v>
      </c>
      <c r="L27" s="158" t="s">
        <v>216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279</v>
      </c>
      <c r="D28" s="186">
        <v>1006112.7117600004</v>
      </c>
      <c r="E28" s="179">
        <v>0</v>
      </c>
      <c r="F28" s="179"/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1006112.7117600004</v>
      </c>
      <c r="L28" s="158" t="s">
        <v>216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280</v>
      </c>
      <c r="D29" s="186">
        <v>670833.92142000003</v>
      </c>
      <c r="E29" s="179">
        <v>0</v>
      </c>
      <c r="F29" s="179"/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670833.92142000003</v>
      </c>
      <c r="L29" s="158" t="s">
        <v>216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281</v>
      </c>
      <c r="D30" s="186">
        <v>634322.36363000027</v>
      </c>
      <c r="E30" s="179">
        <v>0</v>
      </c>
      <c r="F30" s="179"/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632595.98366000026</v>
      </c>
      <c r="L30" s="158" t="s">
        <v>216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282</v>
      </c>
      <c r="D31" s="186">
        <v>375749.64848999982</v>
      </c>
      <c r="E31" s="179">
        <v>0</v>
      </c>
      <c r="F31" s="179"/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375749.64848999982</v>
      </c>
      <c r="L31" s="158" t="s">
        <v>216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3"/>
      <c r="G32" s="1033"/>
      <c r="H32" s="1033"/>
      <c r="I32" s="1033"/>
      <c r="J32" s="182"/>
      <c r="K32" s="1132"/>
      <c r="L32" s="175"/>
      <c r="M32" s="119">
        <f t="shared" si="1"/>
        <v>18</v>
      </c>
    </row>
    <row r="33" spans="1:13">
      <c r="A33" s="119">
        <f t="shared" si="0"/>
        <v>19</v>
      </c>
      <c r="B33" s="1185" t="s">
        <v>274</v>
      </c>
      <c r="C33" s="1182" t="s">
        <v>240</v>
      </c>
      <c r="D33" s="1183">
        <f>SUM(D23:D32)</f>
        <v>8381786.0543000074</v>
      </c>
      <c r="E33" s="1183">
        <f t="shared" ref="E33:I33" si="4">SUM(E23:E32)</f>
        <v>0</v>
      </c>
      <c r="F33" s="1183">
        <f t="shared" si="4"/>
        <v>0</v>
      </c>
      <c r="G33" s="1183">
        <f t="shared" si="4"/>
        <v>-15664.535569999998</v>
      </c>
      <c r="H33" s="1183">
        <f t="shared" si="4"/>
        <v>-1420.3928800000001</v>
      </c>
      <c r="I33" s="1183">
        <f t="shared" si="4"/>
        <v>0</v>
      </c>
      <c r="J33" s="1183">
        <f>SUM(J23:J32)</f>
        <v>-137428.64134675186</v>
      </c>
      <c r="K33" s="961">
        <f>SUM(K23:K32)</f>
        <v>8227272.4845032562</v>
      </c>
      <c r="L33" s="1186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62"/>
      <c r="M34" s="119">
        <f t="shared" si="1"/>
        <v>20</v>
      </c>
    </row>
    <row r="35" spans="1:13">
      <c r="A35" s="119">
        <f t="shared" si="0"/>
        <v>21</v>
      </c>
      <c r="B35" s="1187" t="s">
        <v>283</v>
      </c>
      <c r="C35" s="963"/>
      <c r="D35" s="1188">
        <f>D33+D21</f>
        <v>8381786.0543000074</v>
      </c>
      <c r="E35" s="1188">
        <f t="shared" ref="E35:I35" si="5">E33+E21</f>
        <v>4.5723099999999999</v>
      </c>
      <c r="F35" s="1188">
        <f t="shared" si="5"/>
        <v>5122.6191499999995</v>
      </c>
      <c r="G35" s="1188">
        <f>G33+G21</f>
        <v>-15664.535569999998</v>
      </c>
      <c r="H35" s="1188">
        <f>H33+H21</f>
        <v>-1420.3928800000001</v>
      </c>
      <c r="I35" s="1189">
        <f t="shared" si="5"/>
        <v>0</v>
      </c>
      <c r="J35" s="1188">
        <f>J33+J21</f>
        <v>-137428.64134675186</v>
      </c>
      <c r="K35" s="964">
        <f>K33+K21</f>
        <v>8232399.6759632565</v>
      </c>
      <c r="L35" s="1184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284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H39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4" customWidth="1"/>
    <col min="5" max="5" width="18.54296875" style="110" customWidth="1"/>
    <col min="6" max="6" width="58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8">
      <c r="B2" s="1296" t="s">
        <v>0</v>
      </c>
      <c r="C2" s="1296"/>
      <c r="D2" s="1296"/>
      <c r="E2" s="1296"/>
      <c r="F2" s="1296"/>
    </row>
    <row r="3" spans="1:8">
      <c r="B3" s="1296" t="s">
        <v>209</v>
      </c>
      <c r="C3" s="1296"/>
      <c r="D3" s="1296"/>
      <c r="E3" s="1296"/>
      <c r="F3" s="1296"/>
    </row>
    <row r="4" spans="1:8">
      <c r="B4" s="1296" t="s">
        <v>210</v>
      </c>
      <c r="C4" s="1296"/>
      <c r="D4" s="1296"/>
      <c r="E4" s="1296"/>
      <c r="F4" s="1296"/>
    </row>
    <row r="5" spans="1:8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  <c r="H5" s="126"/>
    </row>
    <row r="6" spans="1:8">
      <c r="B6" s="1300" t="s">
        <v>3</v>
      </c>
      <c r="C6" s="1300"/>
      <c r="D6" s="1300"/>
      <c r="E6" s="1300"/>
      <c r="F6" s="1300"/>
    </row>
    <row r="7" spans="1:8">
      <c r="B7" s="111"/>
      <c r="C7" s="112"/>
      <c r="D7" s="112"/>
      <c r="E7" s="111"/>
      <c r="F7" s="111"/>
    </row>
    <row r="8" spans="1:8" ht="15.5">
      <c r="B8" s="1296" t="s">
        <v>285</v>
      </c>
      <c r="C8" s="1301"/>
      <c r="D8" s="1301"/>
      <c r="E8" s="1301"/>
      <c r="F8" s="1301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286</v>
      </c>
      <c r="D11" s="116"/>
      <c r="E11" s="121" t="s">
        <v>286</v>
      </c>
      <c r="F11" s="116"/>
    </row>
    <row r="12" spans="1:8" ht="15.5">
      <c r="A12" s="119"/>
      <c r="B12" s="120"/>
      <c r="C12" s="109" t="s">
        <v>241</v>
      </c>
      <c r="D12" s="116"/>
      <c r="E12" s="121" t="s">
        <v>287</v>
      </c>
      <c r="F12" s="116"/>
      <c r="G12" s="119"/>
    </row>
    <row r="13" spans="1:8" ht="15.5">
      <c r="A13" s="119" t="s">
        <v>4</v>
      </c>
      <c r="B13" s="120"/>
      <c r="C13" s="109" t="s">
        <v>238</v>
      </c>
      <c r="D13" s="116"/>
      <c r="E13" s="121" t="s">
        <v>238</v>
      </c>
      <c r="F13" s="116"/>
      <c r="G13" s="119" t="s">
        <v>4</v>
      </c>
    </row>
    <row r="14" spans="1:8" ht="15.5">
      <c r="A14" s="119" t="s">
        <v>5</v>
      </c>
      <c r="B14" s="1015" t="s">
        <v>124</v>
      </c>
      <c r="C14" s="1112" t="s">
        <v>214</v>
      </c>
      <c r="D14" s="1015" t="s">
        <v>8</v>
      </c>
      <c r="E14" s="1113" t="s">
        <v>288</v>
      </c>
      <c r="F14" s="1015" t="s">
        <v>8</v>
      </c>
      <c r="G14" s="119" t="s">
        <v>5</v>
      </c>
    </row>
    <row r="15" spans="1:8" ht="15.5">
      <c r="A15" s="119">
        <v>1</v>
      </c>
      <c r="B15" s="122" t="str">
        <f>"Dec-"&amp;RIGHT(Automation!$B$3-1,2)</f>
        <v>Dec-22</v>
      </c>
      <c r="C15" s="141">
        <v>0</v>
      </c>
      <c r="D15" s="124" t="s">
        <v>216</v>
      </c>
      <c r="E15" s="860">
        <v>0</v>
      </c>
      <c r="F15" s="124" t="s">
        <v>216</v>
      </c>
      <c r="G15" s="119">
        <f>A15</f>
        <v>1</v>
      </c>
      <c r="H15" s="126"/>
    </row>
    <row r="16" spans="1:8" ht="15.5">
      <c r="A16" s="119">
        <f>A15+1</f>
        <v>2</v>
      </c>
      <c r="B16" s="122" t="str">
        <f>"Jan-"&amp;RIGHT(Automation!$B$3,2)</f>
        <v>Jan-23</v>
      </c>
      <c r="C16" s="142">
        <v>0</v>
      </c>
      <c r="D16" s="128"/>
      <c r="E16" s="861">
        <v>0</v>
      </c>
      <c r="F16" s="128"/>
      <c r="G16" s="119">
        <f>G15+1</f>
        <v>2</v>
      </c>
      <c r="H16" s="126"/>
    </row>
    <row r="17" spans="1:8" ht="15.5">
      <c r="A17" s="119">
        <f t="shared" ref="A17:A33" si="0">A16+1</f>
        <v>3</v>
      </c>
      <c r="B17" s="122" t="s">
        <v>217</v>
      </c>
      <c r="C17" s="142">
        <v>0</v>
      </c>
      <c r="D17" s="128"/>
      <c r="E17" s="861">
        <v>0</v>
      </c>
      <c r="F17" s="128"/>
      <c r="G17" s="119">
        <f t="shared" ref="G17:G33" si="1">G16+1</f>
        <v>3</v>
      </c>
      <c r="H17" s="140"/>
    </row>
    <row r="18" spans="1:8" ht="15.5">
      <c r="A18" s="119">
        <f t="shared" si="0"/>
        <v>4</v>
      </c>
      <c r="B18" s="122" t="s">
        <v>218</v>
      </c>
      <c r="C18" s="142">
        <v>0</v>
      </c>
      <c r="D18" s="128"/>
      <c r="E18" s="861">
        <v>0</v>
      </c>
      <c r="F18" s="128"/>
      <c r="G18" s="119">
        <f t="shared" si="1"/>
        <v>4</v>
      </c>
      <c r="H18" s="140"/>
    </row>
    <row r="19" spans="1:8" ht="15.5">
      <c r="A19" s="119">
        <f t="shared" si="0"/>
        <v>5</v>
      </c>
      <c r="B19" s="122" t="s">
        <v>219</v>
      </c>
      <c r="C19" s="142">
        <v>0</v>
      </c>
      <c r="D19" s="128"/>
      <c r="E19" s="861">
        <v>0</v>
      </c>
      <c r="F19" s="128"/>
      <c r="G19" s="119">
        <f t="shared" si="1"/>
        <v>5</v>
      </c>
      <c r="H19" s="140"/>
    </row>
    <row r="20" spans="1:8" ht="15.5">
      <c r="A20" s="119">
        <f t="shared" si="0"/>
        <v>6</v>
      </c>
      <c r="B20" s="122" t="s">
        <v>161</v>
      </c>
      <c r="C20" s="142">
        <v>0</v>
      </c>
      <c r="D20" s="128"/>
      <c r="E20" s="861">
        <v>0</v>
      </c>
      <c r="F20" s="128"/>
      <c r="G20" s="119">
        <f t="shared" si="1"/>
        <v>6</v>
      </c>
      <c r="H20" s="140"/>
    </row>
    <row r="21" spans="1:8" ht="15.5">
      <c r="A21" s="119">
        <f>A20+1</f>
        <v>7</v>
      </c>
      <c r="B21" s="122" t="s">
        <v>220</v>
      </c>
      <c r="C21" s="142">
        <v>0</v>
      </c>
      <c r="D21" s="128"/>
      <c r="E21" s="861">
        <v>0</v>
      </c>
      <c r="F21" s="128"/>
      <c r="G21" s="119">
        <f>G20+1</f>
        <v>7</v>
      </c>
      <c r="H21" s="140"/>
    </row>
    <row r="22" spans="1:8" ht="15.5">
      <c r="A22" s="119">
        <f t="shared" si="0"/>
        <v>8</v>
      </c>
      <c r="B22" s="122" t="s">
        <v>221</v>
      </c>
      <c r="C22" s="142">
        <v>0</v>
      </c>
      <c r="D22" s="128"/>
      <c r="E22" s="861">
        <v>0</v>
      </c>
      <c r="F22" s="128"/>
      <c r="G22" s="119">
        <f t="shared" si="1"/>
        <v>8</v>
      </c>
      <c r="H22" s="140"/>
    </row>
    <row r="23" spans="1:8" ht="15.5">
      <c r="A23" s="119">
        <f t="shared" si="0"/>
        <v>9</v>
      </c>
      <c r="B23" s="122" t="s">
        <v>222</v>
      </c>
      <c r="C23" s="142">
        <v>0</v>
      </c>
      <c r="D23" s="128"/>
      <c r="E23" s="861">
        <v>0</v>
      </c>
      <c r="F23" s="128"/>
      <c r="G23" s="119">
        <f t="shared" si="1"/>
        <v>9</v>
      </c>
      <c r="H23" s="140"/>
    </row>
    <row r="24" spans="1:8" ht="15.5">
      <c r="A24" s="119">
        <f t="shared" si="0"/>
        <v>10</v>
      </c>
      <c r="B24" s="122" t="s">
        <v>223</v>
      </c>
      <c r="C24" s="142">
        <v>0</v>
      </c>
      <c r="D24" s="128"/>
      <c r="E24" s="861">
        <v>0</v>
      </c>
      <c r="F24" s="128"/>
      <c r="G24" s="119">
        <f t="shared" si="1"/>
        <v>10</v>
      </c>
      <c r="H24" s="140"/>
    </row>
    <row r="25" spans="1:8" ht="15.5">
      <c r="A25" s="119">
        <f t="shared" si="0"/>
        <v>11</v>
      </c>
      <c r="B25" s="122" t="s">
        <v>224</v>
      </c>
      <c r="C25" s="142">
        <v>0</v>
      </c>
      <c r="D25" s="128"/>
      <c r="E25" s="861">
        <v>0</v>
      </c>
      <c r="F25" s="128"/>
      <c r="G25" s="119">
        <f t="shared" si="1"/>
        <v>11</v>
      </c>
      <c r="H25" s="140"/>
    </row>
    <row r="26" spans="1:8" ht="15.5">
      <c r="A26" s="119">
        <f t="shared" si="0"/>
        <v>12</v>
      </c>
      <c r="B26" s="122" t="s">
        <v>225</v>
      </c>
      <c r="C26" s="142">
        <v>0</v>
      </c>
      <c r="D26" s="128"/>
      <c r="E26" s="861">
        <v>0</v>
      </c>
      <c r="F26" s="128"/>
      <c r="G26" s="119">
        <f t="shared" si="1"/>
        <v>12</v>
      </c>
      <c r="H26" s="140"/>
    </row>
    <row r="27" spans="1:8" ht="15.5">
      <c r="A27" s="119">
        <f t="shared" si="0"/>
        <v>13</v>
      </c>
      <c r="B27" s="1032" t="str">
        <f>"Dec-"&amp;RIGHT(Automation!$B$3,2)</f>
        <v>Dec-23</v>
      </c>
      <c r="C27" s="1118">
        <v>0</v>
      </c>
      <c r="D27" s="1117" t="s">
        <v>216</v>
      </c>
      <c r="E27" s="1133">
        <v>0</v>
      </c>
      <c r="F27" s="1117" t="s">
        <v>216</v>
      </c>
      <c r="G27" s="119">
        <f t="shared" si="1"/>
        <v>13</v>
      </c>
      <c r="H27" s="126"/>
    </row>
    <row r="28" spans="1:8" ht="15.5">
      <c r="A28" s="119">
        <f t="shared" si="0"/>
        <v>14</v>
      </c>
      <c r="B28" s="130"/>
      <c r="C28" s="862"/>
      <c r="D28" s="148"/>
      <c r="E28" s="143"/>
      <c r="F28" s="863"/>
      <c r="G28" s="119">
        <f t="shared" si="1"/>
        <v>14</v>
      </c>
      <c r="H28" s="140"/>
    </row>
    <row r="29" spans="1:8" ht="15.5">
      <c r="A29" s="119">
        <f t="shared" si="0"/>
        <v>15</v>
      </c>
      <c r="B29" s="130" t="s">
        <v>226</v>
      </c>
      <c r="C29" s="144">
        <f>SUM(C15:C27)</f>
        <v>0</v>
      </c>
      <c r="D29" s="336" t="str">
        <f>"Sum Lines "&amp;A15&amp;" thru "&amp;A27</f>
        <v>Sum Lines 1 thru 13</v>
      </c>
      <c r="E29" s="144">
        <f>SUM(E15:E27)</f>
        <v>0</v>
      </c>
      <c r="F29" s="520" t="str">
        <f>"Sum Lines "&amp;A15&amp;" thru "&amp;A27</f>
        <v>Sum Lines 1 thru 13</v>
      </c>
      <c r="G29" s="119">
        <f t="shared" si="1"/>
        <v>15</v>
      </c>
      <c r="H29" s="140"/>
    </row>
    <row r="30" spans="1:8" ht="15.5">
      <c r="A30" s="119">
        <f t="shared" si="0"/>
        <v>16</v>
      </c>
      <c r="B30" s="1016"/>
      <c r="C30" s="1119"/>
      <c r="D30" s="1120"/>
      <c r="E30" s="1119"/>
      <c r="F30" s="1134"/>
      <c r="G30" s="119">
        <f t="shared" si="1"/>
        <v>16</v>
      </c>
      <c r="H30" s="140"/>
    </row>
    <row r="31" spans="1:8" ht="15.5">
      <c r="A31" s="119">
        <f t="shared" si="0"/>
        <v>17</v>
      </c>
      <c r="B31" s="130"/>
      <c r="C31" s="143"/>
      <c r="D31" s="149"/>
      <c r="E31" s="143"/>
      <c r="F31" s="864"/>
      <c r="G31" s="119">
        <f t="shared" si="1"/>
        <v>17</v>
      </c>
      <c r="H31" s="140"/>
    </row>
    <row r="32" spans="1:8" ht="15.5">
      <c r="A32" s="119">
        <f t="shared" si="0"/>
        <v>18</v>
      </c>
      <c r="B32" s="130" t="s">
        <v>227</v>
      </c>
      <c r="C32" s="151">
        <f>C29/13</f>
        <v>0</v>
      </c>
      <c r="D32" s="336" t="str">
        <f>"Average of Lines "&amp;A15&amp;" thru "&amp;A27</f>
        <v>Average of Lines 1 thru 13</v>
      </c>
      <c r="E32" s="151">
        <f>E29/13</f>
        <v>0</v>
      </c>
      <c r="F32" s="520" t="str">
        <f>"Average of Lines "&amp;A15&amp;" thru "&amp;A27</f>
        <v>Average of Lines 1 thru 13</v>
      </c>
      <c r="G32" s="119">
        <f t="shared" si="1"/>
        <v>18</v>
      </c>
      <c r="H32" s="140"/>
    </row>
    <row r="33" spans="1:8" ht="15.5">
      <c r="A33" s="119">
        <f t="shared" si="0"/>
        <v>19</v>
      </c>
      <c r="B33" s="1016"/>
      <c r="C33" s="1119"/>
      <c r="D33" s="1120"/>
      <c r="E33" s="1119"/>
      <c r="F33" s="1134"/>
      <c r="G33" s="119">
        <f t="shared" si="1"/>
        <v>19</v>
      </c>
      <c r="H33" s="140"/>
    </row>
    <row r="34" spans="1:8" ht="15.5">
      <c r="B34" s="136"/>
      <c r="C34" s="145"/>
      <c r="D34" s="145"/>
      <c r="E34" s="145"/>
      <c r="F34" s="146"/>
      <c r="G34" s="865"/>
      <c r="H34" s="140"/>
    </row>
    <row r="35" spans="1:8" ht="15.5">
      <c r="B35" s="161"/>
      <c r="C35" s="146"/>
      <c r="D35" s="146"/>
      <c r="E35" s="146"/>
      <c r="F35" s="146"/>
      <c r="G35" s="575"/>
      <c r="H35" s="140"/>
    </row>
    <row r="36" spans="1:8" ht="15.5">
      <c r="B36" s="136"/>
      <c r="C36" s="146"/>
      <c r="D36" s="146"/>
      <c r="E36" s="146"/>
      <c r="F36" s="146"/>
      <c r="G36" s="575"/>
      <c r="H36" s="140"/>
    </row>
    <row r="37" spans="1:8" ht="15.5">
      <c r="B37" s="136"/>
      <c r="C37" s="146"/>
      <c r="D37" s="146"/>
      <c r="E37" s="146"/>
      <c r="F37" s="146"/>
      <c r="G37" s="575"/>
      <c r="H37" s="140"/>
    </row>
    <row r="38" spans="1:8" ht="15.5">
      <c r="B38" s="136"/>
      <c r="C38" s="146"/>
      <c r="D38" s="146"/>
      <c r="E38" s="146"/>
      <c r="F38" s="146"/>
      <c r="G38" s="575"/>
      <c r="H38" s="140"/>
    </row>
    <row r="39" spans="1:8">
      <c r="C39" s="147"/>
      <c r="D39" s="147"/>
      <c r="E39" s="140"/>
      <c r="F39" s="140"/>
      <c r="G39" s="575"/>
      <c r="H39" s="14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F41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0" customWidth="1"/>
    <col min="4" max="4" width="62.54296875" style="110" customWidth="1"/>
    <col min="5" max="5" width="5.08984375" style="109" customWidth="1"/>
    <col min="6" max="6" width="11" style="110" customWidth="1"/>
    <col min="7" max="7" width="7.08984375" style="110" customWidth="1"/>
    <col min="8" max="8" width="9.08984375" style="110" customWidth="1"/>
    <col min="9" max="9" width="14" style="110" customWidth="1"/>
    <col min="10" max="10" width="13.36328125" style="110" customWidth="1"/>
    <col min="11" max="16384" width="9.08984375" style="110"/>
  </cols>
  <sheetData>
    <row r="1" spans="1:6">
      <c r="A1" s="1274"/>
    </row>
    <row r="2" spans="1:6">
      <c r="B2" s="1296" t="s">
        <v>0</v>
      </c>
      <c r="C2" s="1296"/>
      <c r="D2" s="1296"/>
    </row>
    <row r="3" spans="1:6">
      <c r="B3" s="1296" t="s">
        <v>209</v>
      </c>
      <c r="C3" s="1296"/>
      <c r="D3" s="1296"/>
    </row>
    <row r="4" spans="1:6">
      <c r="B4" s="1296" t="s">
        <v>210</v>
      </c>
      <c r="C4" s="1296"/>
      <c r="D4" s="1296"/>
    </row>
    <row r="5" spans="1:6">
      <c r="B5" s="1296" t="str">
        <f>"BASE PERIOD / TRUE UP PERIOD - 12/31/"&amp;Automation!$B$3&amp;" PER BOOK"</f>
        <v>BASE PERIOD / TRUE UP PERIOD - 12/31/2023 PER BOOK</v>
      </c>
      <c r="C5" s="1296"/>
      <c r="D5" s="1296"/>
    </row>
    <row r="6" spans="1:6">
      <c r="B6" s="1300" t="s">
        <v>3</v>
      </c>
      <c r="C6" s="1300"/>
      <c r="D6" s="1300"/>
    </row>
    <row r="7" spans="1:6">
      <c r="B7" s="111"/>
      <c r="C7" s="111"/>
      <c r="D7" s="111"/>
    </row>
    <row r="8" spans="1:6">
      <c r="B8" s="1296" t="s">
        <v>289</v>
      </c>
      <c r="C8" s="1296"/>
      <c r="D8" s="1296"/>
    </row>
    <row r="10" spans="1:6" ht="15.5">
      <c r="B10" s="528"/>
      <c r="C10" s="965" t="s">
        <v>290</v>
      </c>
      <c r="D10" s="966"/>
      <c r="E10" s="119"/>
    </row>
    <row r="11" spans="1:6" ht="15.5">
      <c r="A11" s="119" t="s">
        <v>4</v>
      </c>
      <c r="B11" s="171"/>
      <c r="C11" s="116" t="s">
        <v>291</v>
      </c>
      <c r="D11" s="194"/>
      <c r="E11" s="119" t="s">
        <v>4</v>
      </c>
    </row>
    <row r="12" spans="1:6" ht="15.5">
      <c r="A12" s="119" t="s">
        <v>5</v>
      </c>
      <c r="B12" s="1018" t="s">
        <v>124</v>
      </c>
      <c r="C12" s="1015" t="s">
        <v>176</v>
      </c>
      <c r="D12" s="1113" t="s">
        <v>8</v>
      </c>
      <c r="E12" s="119" t="s">
        <v>5</v>
      </c>
    </row>
    <row r="13" spans="1:6" ht="15.5">
      <c r="A13" s="119"/>
      <c r="B13" s="195"/>
      <c r="C13" s="196"/>
      <c r="D13" s="197"/>
      <c r="E13" s="119"/>
    </row>
    <row r="14" spans="1:6" ht="15.5">
      <c r="A14" s="119">
        <v>1</v>
      </c>
      <c r="B14" s="198" t="str">
        <f>"Dec-"&amp;RIGHT(Automation!$B$3-1,2)</f>
        <v>Dec-22</v>
      </c>
      <c r="C14" s="199">
        <v>112870.21667000001</v>
      </c>
      <c r="D14" s="1238" t="s">
        <v>927</v>
      </c>
      <c r="E14" s="119">
        <f>A14</f>
        <v>1</v>
      </c>
      <c r="F14" s="126"/>
    </row>
    <row r="15" spans="1:6" ht="15.5">
      <c r="A15" s="119">
        <f>A14+1</f>
        <v>2</v>
      </c>
      <c r="B15" s="200"/>
      <c r="C15" s="160"/>
      <c r="D15" s="1239"/>
      <c r="E15" s="119">
        <f>E14+1</f>
        <v>2</v>
      </c>
    </row>
    <row r="16" spans="1:6" ht="15.5">
      <c r="A16" s="119">
        <f t="shared" ref="A16:A20" si="0">A15+1</f>
        <v>3</v>
      </c>
      <c r="B16" s="198" t="str">
        <f>"Dec-"&amp;RIGHT(Automation!$B$3,2)</f>
        <v>Dec-23</v>
      </c>
      <c r="C16" s="181">
        <v>125194.79648999999</v>
      </c>
      <c r="D16" s="1238" t="s">
        <v>928</v>
      </c>
      <c r="E16" s="119">
        <f t="shared" ref="E16:E20" si="1">E15+1</f>
        <v>3</v>
      </c>
      <c r="F16" s="126"/>
    </row>
    <row r="17" spans="1:5" ht="15.5">
      <c r="A17" s="119">
        <f t="shared" si="0"/>
        <v>4</v>
      </c>
      <c r="B17" s="201"/>
      <c r="C17" s="1125"/>
      <c r="D17" s="1135"/>
      <c r="E17" s="119">
        <f t="shared" si="1"/>
        <v>4</v>
      </c>
    </row>
    <row r="18" spans="1:5" ht="15.5">
      <c r="A18" s="119">
        <f t="shared" si="0"/>
        <v>5</v>
      </c>
      <c r="B18" s="528"/>
      <c r="C18" s="196"/>
      <c r="D18" s="197"/>
      <c r="E18" s="119">
        <f t="shared" si="1"/>
        <v>5</v>
      </c>
    </row>
    <row r="19" spans="1:5" ht="15.5">
      <c r="A19" s="119">
        <f t="shared" si="0"/>
        <v>6</v>
      </c>
      <c r="B19" s="201" t="s">
        <v>239</v>
      </c>
      <c r="C19" s="202">
        <f>(C14+C16)/2</f>
        <v>119032.50658</v>
      </c>
      <c r="D19" s="203" t="str">
        <f>"Average of Line "&amp;A14&amp;" and Line "&amp;A16</f>
        <v>Average of Line 1 and Line 3</v>
      </c>
      <c r="E19" s="119">
        <f t="shared" si="1"/>
        <v>6</v>
      </c>
    </row>
    <row r="20" spans="1:5" ht="15.5">
      <c r="A20" s="119">
        <f t="shared" si="0"/>
        <v>7</v>
      </c>
      <c r="B20" s="1136"/>
      <c r="C20" s="1041"/>
      <c r="D20" s="1119"/>
      <c r="E20" s="119">
        <f t="shared" si="1"/>
        <v>7</v>
      </c>
    </row>
    <row r="21" spans="1:5" ht="15.5">
      <c r="A21" s="119"/>
      <c r="B21" s="136"/>
      <c r="C21" s="204"/>
      <c r="D21" s="136"/>
      <c r="E21" s="119"/>
    </row>
    <row r="22" spans="1:5" ht="15.5">
      <c r="B22" s="136"/>
      <c r="C22" s="136"/>
      <c r="D22" s="136"/>
      <c r="E22" s="119"/>
    </row>
    <row r="23" spans="1:5" ht="15.5">
      <c r="B23" s="136"/>
      <c r="C23" s="136"/>
      <c r="D23" s="136"/>
    </row>
    <row r="24" spans="1:5" ht="15.5">
      <c r="B24" s="136"/>
      <c r="C24" s="136"/>
      <c r="D24" s="136"/>
    </row>
    <row r="25" spans="1:5" ht="15.5">
      <c r="B25" s="136"/>
      <c r="C25" s="136"/>
      <c r="D25" s="136"/>
    </row>
    <row r="26" spans="1:5" ht="15.5">
      <c r="B26" s="136"/>
      <c r="C26" s="136"/>
      <c r="D26" s="136"/>
    </row>
    <row r="27" spans="1:5" ht="15.5">
      <c r="B27" s="136"/>
      <c r="C27" s="136"/>
      <c r="D27" s="136"/>
    </row>
    <row r="28" spans="1:5" ht="15.5">
      <c r="B28" s="136"/>
      <c r="C28" s="136"/>
      <c r="D28" s="136"/>
    </row>
    <row r="29" spans="1:5" ht="15.5">
      <c r="B29" s="136"/>
      <c r="C29" s="136"/>
      <c r="D29" s="136"/>
    </row>
    <row r="30" spans="1:5" ht="15.5">
      <c r="B30" s="136"/>
      <c r="C30" s="136"/>
      <c r="D30" s="136"/>
    </row>
    <row r="31" spans="1:5" ht="15.5">
      <c r="B31" s="136"/>
      <c r="C31" s="136"/>
      <c r="D31" s="136"/>
    </row>
    <row r="32" spans="1:5" ht="15.5">
      <c r="B32" s="136"/>
      <c r="C32" s="136"/>
      <c r="D32" s="136"/>
    </row>
    <row r="33" spans="1:5" ht="15.5">
      <c r="B33" s="136"/>
      <c r="C33" s="136"/>
      <c r="D33" s="136"/>
    </row>
    <row r="34" spans="1:5" ht="15.5">
      <c r="B34" s="136"/>
      <c r="C34" s="136"/>
      <c r="D34" s="136"/>
    </row>
    <row r="35" spans="1:5" s="136" customFormat="1" ht="15.5">
      <c r="A35" s="119"/>
      <c r="E35" s="119"/>
    </row>
    <row r="36" spans="1:5" s="136" customFormat="1" ht="15.5">
      <c r="A36" s="119"/>
      <c r="E36" s="119"/>
    </row>
    <row r="37" spans="1:5" s="136" customFormat="1" ht="15.5">
      <c r="A37" s="119"/>
      <c r="E37" s="119"/>
    </row>
    <row r="38" spans="1:5" s="136" customFormat="1" ht="15.5">
      <c r="A38" s="119"/>
      <c r="E38" s="119"/>
    </row>
    <row r="39" spans="1:5" s="136" customFormat="1" ht="15.5">
      <c r="A39" s="119"/>
      <c r="E39" s="119"/>
    </row>
    <row r="40" spans="1:5" s="136" customFormat="1" ht="15.5">
      <c r="A40" s="119"/>
      <c r="E40" s="119"/>
    </row>
    <row r="41" spans="1:5" s="136" customFormat="1" ht="15.5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H40"/>
  <sheetViews>
    <sheetView zoomScale="80" zoomScaleNormal="80" workbookViewId="0"/>
  </sheetViews>
  <sheetFormatPr defaultColWidth="9.08984375" defaultRowHeight="15"/>
  <cols>
    <col min="1" max="1" width="4.6328125" style="109" bestFit="1" customWidth="1"/>
    <col min="2" max="2" width="57.54296875" style="110" customWidth="1"/>
    <col min="3" max="3" width="24.54296875" style="110" customWidth="1"/>
    <col min="4" max="4" width="55" style="110" customWidth="1"/>
    <col min="5" max="5" width="4.6328125" style="109" bestFit="1" customWidth="1"/>
    <col min="6" max="6" width="9.6328125" style="110" bestFit="1" customWidth="1"/>
    <col min="7" max="7" width="10.54296875" style="110" bestFit="1" customWidth="1"/>
    <col min="8" max="8" width="17.36328125" style="110" customWidth="1"/>
    <col min="9" max="9" width="14" style="110" customWidth="1"/>
    <col min="10" max="10" width="13.36328125" style="110" customWidth="1"/>
    <col min="11" max="16384" width="9.08984375" style="110"/>
  </cols>
  <sheetData>
    <row r="2" spans="1:7">
      <c r="B2" s="1296" t="s">
        <v>0</v>
      </c>
      <c r="C2" s="1296"/>
      <c r="D2" s="1296"/>
    </row>
    <row r="3" spans="1:7">
      <c r="B3" s="1296" t="s">
        <v>209</v>
      </c>
      <c r="C3" s="1296"/>
      <c r="D3" s="1296"/>
    </row>
    <row r="4" spans="1:7">
      <c r="B4" s="1296" t="s">
        <v>210</v>
      </c>
      <c r="C4" s="1296"/>
      <c r="D4" s="1296"/>
    </row>
    <row r="5" spans="1:7">
      <c r="B5" s="1296" t="str">
        <f>"BASE PERIOD / TRUE UP PERIOD - 12/31/"&amp;Automation!$B$3&amp;" PER BOOK"</f>
        <v>BASE PERIOD / TRUE UP PERIOD - 12/31/2023 PER BOOK</v>
      </c>
      <c r="C5" s="1296"/>
      <c r="D5" s="1296"/>
    </row>
    <row r="6" spans="1:7">
      <c r="B6" s="1300" t="s">
        <v>3</v>
      </c>
      <c r="C6" s="1300"/>
      <c r="D6" s="1300"/>
    </row>
    <row r="7" spans="1:7">
      <c r="B7" s="111"/>
      <c r="C7" s="111"/>
      <c r="D7" s="111"/>
    </row>
    <row r="8" spans="1:7" ht="15.5">
      <c r="B8" s="1296" t="s">
        <v>292</v>
      </c>
      <c r="C8" s="1296"/>
      <c r="D8" s="1296"/>
      <c r="E8" s="119"/>
    </row>
    <row r="9" spans="1:7" ht="15.5">
      <c r="A9" s="119"/>
      <c r="E9" s="119"/>
    </row>
    <row r="10" spans="1:7" ht="15.5">
      <c r="A10" s="119"/>
      <c r="B10" s="528"/>
      <c r="C10" s="965" t="s">
        <v>290</v>
      </c>
      <c r="D10" s="967"/>
      <c r="E10" s="119"/>
    </row>
    <row r="11" spans="1:7" ht="15.5">
      <c r="A11" s="119" t="s">
        <v>4</v>
      </c>
      <c r="B11" s="171"/>
      <c r="C11" s="116" t="s">
        <v>293</v>
      </c>
      <c r="D11" s="118"/>
      <c r="E11" s="119" t="s">
        <v>4</v>
      </c>
    </row>
    <row r="12" spans="1:7" ht="15.5">
      <c r="A12" s="119" t="s">
        <v>5</v>
      </c>
      <c r="B12" s="1018" t="s">
        <v>124</v>
      </c>
      <c r="C12" s="1015" t="s">
        <v>176</v>
      </c>
      <c r="D12" s="1015" t="s">
        <v>8</v>
      </c>
      <c r="E12" s="119" t="s">
        <v>5</v>
      </c>
    </row>
    <row r="13" spans="1:7" ht="15.5">
      <c r="A13" s="119"/>
      <c r="B13" s="195"/>
      <c r="C13" s="196"/>
      <c r="D13" s="205"/>
      <c r="E13" s="119"/>
    </row>
    <row r="14" spans="1:7" ht="15.5">
      <c r="A14" s="119">
        <v>1</v>
      </c>
      <c r="B14" s="198" t="str">
        <f>"Dec-"&amp;RIGHT(Automation!$B$3-1,2)</f>
        <v>Dec-22</v>
      </c>
      <c r="C14" s="199">
        <v>571823.00716999953</v>
      </c>
      <c r="D14" s="157" t="s">
        <v>927</v>
      </c>
      <c r="E14" s="119">
        <f>A14</f>
        <v>1</v>
      </c>
      <c r="F14" s="1204"/>
      <c r="G14" s="1205"/>
    </row>
    <row r="15" spans="1:7" ht="15.5">
      <c r="A15" s="119">
        <f>A14+1</f>
        <v>2</v>
      </c>
      <c r="B15" s="200"/>
      <c r="C15" s="160"/>
      <c r="D15" s="160"/>
      <c r="E15" s="119">
        <f>E14+1</f>
        <v>2</v>
      </c>
    </row>
    <row r="16" spans="1:7" ht="15.5">
      <c r="A16" s="119">
        <f t="shared" ref="A16:A20" si="0">A15+1</f>
        <v>3</v>
      </c>
      <c r="B16" s="198" t="str">
        <f>"Dec-"&amp;RIGHT(Automation!$B$3,2)</f>
        <v>Dec-23</v>
      </c>
      <c r="C16" s="181">
        <v>614792.31672999891</v>
      </c>
      <c r="D16" s="157" t="s">
        <v>928</v>
      </c>
      <c r="E16" s="119">
        <f t="shared" ref="E16:E20" si="1">E15+1</f>
        <v>3</v>
      </c>
      <c r="F16" s="126"/>
    </row>
    <row r="17" spans="1:8" ht="15.5">
      <c r="A17" s="119">
        <f t="shared" si="0"/>
        <v>4</v>
      </c>
      <c r="B17" s="201"/>
      <c r="C17" s="1125"/>
      <c r="D17" s="1125"/>
      <c r="E17" s="119">
        <f t="shared" si="1"/>
        <v>4</v>
      </c>
    </row>
    <row r="18" spans="1:8" ht="15.5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8" ht="15.5">
      <c r="A19" s="119">
        <f t="shared" si="0"/>
        <v>6</v>
      </c>
      <c r="B19" s="201" t="s">
        <v>239</v>
      </c>
      <c r="C19" s="206">
        <f>(C14+C16)/2</f>
        <v>593307.66194999916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8" ht="15.5">
      <c r="A20" s="119">
        <f t="shared" si="0"/>
        <v>7</v>
      </c>
      <c r="B20" s="1136"/>
      <c r="C20" s="1137"/>
      <c r="D20" s="1017"/>
      <c r="E20" s="119">
        <f t="shared" si="1"/>
        <v>7</v>
      </c>
    </row>
    <row r="21" spans="1:8" ht="15.5">
      <c r="A21" s="119"/>
      <c r="B21" s="136"/>
      <c r="C21" s="204"/>
      <c r="D21" s="136"/>
      <c r="E21" s="119"/>
    </row>
    <row r="22" spans="1:8" ht="15.5">
      <c r="B22" s="136"/>
      <c r="C22" s="136"/>
      <c r="D22" s="136"/>
    </row>
    <row r="23" spans="1:8" ht="18">
      <c r="A23" s="135"/>
      <c r="B23" s="136"/>
      <c r="C23" s="136"/>
      <c r="D23" s="136"/>
    </row>
    <row r="24" spans="1:8" ht="15.5">
      <c r="B24" s="136"/>
      <c r="C24" s="136"/>
      <c r="D24" s="136"/>
    </row>
    <row r="25" spans="1:8" ht="15.5">
      <c r="B25" s="136"/>
      <c r="C25" s="136"/>
      <c r="D25" s="136"/>
      <c r="H25" s="193"/>
    </row>
    <row r="26" spans="1:8" ht="15.5">
      <c r="B26" s="136"/>
      <c r="D26" s="136"/>
    </row>
    <row r="27" spans="1:8" ht="15.5">
      <c r="B27" s="136"/>
      <c r="C27" s="136"/>
      <c r="D27" s="136"/>
    </row>
    <row r="28" spans="1:8" ht="15.5">
      <c r="B28" s="136"/>
      <c r="C28" s="136"/>
      <c r="D28" s="136"/>
    </row>
    <row r="29" spans="1:8" ht="15.5">
      <c r="B29" s="136"/>
      <c r="C29" s="136"/>
      <c r="D29" s="136"/>
    </row>
    <row r="30" spans="1:8" ht="15.5">
      <c r="B30" s="136"/>
      <c r="C30" s="136"/>
      <c r="D30" s="136"/>
    </row>
    <row r="31" spans="1:8" ht="15.5">
      <c r="B31" s="136"/>
      <c r="C31" s="136"/>
      <c r="D31" s="136"/>
    </row>
    <row r="32" spans="1:8" ht="15.5">
      <c r="B32" s="136"/>
      <c r="C32" s="136"/>
      <c r="D32" s="136"/>
    </row>
    <row r="33" spans="1:5" ht="15.5">
      <c r="B33" s="136"/>
      <c r="C33" s="136"/>
      <c r="D33" s="136"/>
    </row>
    <row r="34" spans="1:5" s="136" customFormat="1" ht="15.5">
      <c r="A34" s="119"/>
      <c r="E34" s="119"/>
    </row>
    <row r="35" spans="1:5" s="136" customFormat="1" ht="15.5">
      <c r="A35" s="119"/>
      <c r="E35" s="119"/>
    </row>
    <row r="36" spans="1:5" s="136" customFormat="1" ht="15.5">
      <c r="A36" s="119"/>
      <c r="E36" s="119"/>
    </row>
    <row r="37" spans="1:5" s="136" customFormat="1" ht="15.5">
      <c r="A37" s="119"/>
      <c r="E37" s="119"/>
    </row>
    <row r="38" spans="1:5" s="136" customFormat="1" ht="15.5">
      <c r="A38" s="119"/>
      <c r="E38" s="119"/>
    </row>
    <row r="39" spans="1:5" s="136" customFormat="1" ht="15.5">
      <c r="A39" s="119"/>
      <c r="E39" s="119"/>
    </row>
    <row r="40" spans="1:5" s="136" customFormat="1" ht="15.5">
      <c r="A40" s="119"/>
      <c r="E40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8.54296875" style="110" customWidth="1"/>
    <col min="3" max="3" width="41.08984375" style="110" customWidth="1"/>
    <col min="4" max="4" width="18.54296875" style="110" customWidth="1"/>
    <col min="5" max="5" width="62.54296875" style="110" customWidth="1"/>
    <col min="6" max="6" width="5.08984375" style="109" customWidth="1"/>
    <col min="7" max="7" width="24" style="110" customWidth="1"/>
    <col min="8" max="8" width="11" style="110" customWidth="1"/>
    <col min="9" max="9" width="7.08984375" style="110" customWidth="1"/>
    <col min="10" max="10" width="9.08984375" style="110" customWidth="1"/>
    <col min="11" max="11" width="14" style="110" customWidth="1"/>
    <col min="12" max="12" width="15.08984375" style="110" bestFit="1" customWidth="1"/>
    <col min="13" max="16384" width="9.08984375" style="110"/>
  </cols>
  <sheetData>
    <row r="2" spans="1:7">
      <c r="B2" s="1296" t="s">
        <v>0</v>
      </c>
      <c r="C2" s="1296"/>
      <c r="D2" s="1296"/>
      <c r="E2" s="1296"/>
    </row>
    <row r="3" spans="1:7">
      <c r="B3" s="1296" t="s">
        <v>209</v>
      </c>
      <c r="C3" s="1296"/>
      <c r="D3" s="1296"/>
      <c r="E3" s="1296"/>
    </row>
    <row r="4" spans="1:7">
      <c r="B4" s="1296" t="s">
        <v>210</v>
      </c>
      <c r="C4" s="1296"/>
      <c r="D4" s="1296"/>
      <c r="E4" s="1296"/>
    </row>
    <row r="5" spans="1:7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G5"/>
    </row>
    <row r="6" spans="1:7">
      <c r="B6" s="1300" t="s">
        <v>3</v>
      </c>
      <c r="C6" s="1300"/>
      <c r="D6" s="1300"/>
      <c r="E6" s="1300"/>
    </row>
    <row r="7" spans="1:7">
      <c r="B7" s="111"/>
      <c r="C7" s="111"/>
      <c r="D7" s="111"/>
      <c r="E7" s="111"/>
    </row>
    <row r="8" spans="1:7" ht="15.5">
      <c r="B8" s="1296" t="s">
        <v>294</v>
      </c>
      <c r="C8" s="1296"/>
      <c r="D8" s="1296"/>
      <c r="E8" s="1296"/>
      <c r="F8" s="119"/>
    </row>
    <row r="9" spans="1:7" ht="15.5">
      <c r="A9" s="119"/>
      <c r="F9" s="119"/>
    </row>
    <row r="10" spans="1:7" ht="15.5">
      <c r="A10" s="119" t="s">
        <v>4</v>
      </c>
      <c r="B10" s="524"/>
      <c r="C10" s="524"/>
      <c r="D10" s="525"/>
      <c r="E10" s="965"/>
      <c r="F10" s="119" t="s">
        <v>4</v>
      </c>
    </row>
    <row r="11" spans="1:7" ht="15.5">
      <c r="A11" s="119" t="s">
        <v>5</v>
      </c>
      <c r="B11" s="1018" t="s">
        <v>124</v>
      </c>
      <c r="C11" s="1018" t="s">
        <v>262</v>
      </c>
      <c r="D11" s="1018" t="s">
        <v>7</v>
      </c>
      <c r="E11" s="1015" t="s">
        <v>8</v>
      </c>
      <c r="F11" s="119" t="s">
        <v>5</v>
      </c>
    </row>
    <row r="12" spans="1:7" ht="15.5">
      <c r="A12" s="119"/>
      <c r="B12" s="968"/>
      <c r="C12" s="968"/>
      <c r="D12" s="158"/>
      <c r="E12" s="969"/>
      <c r="F12" s="119"/>
    </row>
    <row r="13" spans="1:7" ht="15.5">
      <c r="A13" s="119">
        <v>1</v>
      </c>
      <c r="B13" s="198" t="str">
        <f>"Dec-"&amp;RIGHT(Automation!$B$3-1,2)</f>
        <v>Dec-22</v>
      </c>
      <c r="C13" s="198" t="s">
        <v>295</v>
      </c>
      <c r="D13" s="527">
        <v>2126037.125</v>
      </c>
      <c r="E13" s="527" t="s">
        <v>1006</v>
      </c>
      <c r="F13" s="119">
        <f>A13</f>
        <v>1</v>
      </c>
    </row>
    <row r="14" spans="1:7" ht="15.5">
      <c r="A14" s="119">
        <f>A13+1</f>
        <v>2</v>
      </c>
      <c r="B14" s="198"/>
      <c r="C14" s="198" t="s">
        <v>296</v>
      </c>
      <c r="D14" s="1019">
        <v>0.73170000000000002</v>
      </c>
      <c r="E14" s="539" t="s">
        <v>1008</v>
      </c>
      <c r="F14" s="119">
        <f>F13+1</f>
        <v>2</v>
      </c>
    </row>
    <row r="15" spans="1:7" ht="15.5">
      <c r="A15" s="119">
        <f t="shared" ref="A15:A23" si="0">A14+1</f>
        <v>3</v>
      </c>
      <c r="B15" s="198"/>
      <c r="C15" s="198" t="s">
        <v>297</v>
      </c>
      <c r="D15" s="527">
        <f>D13*D14</f>
        <v>1555621.3643625001</v>
      </c>
      <c r="E15" s="157" t="str">
        <f>"Line "&amp;A13&amp;" x Line "&amp;A14</f>
        <v>Line 1 x Line 2</v>
      </c>
      <c r="F15" s="119">
        <f t="shared" ref="F15:F23" si="1">F14+1</f>
        <v>3</v>
      </c>
    </row>
    <row r="16" spans="1:7" ht="15.5">
      <c r="A16" s="119">
        <f t="shared" si="0"/>
        <v>4</v>
      </c>
      <c r="B16" s="198"/>
      <c r="C16" s="198"/>
      <c r="D16" s="208"/>
      <c r="E16" s="157"/>
      <c r="F16" s="119">
        <f t="shared" si="1"/>
        <v>4</v>
      </c>
    </row>
    <row r="17" spans="1:12" ht="15.5">
      <c r="A17" s="119">
        <f t="shared" si="0"/>
        <v>5</v>
      </c>
      <c r="B17" s="198" t="str">
        <f>"Dec-"&amp;RIGHT(Automation!$B$3,2)</f>
        <v>Dec-23</v>
      </c>
      <c r="C17" s="198" t="s">
        <v>295</v>
      </c>
      <c r="D17" s="527">
        <v>2451965.4819999998</v>
      </c>
      <c r="E17" s="527" t="s">
        <v>1007</v>
      </c>
      <c r="F17" s="119">
        <f t="shared" si="1"/>
        <v>5</v>
      </c>
    </row>
    <row r="18" spans="1:12" ht="15.5">
      <c r="A18" s="119">
        <f t="shared" si="0"/>
        <v>6</v>
      </c>
      <c r="B18" s="198"/>
      <c r="C18" s="198" t="s">
        <v>296</v>
      </c>
      <c r="D18" s="1019">
        <v>0.73899999999999999</v>
      </c>
      <c r="E18" s="539" t="s">
        <v>1008</v>
      </c>
      <c r="F18" s="119">
        <f t="shared" si="1"/>
        <v>6</v>
      </c>
      <c r="G18" s="413"/>
      <c r="L18" s="226"/>
    </row>
    <row r="19" spans="1:12" ht="15.5">
      <c r="A19" s="119">
        <f t="shared" si="0"/>
        <v>7</v>
      </c>
      <c r="B19" s="198"/>
      <c r="C19" s="198" t="s">
        <v>297</v>
      </c>
      <c r="D19" s="527">
        <f>D17*D18</f>
        <v>1812002.4911979998</v>
      </c>
      <c r="E19" s="207" t="str">
        <f>"Line "&amp;A17&amp;" x Line "&amp;A18</f>
        <v>Line 5 x Line 6</v>
      </c>
      <c r="F19" s="119">
        <f t="shared" si="1"/>
        <v>7</v>
      </c>
      <c r="G19" s="418"/>
      <c r="L19" s="226"/>
    </row>
    <row r="20" spans="1:12" ht="15.5">
      <c r="A20" s="119">
        <f t="shared" si="0"/>
        <v>8</v>
      </c>
      <c r="B20" s="1020"/>
      <c r="C20" s="1018"/>
      <c r="D20" s="1138"/>
      <c r="E20" s="1021"/>
      <c r="F20" s="119">
        <f t="shared" si="1"/>
        <v>8</v>
      </c>
      <c r="G20" s="418"/>
      <c r="L20" s="226"/>
    </row>
    <row r="21" spans="1:12" ht="15.5">
      <c r="A21" s="119">
        <f t="shared" si="0"/>
        <v>9</v>
      </c>
      <c r="B21" s="528"/>
      <c r="D21" s="148"/>
      <c r="E21" s="130"/>
      <c r="F21" s="119">
        <f t="shared" si="1"/>
        <v>9</v>
      </c>
      <c r="G21" s="418"/>
    </row>
    <row r="22" spans="1:12" ht="15.5">
      <c r="A22" s="119">
        <f t="shared" si="0"/>
        <v>10</v>
      </c>
      <c r="B22" s="201" t="s">
        <v>239</v>
      </c>
      <c r="D22" s="202">
        <f>(D15+D19)/2</f>
        <v>1683811.9277802501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  <c r="L22" s="226"/>
    </row>
    <row r="23" spans="1:12" ht="15.5">
      <c r="A23" s="119">
        <f t="shared" si="0"/>
        <v>11</v>
      </c>
      <c r="B23" s="1136"/>
      <c r="C23" s="1139"/>
      <c r="D23" s="1041"/>
      <c r="E23" s="1125"/>
      <c r="F23" s="119">
        <f t="shared" si="1"/>
        <v>11</v>
      </c>
      <c r="G23" s="418"/>
    </row>
    <row r="24" spans="1:12" ht="15.5">
      <c r="A24" s="119"/>
      <c r="B24" s="136"/>
      <c r="C24" s="136"/>
      <c r="D24" s="136"/>
      <c r="E24" s="136"/>
      <c r="F24" s="119"/>
      <c r="G24" s="418"/>
    </row>
    <row r="25" spans="1:12" ht="15.5">
      <c r="A25" s="119"/>
      <c r="B25" s="136"/>
      <c r="C25" s="136"/>
      <c r="D25" s="136"/>
      <c r="E25" s="136"/>
      <c r="G25" s="418"/>
    </row>
    <row r="26" spans="1:12" ht="15.5">
      <c r="A26" s="119"/>
      <c r="B26" s="136"/>
      <c r="C26" s="136"/>
      <c r="D26" s="136"/>
      <c r="E26" s="136"/>
      <c r="G26" s="418"/>
    </row>
    <row r="27" spans="1:12">
      <c r="G27" s="418"/>
    </row>
    <row r="28" spans="1:12">
      <c r="G28" s="418"/>
    </row>
    <row r="29" spans="1:12">
      <c r="G29" s="418"/>
    </row>
    <row r="30" spans="1:12">
      <c r="G30" s="418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0"/>
  <sheetViews>
    <sheetView zoomScale="80" zoomScaleNormal="80" zoomScalePageLayoutView="80" workbookViewId="0"/>
  </sheetViews>
  <sheetFormatPr defaultColWidth="8.6328125" defaultRowHeight="15.5"/>
  <cols>
    <col min="1" max="1" width="5.08984375" style="119" bestFit="1" customWidth="1"/>
    <col min="2" max="2" width="67.54296875" style="136" customWidth="1"/>
    <col min="3" max="3" width="24" style="119" customWidth="1"/>
    <col min="4" max="4" width="1.54296875" style="136" customWidth="1"/>
    <col min="5" max="5" width="16.6328125" style="136" customWidth="1"/>
    <col min="6" max="6" width="1.54296875" style="136" customWidth="1"/>
    <col min="7" max="7" width="16.6328125" style="136" customWidth="1"/>
    <col min="8" max="8" width="1.54296875" style="136" customWidth="1"/>
    <col min="9" max="9" width="16.6328125" style="136" customWidth="1"/>
    <col min="10" max="10" width="1.54296875" style="136" customWidth="1"/>
    <col min="11" max="11" width="34.54296875" style="136" customWidth="1"/>
    <col min="12" max="12" width="5.08984375" style="136" bestFit="1" customWidth="1"/>
    <col min="13" max="13" width="8.6328125" style="136"/>
    <col min="14" max="14" width="33.36328125" style="136" customWidth="1"/>
    <col min="15" max="16384" width="8.6328125" style="136"/>
  </cols>
  <sheetData>
    <row r="1" spans="1:14">
      <c r="H1" s="119"/>
      <c r="I1" s="119"/>
      <c r="J1" s="119"/>
      <c r="K1" s="119"/>
      <c r="L1" s="119"/>
    </row>
    <row r="2" spans="1:14"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L2" s="119"/>
    </row>
    <row r="3" spans="1:14">
      <c r="B3" s="1296" t="s">
        <v>298</v>
      </c>
      <c r="C3" s="1296"/>
      <c r="D3" s="1296"/>
      <c r="E3" s="1296"/>
      <c r="F3" s="1296"/>
      <c r="G3" s="1296"/>
      <c r="H3" s="1296"/>
      <c r="I3" s="1296"/>
      <c r="J3" s="1296"/>
      <c r="K3" s="1296"/>
      <c r="L3" s="119"/>
    </row>
    <row r="4" spans="1:14">
      <c r="B4" s="1296" t="s">
        <v>299</v>
      </c>
      <c r="C4" s="1296"/>
      <c r="D4" s="1296"/>
      <c r="E4" s="1296"/>
      <c r="F4" s="1296"/>
      <c r="G4" s="1296"/>
      <c r="H4" s="1296"/>
      <c r="I4" s="1296"/>
      <c r="J4" s="1296"/>
      <c r="K4" s="1296"/>
      <c r="L4" s="119"/>
    </row>
    <row r="5" spans="1:14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  <c r="H5" s="1298"/>
      <c r="I5" s="1298"/>
      <c r="J5" s="1298"/>
      <c r="K5" s="1298"/>
      <c r="L5" s="119"/>
      <c r="N5" s="110"/>
    </row>
    <row r="6" spans="1:14">
      <c r="B6" s="1300" t="s">
        <v>3</v>
      </c>
      <c r="C6" s="1297"/>
      <c r="D6" s="1297"/>
      <c r="E6" s="1297"/>
      <c r="F6" s="1297"/>
      <c r="G6" s="1297"/>
      <c r="H6" s="1297"/>
      <c r="I6" s="1297"/>
      <c r="J6" s="1297"/>
      <c r="K6" s="1297"/>
      <c r="L6" s="119"/>
      <c r="N6" s="424"/>
    </row>
    <row r="7" spans="1:14">
      <c r="B7" s="119"/>
      <c r="D7" s="119"/>
      <c r="E7" s="119"/>
      <c r="F7" s="119"/>
      <c r="G7" s="119"/>
      <c r="H7" s="109"/>
      <c r="I7" s="109"/>
      <c r="J7" s="109"/>
      <c r="K7" s="119"/>
      <c r="L7" s="119"/>
    </row>
    <row r="8" spans="1:14">
      <c r="A8" s="119" t="s">
        <v>4</v>
      </c>
      <c r="B8" s="109"/>
      <c r="C8" s="247" t="s">
        <v>189</v>
      </c>
      <c r="D8" s="109"/>
      <c r="E8" s="341" t="s">
        <v>77</v>
      </c>
      <c r="F8" s="119"/>
      <c r="G8" s="341" t="s">
        <v>78</v>
      </c>
      <c r="H8" s="119"/>
      <c r="I8" s="341" t="s">
        <v>190</v>
      </c>
      <c r="J8" s="109"/>
      <c r="K8" s="119"/>
      <c r="L8" s="119" t="s">
        <v>4</v>
      </c>
    </row>
    <row r="9" spans="1:14">
      <c r="A9" s="119" t="s">
        <v>5</v>
      </c>
      <c r="B9" s="109"/>
      <c r="C9" s="997" t="s">
        <v>191</v>
      </c>
      <c r="D9" s="109"/>
      <c r="E9" s="1140" t="str">
        <f>'Stmt AD'!E9</f>
        <v>31-Dec-22</v>
      </c>
      <c r="F9" s="109"/>
      <c r="G9" s="1140" t="str">
        <f>'Stmt AD'!G9</f>
        <v>31-Dec-23</v>
      </c>
      <c r="H9" s="109"/>
      <c r="I9" s="1011" t="s">
        <v>192</v>
      </c>
      <c r="J9" s="109"/>
      <c r="K9" s="1012" t="s">
        <v>8</v>
      </c>
      <c r="L9" s="119" t="s">
        <v>5</v>
      </c>
      <c r="N9" s="193"/>
    </row>
    <row r="10" spans="1:14">
      <c r="B10" s="119"/>
      <c r="D10" s="119"/>
      <c r="E10" s="119"/>
      <c r="F10" s="119"/>
      <c r="G10" s="119"/>
      <c r="H10" s="119"/>
      <c r="I10" s="119"/>
      <c r="J10" s="119"/>
      <c r="K10" s="119"/>
      <c r="L10" s="119"/>
    </row>
    <row r="11" spans="1:14" ht="18.5">
      <c r="A11" s="119">
        <v>1</v>
      </c>
      <c r="B11" s="16" t="s">
        <v>300</v>
      </c>
      <c r="D11" s="119"/>
      <c r="E11" s="425"/>
      <c r="F11" s="349"/>
      <c r="G11" s="425"/>
      <c r="H11" s="426"/>
      <c r="I11" s="427">
        <f>'AE-1'!E36</f>
        <v>1937212.0826894031</v>
      </c>
      <c r="J11" s="352"/>
      <c r="K11" s="119" t="str">
        <f>"AE-1; Line "&amp;'AE-1'!A36</f>
        <v>AE-1; Line 23</v>
      </c>
      <c r="L11" s="119">
        <f>A11</f>
        <v>1</v>
      </c>
      <c r="N11" s="193"/>
    </row>
    <row r="12" spans="1:14">
      <c r="A12" s="119">
        <f>A11+1</f>
        <v>2</v>
      </c>
      <c r="B12" s="16"/>
      <c r="E12" s="342"/>
      <c r="G12" s="342"/>
      <c r="H12" s="355"/>
      <c r="I12" s="342"/>
      <c r="J12" s="355"/>
      <c r="K12" s="428"/>
      <c r="L12" s="119">
        <f>L11+1</f>
        <v>2</v>
      </c>
    </row>
    <row r="13" spans="1:14" ht="18.5">
      <c r="A13" s="119">
        <f t="shared" ref="A13:A29" si="0">+A12+1</f>
        <v>3</v>
      </c>
      <c r="B13" s="16" t="s">
        <v>914</v>
      </c>
      <c r="E13" s="429">
        <f>'AE-2'!C14</f>
        <v>69951.332410000017</v>
      </c>
      <c r="F13" s="430"/>
      <c r="G13" s="429">
        <f>'AE-2'!C16</f>
        <v>76610.14694999998</v>
      </c>
      <c r="H13" s="352"/>
      <c r="I13" s="360">
        <f>(E13+G13)/2</f>
        <v>73280.739679999999</v>
      </c>
      <c r="J13" s="352"/>
      <c r="K13" s="119" t="str">
        <f>"AE-2; Line "&amp;'AE-2'!A19</f>
        <v>AE-2; Line 6</v>
      </c>
      <c r="L13" s="119">
        <f t="shared" ref="L13:L29" si="1">+L12+1</f>
        <v>3</v>
      </c>
    </row>
    <row r="14" spans="1:14">
      <c r="A14" s="119">
        <f t="shared" si="0"/>
        <v>4</v>
      </c>
      <c r="B14" s="16"/>
      <c r="E14" s="342"/>
      <c r="G14" s="342"/>
      <c r="H14" s="355"/>
      <c r="I14" s="360"/>
      <c r="J14" s="355"/>
      <c r="K14" s="347"/>
      <c r="L14" s="119">
        <f t="shared" si="1"/>
        <v>4</v>
      </c>
    </row>
    <row r="15" spans="1:14" ht="18.5">
      <c r="A15" s="119">
        <f t="shared" si="0"/>
        <v>5</v>
      </c>
      <c r="B15" s="16" t="s">
        <v>915</v>
      </c>
      <c r="E15" s="389">
        <f>'AE-3'!C14</f>
        <v>243049.82983647494</v>
      </c>
      <c r="G15" s="389">
        <f>'AE-3'!C16</f>
        <v>268071.91264152038</v>
      </c>
      <c r="H15" s="431"/>
      <c r="I15" s="360">
        <f>(E15+G15)/2</f>
        <v>255560.87123899767</v>
      </c>
      <c r="J15" s="355"/>
      <c r="K15" s="119" t="str">
        <f>"AE-3; Line "&amp;'AE-3'!A19</f>
        <v>AE-3; Line 6</v>
      </c>
      <c r="L15" s="119">
        <f t="shared" si="1"/>
        <v>5</v>
      </c>
    </row>
    <row r="16" spans="1:14">
      <c r="A16" s="119">
        <f t="shared" si="0"/>
        <v>6</v>
      </c>
      <c r="B16" s="16"/>
      <c r="E16" s="360"/>
      <c r="G16" s="360"/>
      <c r="H16" s="355"/>
      <c r="I16" s="361"/>
      <c r="J16" s="355"/>
      <c r="K16" s="347"/>
      <c r="L16" s="119">
        <f t="shared" si="1"/>
        <v>6</v>
      </c>
    </row>
    <row r="17" spans="1:14" ht="18.5">
      <c r="A17" s="119">
        <f t="shared" si="0"/>
        <v>7</v>
      </c>
      <c r="B17" s="16" t="s">
        <v>301</v>
      </c>
      <c r="E17" s="389">
        <f>'AE-4'!D15</f>
        <v>646344.7064883</v>
      </c>
      <c r="G17" s="389">
        <f>'AE-4'!D19</f>
        <v>756371.15274399996</v>
      </c>
      <c r="H17" s="431"/>
      <c r="I17" s="360">
        <f>(E17+G17)/2</f>
        <v>701357.92961614998</v>
      </c>
      <c r="J17" s="355"/>
      <c r="K17" s="119" t="str">
        <f>"AE-4; Line "&amp;'AE-4'!A22</f>
        <v>AE-4; Line 10</v>
      </c>
      <c r="L17" s="119">
        <f t="shared" si="1"/>
        <v>7</v>
      </c>
    </row>
    <row r="18" spans="1:14">
      <c r="A18" s="119">
        <f t="shared" si="0"/>
        <v>8</v>
      </c>
      <c r="B18" s="16"/>
      <c r="E18" s="342"/>
      <c r="G18" s="342"/>
      <c r="H18" s="355"/>
      <c r="I18" s="342"/>
      <c r="J18" s="355"/>
      <c r="K18" s="354"/>
      <c r="L18" s="119">
        <f t="shared" si="1"/>
        <v>8</v>
      </c>
    </row>
    <row r="19" spans="1:14">
      <c r="A19" s="119">
        <f t="shared" si="0"/>
        <v>9</v>
      </c>
      <c r="B19" s="16" t="s">
        <v>198</v>
      </c>
      <c r="E19" s="356"/>
      <c r="G19" s="356"/>
      <c r="H19" s="357"/>
      <c r="I19" s="1013">
        <f>'Stmt AI'!E27</f>
        <v>0.10138604007611932</v>
      </c>
      <c r="J19" s="357"/>
      <c r="K19" s="347" t="str">
        <f>"Statement AI; Line "&amp;'Stmt AI'!A27</f>
        <v>Statement AI; Line 17</v>
      </c>
      <c r="L19" s="119">
        <f t="shared" si="1"/>
        <v>9</v>
      </c>
      <c r="N19" s="193"/>
    </row>
    <row r="20" spans="1:14">
      <c r="A20" s="119">
        <f t="shared" si="0"/>
        <v>10</v>
      </c>
      <c r="B20" s="16"/>
      <c r="E20" s="342"/>
      <c r="G20" s="342"/>
      <c r="H20" s="355"/>
      <c r="I20" s="381"/>
      <c r="J20" s="355"/>
      <c r="K20" s="354"/>
      <c r="L20" s="119">
        <f t="shared" si="1"/>
        <v>10</v>
      </c>
    </row>
    <row r="21" spans="1:14">
      <c r="A21" s="119">
        <f t="shared" si="0"/>
        <v>11</v>
      </c>
      <c r="B21" s="16" t="s">
        <v>302</v>
      </c>
      <c r="E21" s="342"/>
      <c r="G21" s="342"/>
      <c r="H21" s="355"/>
      <c r="I21" s="432">
        <f>I13*I19</f>
        <v>7429.6440100041473</v>
      </c>
      <c r="J21" s="352"/>
      <c r="K21" s="354" t="str">
        <f>"Line "&amp;A13&amp;" x Line "&amp;A19</f>
        <v>Line 3 x Line 9</v>
      </c>
      <c r="L21" s="119">
        <f t="shared" si="1"/>
        <v>11</v>
      </c>
    </row>
    <row r="22" spans="1:14">
      <c r="A22" s="119">
        <f t="shared" si="0"/>
        <v>12</v>
      </c>
      <c r="B22" s="16"/>
      <c r="E22" s="342"/>
      <c r="G22" s="342"/>
      <c r="H22" s="355"/>
      <c r="I22" s="381"/>
      <c r="J22" s="355"/>
      <c r="K22" s="354"/>
      <c r="L22" s="119">
        <f t="shared" si="1"/>
        <v>12</v>
      </c>
    </row>
    <row r="23" spans="1:14">
      <c r="A23" s="119">
        <f t="shared" si="0"/>
        <v>13</v>
      </c>
      <c r="B23" s="16" t="s">
        <v>303</v>
      </c>
      <c r="E23" s="360"/>
      <c r="F23" s="183"/>
      <c r="G23" s="360"/>
      <c r="H23" s="433"/>
      <c r="I23" s="434">
        <f>I15*I19</f>
        <v>25910.304733324985</v>
      </c>
      <c r="J23" s="355"/>
      <c r="K23" s="354" t="str">
        <f>"Line "&amp;A15&amp;" x Line "&amp;A19</f>
        <v>Line 5 x Line 9</v>
      </c>
      <c r="L23" s="119">
        <f t="shared" si="1"/>
        <v>13</v>
      </c>
    </row>
    <row r="24" spans="1:14">
      <c r="A24" s="119">
        <f t="shared" si="0"/>
        <v>14</v>
      </c>
      <c r="B24" s="16"/>
      <c r="E24" s="360"/>
      <c r="F24" s="183"/>
      <c r="G24" s="360"/>
      <c r="H24" s="431"/>
      <c r="I24" s="391"/>
      <c r="J24" s="355"/>
      <c r="K24" s="354"/>
      <c r="L24" s="119">
        <f t="shared" si="1"/>
        <v>14</v>
      </c>
    </row>
    <row r="25" spans="1:14">
      <c r="A25" s="119">
        <f t="shared" si="0"/>
        <v>15</v>
      </c>
      <c r="B25" s="16" t="s">
        <v>304</v>
      </c>
      <c r="E25" s="434"/>
      <c r="F25" s="183"/>
      <c r="G25" s="434"/>
      <c r="H25" s="431"/>
      <c r="I25" s="1141">
        <f>I17*I19</f>
        <v>71107.903159767055</v>
      </c>
      <c r="J25" s="355"/>
      <c r="K25" s="354" t="str">
        <f>"Line "&amp;A17&amp;" x Line "&amp;A19</f>
        <v>Line 7 x Line 9</v>
      </c>
      <c r="L25" s="119">
        <f t="shared" si="1"/>
        <v>15</v>
      </c>
    </row>
    <row r="26" spans="1:14">
      <c r="A26" s="119">
        <f t="shared" si="0"/>
        <v>16</v>
      </c>
      <c r="B26" s="16"/>
      <c r="E26" s="434"/>
      <c r="F26" s="183"/>
      <c r="G26" s="434"/>
      <c r="H26" s="431"/>
      <c r="I26" s="391"/>
      <c r="J26" s="355"/>
      <c r="K26" s="354"/>
      <c r="L26" s="119">
        <f t="shared" si="1"/>
        <v>16</v>
      </c>
    </row>
    <row r="27" spans="1:14" ht="16" thickBot="1">
      <c r="A27" s="119">
        <f t="shared" si="0"/>
        <v>17</v>
      </c>
      <c r="B27" s="16" t="s">
        <v>305</v>
      </c>
      <c r="E27" s="358"/>
      <c r="F27" s="183"/>
      <c r="G27" s="358"/>
      <c r="H27" s="431"/>
      <c r="I27" s="359">
        <f>I11+I21+I23+I25</f>
        <v>2041659.9345924994</v>
      </c>
      <c r="J27" s="352"/>
      <c r="K27" s="354" t="str">
        <f>"Line "&amp;A11&amp;" + (Sum Lines "&amp;A21&amp;" thru "&amp;A25&amp;")"</f>
        <v>Line 1 + (Sum Lines 11 thru 15)</v>
      </c>
      <c r="L27" s="119">
        <f t="shared" si="1"/>
        <v>17</v>
      </c>
    </row>
    <row r="28" spans="1:14" ht="16" thickTop="1">
      <c r="A28" s="119">
        <f t="shared" si="0"/>
        <v>18</v>
      </c>
      <c r="B28" s="16"/>
      <c r="E28" s="358"/>
      <c r="F28" s="183"/>
      <c r="G28" s="358"/>
      <c r="H28" s="431"/>
      <c r="I28" s="358"/>
      <c r="J28" s="352"/>
      <c r="K28" s="354"/>
      <c r="L28" s="119">
        <f t="shared" si="1"/>
        <v>18</v>
      </c>
    </row>
    <row r="29" spans="1:14" ht="19" thickBot="1">
      <c r="A29" s="119">
        <f t="shared" si="0"/>
        <v>19</v>
      </c>
      <c r="B29" s="16" t="s">
        <v>306</v>
      </c>
      <c r="E29" s="358"/>
      <c r="F29" s="183"/>
      <c r="G29" s="358"/>
      <c r="H29" s="431"/>
      <c r="I29" s="882">
        <v>0</v>
      </c>
      <c r="J29" s="119"/>
      <c r="K29" s="119" t="s">
        <v>307</v>
      </c>
      <c r="L29" s="119">
        <f t="shared" si="1"/>
        <v>19</v>
      </c>
    </row>
    <row r="30" spans="1:14" ht="16" thickTop="1">
      <c r="B30" s="16"/>
      <c r="G30" s="351"/>
      <c r="H30" s="355"/>
      <c r="I30" s="355"/>
      <c r="J30" s="355"/>
      <c r="K30" s="354"/>
      <c r="L30" s="119"/>
    </row>
    <row r="32" spans="1:14" ht="18">
      <c r="A32" s="2">
        <v>1</v>
      </c>
      <c r="B32" s="136" t="s">
        <v>308</v>
      </c>
    </row>
    <row r="33" spans="1:14" ht="18.5">
      <c r="A33" s="1">
        <v>2</v>
      </c>
      <c r="B33" s="16" t="s">
        <v>309</v>
      </c>
    </row>
    <row r="34" spans="1:14" ht="18">
      <c r="A34" s="1">
        <v>3</v>
      </c>
      <c r="B34" s="136" t="s">
        <v>310</v>
      </c>
    </row>
    <row r="35" spans="1:14" ht="18">
      <c r="A35" s="1">
        <v>4</v>
      </c>
      <c r="B35" s="136" t="s">
        <v>207</v>
      </c>
    </row>
    <row r="36" spans="1:14" ht="18">
      <c r="A36" s="1"/>
    </row>
    <row r="38" spans="1:14" ht="18">
      <c r="A38" s="1"/>
    </row>
    <row r="40" spans="1:14">
      <c r="N40" s="19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Roman,Regular"&amp;10AE</oddFooter>
  </headerFooter>
  <customProperties>
    <customPr name="_pios_id" r:id="rId2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H4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4" customWidth="1"/>
    <col min="5" max="5" width="18.54296875" style="110" customWidth="1"/>
    <col min="6" max="6" width="69.54296875" style="110" bestFit="1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8">
      <c r="B2" s="1296" t="s">
        <v>0</v>
      </c>
      <c r="C2" s="1296"/>
      <c r="D2" s="1296"/>
      <c r="E2" s="1296"/>
      <c r="F2" s="1296"/>
    </row>
    <row r="3" spans="1:8">
      <c r="B3" s="1296" t="s">
        <v>311</v>
      </c>
      <c r="C3" s="1296"/>
      <c r="D3" s="1296"/>
      <c r="E3" s="1296"/>
      <c r="F3" s="1296"/>
    </row>
    <row r="4" spans="1:8">
      <c r="B4" s="1296" t="s">
        <v>312</v>
      </c>
      <c r="C4" s="1296"/>
      <c r="D4" s="1296"/>
      <c r="E4" s="1296"/>
      <c r="F4" s="1296"/>
    </row>
    <row r="5" spans="1:8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8">
      <c r="B6" s="1300" t="s">
        <v>3</v>
      </c>
      <c r="C6" s="1300"/>
      <c r="D6" s="1300"/>
      <c r="E6" s="1300"/>
      <c r="F6" s="1300"/>
    </row>
    <row r="7" spans="1:8">
      <c r="B7" s="111"/>
      <c r="C7" s="112"/>
      <c r="D7" s="112"/>
      <c r="E7" s="111"/>
      <c r="F7" s="111"/>
    </row>
    <row r="8" spans="1:8">
      <c r="B8" s="1296" t="s">
        <v>240</v>
      </c>
      <c r="C8" s="1296"/>
      <c r="D8" s="1296"/>
      <c r="E8" s="1296"/>
      <c r="F8" s="1296"/>
    </row>
    <row r="10" spans="1:8" ht="15.5">
      <c r="A10" s="119"/>
      <c r="B10" s="857"/>
      <c r="C10" s="859" t="s">
        <v>80</v>
      </c>
      <c r="D10" s="858"/>
      <c r="E10" s="859"/>
      <c r="F10" s="858"/>
    </row>
    <row r="11" spans="1:8" ht="15.5">
      <c r="A11" s="119"/>
      <c r="B11" s="116"/>
      <c r="C11" s="116" t="s">
        <v>241</v>
      </c>
      <c r="D11" s="121"/>
      <c r="E11" s="116" t="s">
        <v>241</v>
      </c>
      <c r="F11" s="121"/>
    </row>
    <row r="12" spans="1:8" ht="15.5">
      <c r="A12" s="119" t="s">
        <v>4</v>
      </c>
      <c r="B12" s="120"/>
      <c r="C12" s="116" t="s">
        <v>313</v>
      </c>
      <c r="D12" s="194"/>
      <c r="E12" s="116" t="s">
        <v>313</v>
      </c>
      <c r="F12" s="194"/>
      <c r="G12" s="119" t="s">
        <v>4</v>
      </c>
    </row>
    <row r="13" spans="1:8" ht="18">
      <c r="A13" s="119" t="s">
        <v>5</v>
      </c>
      <c r="B13" s="1015" t="s">
        <v>124</v>
      </c>
      <c r="C13" s="1015" t="s">
        <v>214</v>
      </c>
      <c r="D13" s="1113" t="s">
        <v>8</v>
      </c>
      <c r="E13" s="1015" t="s">
        <v>215</v>
      </c>
      <c r="F13" s="1113" t="s">
        <v>8</v>
      </c>
      <c r="G13" s="119" t="s">
        <v>5</v>
      </c>
    </row>
    <row r="14" spans="1:8" ht="15.5">
      <c r="A14" s="119">
        <v>1</v>
      </c>
      <c r="B14" s="122" t="str">
        <f>"Dec-"&amp;RIGHT(Automation!$B$3-1,2)</f>
        <v>Dec-22</v>
      </c>
      <c r="C14" s="199">
        <v>1861233.6247662578</v>
      </c>
      <c r="D14" s="1238" t="s">
        <v>216</v>
      </c>
      <c r="E14" s="199">
        <v>1830611.7677737514</v>
      </c>
      <c r="F14" s="1238" t="str">
        <f>Automation!B3-1&amp;" Form 1; Page 200-201; Footnote Data (b)"</f>
        <v>2022 Form 1; Page 200-201; Footnote Data (b)</v>
      </c>
      <c r="G14" s="119">
        <f>A14</f>
        <v>1</v>
      </c>
      <c r="H14" s="126"/>
    </row>
    <row r="15" spans="1:8" ht="15.5">
      <c r="A15" s="119">
        <f>A14+1</f>
        <v>2</v>
      </c>
      <c r="B15" s="122" t="str">
        <f>"Jan-"&amp;RIGHT(Automation!$B$3,2)</f>
        <v>Jan-23</v>
      </c>
      <c r="C15" s="149">
        <v>1880070.1156242921</v>
      </c>
      <c r="D15" s="1256"/>
      <c r="E15" s="1266">
        <v>1849307.4877329699</v>
      </c>
      <c r="F15" s="1256"/>
      <c r="G15" s="119">
        <f>G14+1</f>
        <v>2</v>
      </c>
    </row>
    <row r="16" spans="1:8" ht="15.5">
      <c r="A16" s="119">
        <f t="shared" ref="A16:A36" si="0">A15+1</f>
        <v>3</v>
      </c>
      <c r="B16" s="122" t="s">
        <v>217</v>
      </c>
      <c r="C16" s="149">
        <v>1897657.6080493645</v>
      </c>
      <c r="D16" s="1256"/>
      <c r="E16" s="1266">
        <v>1866630.5275884364</v>
      </c>
      <c r="F16" s="1256"/>
      <c r="G16" s="119">
        <f t="shared" ref="G16:G36" si="1">G15+1</f>
        <v>3</v>
      </c>
    </row>
    <row r="17" spans="1:8" ht="15.5">
      <c r="A17" s="119">
        <f t="shared" si="0"/>
        <v>4</v>
      </c>
      <c r="B17" s="122" t="s">
        <v>218</v>
      </c>
      <c r="C17" s="149">
        <v>1912270.9467883788</v>
      </c>
      <c r="D17" s="1256"/>
      <c r="E17" s="1266">
        <v>1881004.6130657229</v>
      </c>
      <c r="F17" s="1256"/>
      <c r="G17" s="119">
        <f t="shared" si="1"/>
        <v>4</v>
      </c>
    </row>
    <row r="18" spans="1:8" ht="15.5">
      <c r="A18" s="119">
        <f t="shared" si="0"/>
        <v>5</v>
      </c>
      <c r="B18" s="122" t="s">
        <v>219</v>
      </c>
      <c r="C18" s="149">
        <v>1931064.6400921703</v>
      </c>
      <c r="D18" s="1256"/>
      <c r="E18" s="1266">
        <v>1899503.8567874092</v>
      </c>
      <c r="F18" s="1256"/>
      <c r="G18" s="119">
        <f t="shared" si="1"/>
        <v>5</v>
      </c>
      <c r="H18" s="210"/>
    </row>
    <row r="19" spans="1:8" ht="15.5">
      <c r="A19" s="119">
        <f t="shared" si="0"/>
        <v>6</v>
      </c>
      <c r="B19" s="122" t="s">
        <v>161</v>
      </c>
      <c r="C19" s="149">
        <v>1949077.9904054096</v>
      </c>
      <c r="D19" s="1256"/>
      <c r="E19" s="1266">
        <v>1917253.2237507466</v>
      </c>
      <c r="F19" s="1256"/>
      <c r="G19" s="119">
        <f t="shared" si="1"/>
        <v>6</v>
      </c>
    </row>
    <row r="20" spans="1:8" ht="15.5">
      <c r="A20" s="119">
        <f>A19+1</f>
        <v>7</v>
      </c>
      <c r="B20" s="122" t="s">
        <v>220</v>
      </c>
      <c r="C20" s="149">
        <v>1966905.0596562906</v>
      </c>
      <c r="D20" s="1256"/>
      <c r="E20" s="1266">
        <v>1934840.6500765169</v>
      </c>
      <c r="F20" s="1256"/>
      <c r="G20" s="119">
        <f>G19+1</f>
        <v>7</v>
      </c>
    </row>
    <row r="21" spans="1:8" ht="15.5">
      <c r="A21" s="119">
        <f t="shared" si="0"/>
        <v>8</v>
      </c>
      <c r="B21" s="122" t="s">
        <v>221</v>
      </c>
      <c r="C21" s="149">
        <v>1985071.6516110508</v>
      </c>
      <c r="D21" s="1256"/>
      <c r="E21" s="1266">
        <v>1952798.204886605</v>
      </c>
      <c r="F21" s="1256"/>
      <c r="G21" s="119">
        <f t="shared" si="1"/>
        <v>8</v>
      </c>
    </row>
    <row r="22" spans="1:8" ht="15.5">
      <c r="A22" s="119">
        <f t="shared" si="0"/>
        <v>9</v>
      </c>
      <c r="B22" s="122" t="s">
        <v>222</v>
      </c>
      <c r="C22" s="149">
        <v>2002236.2543136892</v>
      </c>
      <c r="D22" s="1256"/>
      <c r="E22" s="1266">
        <v>1969725.3921809513</v>
      </c>
      <c r="F22" s="1256"/>
      <c r="G22" s="119">
        <f t="shared" si="1"/>
        <v>9</v>
      </c>
    </row>
    <row r="23" spans="1:8" ht="15.5">
      <c r="A23" s="119">
        <f t="shared" si="0"/>
        <v>10</v>
      </c>
      <c r="B23" s="122" t="s">
        <v>223</v>
      </c>
      <c r="C23" s="149">
        <v>2019939.5623650129</v>
      </c>
      <c r="D23" s="1256"/>
      <c r="E23" s="1266">
        <v>1987166.0647186595</v>
      </c>
      <c r="F23" s="1256"/>
      <c r="G23" s="119">
        <f t="shared" si="1"/>
        <v>10</v>
      </c>
    </row>
    <row r="24" spans="1:8" ht="15.5">
      <c r="A24" s="119">
        <f t="shared" si="0"/>
        <v>11</v>
      </c>
      <c r="B24" s="122" t="s">
        <v>224</v>
      </c>
      <c r="C24" s="149">
        <v>2037756.3971913543</v>
      </c>
      <c r="D24" s="1256"/>
      <c r="E24" s="1266">
        <v>2004750.7065916029</v>
      </c>
      <c r="F24" s="1256"/>
      <c r="G24" s="119">
        <f t="shared" si="1"/>
        <v>11</v>
      </c>
    </row>
    <row r="25" spans="1:8" ht="15.5">
      <c r="A25" s="119">
        <f t="shared" si="0"/>
        <v>12</v>
      </c>
      <c r="B25" s="122" t="s">
        <v>225</v>
      </c>
      <c r="C25" s="149">
        <v>2052373.5204306187</v>
      </c>
      <c r="D25" s="1256"/>
      <c r="E25" s="1266">
        <v>2019261.2575534177</v>
      </c>
      <c r="F25" s="1256"/>
      <c r="G25" s="119">
        <f t="shared" si="1"/>
        <v>12</v>
      </c>
    </row>
    <row r="26" spans="1:8" ht="15.5">
      <c r="A26" s="119">
        <f t="shared" si="0"/>
        <v>13</v>
      </c>
      <c r="B26" s="1032" t="str">
        <f>"Dec-"&amp;RIGHT(Automation!$B$3,2)</f>
        <v>Dec-23</v>
      </c>
      <c r="C26" s="1120">
        <v>2056225.609540567</v>
      </c>
      <c r="D26" s="1257" t="s">
        <v>216</v>
      </c>
      <c r="E26" s="1138">
        <v>2022634.589255455</v>
      </c>
      <c r="F26" s="1238" t="str">
        <f>Automation!B3&amp;" Form 1; Page 200-201; Footnote Data (b)"</f>
        <v>2023 Form 1; Page 200-201; Footnote Data (b)</v>
      </c>
      <c r="G26" s="119">
        <f t="shared" si="1"/>
        <v>13</v>
      </c>
      <c r="H26" s="126"/>
    </row>
    <row r="27" spans="1:8" ht="15.5">
      <c r="A27" s="119">
        <f t="shared" si="0"/>
        <v>14</v>
      </c>
      <c r="B27" s="130"/>
      <c r="C27" s="1263"/>
      <c r="D27" s="927"/>
      <c r="E27" s="148"/>
      <c r="F27" s="927"/>
      <c r="G27" s="119">
        <f t="shared" si="1"/>
        <v>14</v>
      </c>
    </row>
    <row r="28" spans="1:8" ht="15.5">
      <c r="A28" s="119">
        <f t="shared" si="0"/>
        <v>15</v>
      </c>
      <c r="B28" s="130" t="s">
        <v>226</v>
      </c>
      <c r="C28" s="206">
        <f>SUM(C14:C26)</f>
        <v>25551882.980834454</v>
      </c>
      <c r="D28" s="203" t="str">
        <f>"Sum Lines "&amp;A14&amp;" thru "&amp;A26</f>
        <v>Sum Lines 1 thru 13</v>
      </c>
      <c r="E28" s="202">
        <f>SUM(E14:E26)</f>
        <v>25135488.341962241</v>
      </c>
      <c r="F28" s="203" t="str">
        <f>"Sum Lines "&amp;A14&amp;" thru "&amp;A26</f>
        <v>Sum Lines 1 thru 13</v>
      </c>
      <c r="G28" s="119">
        <f t="shared" si="1"/>
        <v>15</v>
      </c>
    </row>
    <row r="29" spans="1:8" ht="15.5">
      <c r="A29" s="119">
        <f t="shared" si="0"/>
        <v>16</v>
      </c>
      <c r="B29" s="1016"/>
      <c r="C29" s="1137"/>
      <c r="D29" s="1259"/>
      <c r="E29" s="1041"/>
      <c r="F29" s="1259"/>
      <c r="G29" s="119">
        <f t="shared" si="1"/>
        <v>16</v>
      </c>
    </row>
    <row r="30" spans="1:8" ht="15.5">
      <c r="A30" s="119">
        <f t="shared" si="0"/>
        <v>17</v>
      </c>
      <c r="B30" s="130"/>
      <c r="C30" s="1265"/>
      <c r="D30" s="1260"/>
      <c r="E30" s="1265"/>
      <c r="F30" s="1260"/>
      <c r="G30" s="119">
        <f t="shared" si="1"/>
        <v>17</v>
      </c>
    </row>
    <row r="31" spans="1:8" ht="15.5">
      <c r="A31" s="119">
        <f t="shared" si="0"/>
        <v>18</v>
      </c>
      <c r="B31" s="130" t="s">
        <v>227</v>
      </c>
      <c r="C31" s="206">
        <f>C28/13</f>
        <v>1965529.4600641888</v>
      </c>
      <c r="D31" s="203" t="str">
        <f>"Average of Lines "&amp;A14&amp;" thru "&amp;A26</f>
        <v>Average of Lines 1 thru 13</v>
      </c>
      <c r="E31" s="202">
        <f>E28/13</f>
        <v>1933499.1032278647</v>
      </c>
      <c r="F31" s="1238" t="str">
        <f>Automation!B3&amp;" Form 1; Page 200-201; Footnote Data (b)"</f>
        <v>2023 Form 1; Page 200-201; Footnote Data (b)</v>
      </c>
      <c r="G31" s="119">
        <f t="shared" si="1"/>
        <v>18</v>
      </c>
      <c r="H31" s="126"/>
    </row>
    <row r="32" spans="1:8" ht="15.5">
      <c r="A32" s="119">
        <f t="shared" si="0"/>
        <v>19</v>
      </c>
      <c r="B32" s="1016"/>
      <c r="C32" s="1264"/>
      <c r="D32" s="1116"/>
      <c r="E32" s="1264"/>
      <c r="F32" s="1116"/>
      <c r="G32" s="119">
        <f t="shared" si="1"/>
        <v>19</v>
      </c>
    </row>
    <row r="33" spans="1:7" ht="15.5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 ht="15.5">
      <c r="A34" s="119">
        <f t="shared" si="0"/>
        <v>21</v>
      </c>
      <c r="B34" s="136" t="s">
        <v>314</v>
      </c>
      <c r="C34" s="136"/>
      <c r="D34" s="136"/>
      <c r="E34" s="1128">
        <f>'AE-1A'!E31</f>
        <v>3712.9794615384608</v>
      </c>
      <c r="F34" s="119" t="str">
        <f>"AE-1A; Line "&amp;'AE-1A'!A31</f>
        <v>AE-1A; Line 18</v>
      </c>
      <c r="G34" s="119">
        <f t="shared" si="1"/>
        <v>21</v>
      </c>
    </row>
    <row r="35" spans="1:7" ht="15.5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" thickBot="1">
      <c r="A36" s="119">
        <f t="shared" si="0"/>
        <v>23</v>
      </c>
      <c r="B36" s="110" t="s">
        <v>315</v>
      </c>
      <c r="C36" s="136"/>
      <c r="D36" s="136"/>
      <c r="E36" s="322">
        <f>E31+E34</f>
        <v>1937212.0826894031</v>
      </c>
      <c r="F36" s="119" t="str">
        <f>"Line "&amp;A31&amp;" + Line "&amp;A34</f>
        <v>Line 18 + Line 21</v>
      </c>
      <c r="G36" s="119">
        <f t="shared" si="1"/>
        <v>23</v>
      </c>
    </row>
    <row r="37" spans="1:7" ht="16" thickTop="1">
      <c r="A37" s="119"/>
      <c r="C37" s="136"/>
      <c r="D37" s="136"/>
      <c r="E37" s="136"/>
      <c r="F37" s="136"/>
    </row>
    <row r="38" spans="1:7" ht="15.5">
      <c r="C38" s="136"/>
      <c r="D38" s="136"/>
      <c r="E38" s="159"/>
      <c r="F38" s="136"/>
    </row>
    <row r="39" spans="1:7" ht="18">
      <c r="A39" s="135">
        <v>1</v>
      </c>
      <c r="B39" s="136" t="s">
        <v>316</v>
      </c>
      <c r="C39" s="136"/>
      <c r="D39" s="136"/>
      <c r="E39" s="136"/>
      <c r="F39" s="136"/>
    </row>
    <row r="40" spans="1:7" ht="15.5">
      <c r="B40" s="136" t="s">
        <v>317</v>
      </c>
      <c r="C40" s="136"/>
      <c r="D40" s="136"/>
      <c r="E40" s="136"/>
      <c r="F40" s="136"/>
    </row>
    <row r="41" spans="1:7" ht="15.5">
      <c r="B41" s="136"/>
      <c r="C41" s="136"/>
      <c r="D41" s="136"/>
      <c r="E41" s="136"/>
      <c r="F41" s="136"/>
    </row>
    <row r="44" spans="1:7">
      <c r="A44" s="1089"/>
    </row>
    <row r="47" spans="1:7">
      <c r="A47" s="108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I4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3" width="18.54296875" style="114" customWidth="1"/>
    <col min="4" max="4" width="25.08984375" style="115" customWidth="1"/>
    <col min="5" max="5" width="18.54296875" style="110" customWidth="1"/>
    <col min="6" max="6" width="62.5429687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9">
      <c r="B2" s="1296" t="s">
        <v>0</v>
      </c>
      <c r="C2" s="1296"/>
      <c r="D2" s="1296"/>
      <c r="E2" s="1296"/>
      <c r="F2" s="1296"/>
    </row>
    <row r="3" spans="1:9">
      <c r="B3" s="1296" t="s">
        <v>311</v>
      </c>
      <c r="C3" s="1296"/>
      <c r="D3" s="1296"/>
      <c r="E3" s="1296"/>
      <c r="F3" s="1296"/>
    </row>
    <row r="4" spans="1:9">
      <c r="B4" s="1296" t="s">
        <v>312</v>
      </c>
      <c r="C4" s="1296"/>
      <c r="D4" s="1296"/>
      <c r="E4" s="1296"/>
      <c r="F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  <c r="F5" s="1296"/>
    </row>
    <row r="6" spans="1:9">
      <c r="B6" s="1300" t="s">
        <v>3</v>
      </c>
      <c r="C6" s="1300"/>
      <c r="D6" s="1300"/>
      <c r="E6" s="1300"/>
      <c r="F6" s="1300"/>
    </row>
    <row r="7" spans="1:9">
      <c r="B7" s="111"/>
      <c r="C7" s="112"/>
      <c r="D7" s="113"/>
      <c r="E7" s="111"/>
      <c r="F7" s="111"/>
    </row>
    <row r="8" spans="1:9">
      <c r="B8" s="1296" t="s">
        <v>240</v>
      </c>
      <c r="C8" s="1296"/>
      <c r="D8" s="1296"/>
      <c r="E8" s="1296"/>
      <c r="F8" s="1296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241</v>
      </c>
      <c r="D11" s="116"/>
      <c r="E11" s="117" t="s">
        <v>241</v>
      </c>
      <c r="F11" s="118"/>
    </row>
    <row r="12" spans="1:9" ht="15.5">
      <c r="A12" s="119" t="s">
        <v>4</v>
      </c>
      <c r="B12" s="120"/>
      <c r="C12" s="109" t="s">
        <v>313</v>
      </c>
      <c r="D12" s="116"/>
      <c r="E12" s="121" t="s">
        <v>313</v>
      </c>
      <c r="F12" s="118"/>
      <c r="G12" s="119" t="s">
        <v>4</v>
      </c>
    </row>
    <row r="13" spans="1:9" ht="18">
      <c r="A13" s="119" t="s">
        <v>5</v>
      </c>
      <c r="B13" s="1015" t="s">
        <v>124</v>
      </c>
      <c r="C13" s="1112" t="s">
        <v>214</v>
      </c>
      <c r="D13" s="1015" t="s">
        <v>8</v>
      </c>
      <c r="E13" s="1113" t="s">
        <v>215</v>
      </c>
      <c r="F13" s="1015" t="s">
        <v>8</v>
      </c>
      <c r="G13" s="119" t="s">
        <v>5</v>
      </c>
    </row>
    <row r="14" spans="1:9" ht="15.5">
      <c r="A14" s="119">
        <v>1</v>
      </c>
      <c r="B14" s="122" t="str">
        <f>"Dec-"&amp;RIGHT(Automation!$B$3-1,2)</f>
        <v>Dec-22</v>
      </c>
      <c r="C14" s="209">
        <v>3219.9490000000001</v>
      </c>
      <c r="D14" s="157" t="s">
        <v>216</v>
      </c>
      <c r="E14" s="209">
        <f>C14</f>
        <v>3219.9490000000001</v>
      </c>
      <c r="F14" s="157" t="s">
        <v>216</v>
      </c>
      <c r="G14" s="119">
        <f>A14</f>
        <v>1</v>
      </c>
      <c r="H14" s="126"/>
      <c r="I14" s="126"/>
    </row>
    <row r="15" spans="1:9" ht="15.5">
      <c r="A15" s="119">
        <f>A14+1</f>
        <v>2</v>
      </c>
      <c r="B15" s="122" t="str">
        <f>"Jan-"&amp;RIGHT(Automation!$B$3,2)</f>
        <v>Jan-23</v>
      </c>
      <c r="C15" s="127">
        <v>3302.1080000000002</v>
      </c>
      <c r="D15" s="128"/>
      <c r="E15" s="127">
        <f t="shared" ref="E15:E26" si="0">C15</f>
        <v>3302.1080000000002</v>
      </c>
      <c r="F15" s="128"/>
      <c r="G15" s="119">
        <f>G14+1</f>
        <v>2</v>
      </c>
    </row>
    <row r="16" spans="1:9" ht="15.5">
      <c r="A16" s="119">
        <f t="shared" ref="A16:A32" si="1">A15+1</f>
        <v>3</v>
      </c>
      <c r="B16" s="122" t="s">
        <v>217</v>
      </c>
      <c r="C16" s="127">
        <v>3384.2669999999998</v>
      </c>
      <c r="D16" s="128"/>
      <c r="E16" s="127">
        <f t="shared" si="0"/>
        <v>3384.2669999999998</v>
      </c>
      <c r="F16" s="128"/>
      <c r="G16" s="119">
        <f t="shared" ref="G16:G32" si="2">G15+1</f>
        <v>3</v>
      </c>
    </row>
    <row r="17" spans="1:9" ht="15.5">
      <c r="A17" s="119">
        <f t="shared" si="1"/>
        <v>4</v>
      </c>
      <c r="B17" s="122" t="s">
        <v>218</v>
      </c>
      <c r="C17" s="127">
        <v>3466.4259999999999</v>
      </c>
      <c r="D17" s="128"/>
      <c r="E17" s="127">
        <f t="shared" si="0"/>
        <v>3466.4259999999999</v>
      </c>
      <c r="F17" s="128"/>
      <c r="G17" s="119">
        <f t="shared" si="2"/>
        <v>4</v>
      </c>
    </row>
    <row r="18" spans="1:9" ht="15.5">
      <c r="A18" s="119">
        <f t="shared" si="1"/>
        <v>5</v>
      </c>
      <c r="B18" s="122" t="s">
        <v>219</v>
      </c>
      <c r="C18" s="127">
        <v>3548.585</v>
      </c>
      <c r="D18" s="128"/>
      <c r="E18" s="127">
        <f t="shared" si="0"/>
        <v>3548.585</v>
      </c>
      <c r="F18" s="128"/>
      <c r="G18" s="119">
        <f t="shared" si="2"/>
        <v>5</v>
      </c>
    </row>
    <row r="19" spans="1:9" ht="15.5">
      <c r="A19" s="119">
        <f t="shared" si="1"/>
        <v>6</v>
      </c>
      <c r="B19" s="122" t="s">
        <v>161</v>
      </c>
      <c r="C19" s="127">
        <v>3630.7440000000001</v>
      </c>
      <c r="D19" s="128"/>
      <c r="E19" s="127">
        <f t="shared" si="0"/>
        <v>3630.7440000000001</v>
      </c>
      <c r="F19" s="128"/>
      <c r="G19" s="119">
        <f t="shared" si="2"/>
        <v>6</v>
      </c>
    </row>
    <row r="20" spans="1:9" ht="15.5">
      <c r="A20" s="119">
        <f>A19+1</f>
        <v>7</v>
      </c>
      <c r="B20" s="122" t="s">
        <v>220</v>
      </c>
      <c r="C20" s="127">
        <v>3713.0450000000001</v>
      </c>
      <c r="D20" s="128"/>
      <c r="E20" s="127">
        <f t="shared" si="0"/>
        <v>3713.0450000000001</v>
      </c>
      <c r="F20" s="128"/>
      <c r="G20" s="119">
        <f>G19+1</f>
        <v>7</v>
      </c>
    </row>
    <row r="21" spans="1:9" ht="15.5">
      <c r="A21" s="119">
        <f t="shared" si="1"/>
        <v>8</v>
      </c>
      <c r="B21" s="122" t="s">
        <v>221</v>
      </c>
      <c r="C21" s="127">
        <v>3795.2040000000002</v>
      </c>
      <c r="D21" s="128"/>
      <c r="E21" s="127">
        <f t="shared" si="0"/>
        <v>3795.2040000000002</v>
      </c>
      <c r="F21" s="128"/>
      <c r="G21" s="119">
        <f t="shared" si="2"/>
        <v>8</v>
      </c>
    </row>
    <row r="22" spans="1:9" ht="15.5">
      <c r="A22" s="119">
        <f t="shared" si="1"/>
        <v>9</v>
      </c>
      <c r="B22" s="122" t="s">
        <v>222</v>
      </c>
      <c r="C22" s="127">
        <v>3877.3629999999998</v>
      </c>
      <c r="D22" s="128"/>
      <c r="E22" s="127">
        <f t="shared" si="0"/>
        <v>3877.3629999999998</v>
      </c>
      <c r="F22" s="128"/>
      <c r="G22" s="119">
        <f t="shared" si="2"/>
        <v>9</v>
      </c>
    </row>
    <row r="23" spans="1:9" ht="15.5">
      <c r="A23" s="119">
        <f t="shared" si="1"/>
        <v>10</v>
      </c>
      <c r="B23" s="122" t="s">
        <v>223</v>
      </c>
      <c r="C23" s="127">
        <v>3959.5219999999999</v>
      </c>
      <c r="D23" s="128"/>
      <c r="E23" s="127">
        <f t="shared" si="0"/>
        <v>3959.5219999999999</v>
      </c>
      <c r="F23" s="128"/>
      <c r="G23" s="119">
        <f t="shared" si="2"/>
        <v>10</v>
      </c>
    </row>
    <row r="24" spans="1:9" ht="15.5">
      <c r="A24" s="119">
        <f t="shared" si="1"/>
        <v>11</v>
      </c>
      <c r="B24" s="122" t="s">
        <v>224</v>
      </c>
      <c r="C24" s="127">
        <v>4041.681</v>
      </c>
      <c r="D24" s="128"/>
      <c r="E24" s="127">
        <f t="shared" si="0"/>
        <v>4041.681</v>
      </c>
      <c r="F24" s="128"/>
      <c r="G24" s="119">
        <f t="shared" si="2"/>
        <v>11</v>
      </c>
    </row>
    <row r="25" spans="1:9" ht="15.5">
      <c r="A25" s="119">
        <f t="shared" si="1"/>
        <v>12</v>
      </c>
      <c r="B25" s="122" t="s">
        <v>225</v>
      </c>
      <c r="C25" s="127">
        <v>4123.84</v>
      </c>
      <c r="D25" s="128"/>
      <c r="E25" s="127">
        <f t="shared" si="0"/>
        <v>4123.84</v>
      </c>
      <c r="F25" s="128"/>
      <c r="G25" s="119">
        <f t="shared" si="2"/>
        <v>12</v>
      </c>
    </row>
    <row r="26" spans="1:9" ht="15.5">
      <c r="A26" s="119">
        <f t="shared" si="1"/>
        <v>13</v>
      </c>
      <c r="B26" s="1032" t="str">
        <f>"Dec-"&amp;RIGHT(Automation!$B$3,2)</f>
        <v>Dec-23</v>
      </c>
      <c r="C26" s="1120">
        <v>4205.9989999999998</v>
      </c>
      <c r="D26" s="1021" t="s">
        <v>216</v>
      </c>
      <c r="E26" s="1120">
        <f t="shared" si="0"/>
        <v>4205.9989999999998</v>
      </c>
      <c r="F26" s="1021" t="s">
        <v>216</v>
      </c>
      <c r="G26" s="119">
        <f t="shared" si="2"/>
        <v>13</v>
      </c>
      <c r="I26" s="126"/>
    </row>
    <row r="27" spans="1:9" ht="15.5">
      <c r="A27" s="119">
        <f t="shared" si="1"/>
        <v>14</v>
      </c>
      <c r="B27" s="130"/>
      <c r="C27" s="927"/>
      <c r="D27" s="857"/>
      <c r="E27" s="131"/>
      <c r="F27" s="857"/>
      <c r="G27" s="119">
        <f t="shared" si="2"/>
        <v>14</v>
      </c>
    </row>
    <row r="28" spans="1:9" ht="15.5">
      <c r="A28" s="119">
        <f t="shared" si="1"/>
        <v>15</v>
      </c>
      <c r="B28" s="130" t="s">
        <v>226</v>
      </c>
      <c r="C28" s="132">
        <f>SUM(C14:C26)</f>
        <v>48268.732999999993</v>
      </c>
      <c r="D28" s="207" t="str">
        <f>"Sum Lines "&amp;A14&amp;" thru "&amp;A26</f>
        <v>Sum Lines 1 thru 13</v>
      </c>
      <c r="E28" s="132">
        <f>SUM(E14:E26)</f>
        <v>48268.732999999993</v>
      </c>
      <c r="F28" s="158" t="str">
        <f>"Sum Lines "&amp;A14&amp;" thru "&amp;A26</f>
        <v>Sum Lines 1 thru 13</v>
      </c>
      <c r="G28" s="119">
        <f t="shared" si="2"/>
        <v>15</v>
      </c>
    </row>
    <row r="29" spans="1:9" ht="15.5">
      <c r="A29" s="119">
        <f t="shared" si="1"/>
        <v>16</v>
      </c>
      <c r="B29" s="1016"/>
      <c r="C29" s="1115"/>
      <c r="D29" s="1127"/>
      <c r="E29" s="1115"/>
      <c r="F29" s="1016"/>
      <c r="G29" s="119">
        <f t="shared" si="2"/>
        <v>16</v>
      </c>
    </row>
    <row r="30" spans="1:9" ht="15.5">
      <c r="A30" s="119">
        <f t="shared" si="1"/>
        <v>17</v>
      </c>
      <c r="B30" s="130"/>
      <c r="C30" s="132"/>
      <c r="D30" s="211"/>
      <c r="E30" s="132"/>
      <c r="F30" s="130"/>
      <c r="G30" s="119">
        <f t="shared" si="2"/>
        <v>17</v>
      </c>
    </row>
    <row r="31" spans="1:9" ht="15.5">
      <c r="A31" s="119">
        <f t="shared" si="1"/>
        <v>18</v>
      </c>
      <c r="B31" s="130" t="s">
        <v>227</v>
      </c>
      <c r="C31" s="132">
        <f>C28/13</f>
        <v>3712.9794615384608</v>
      </c>
      <c r="D31" s="207" t="str">
        <f>"Average of Lines "&amp;A14&amp;" thru "&amp;A26</f>
        <v>Average of Lines 1 thru 13</v>
      </c>
      <c r="E31" s="132">
        <f>E28/13</f>
        <v>3712.9794615384608</v>
      </c>
      <c r="F31" s="158" t="str">
        <f>"Average of Lines "&amp;A14&amp;" thru "&amp;A26</f>
        <v>Average of Lines 1 thru 13</v>
      </c>
      <c r="G31" s="119">
        <f t="shared" si="2"/>
        <v>18</v>
      </c>
      <c r="H31" s="126"/>
      <c r="I31" s="126"/>
    </row>
    <row r="32" spans="1:9" ht="15.5">
      <c r="A32" s="119">
        <f t="shared" si="1"/>
        <v>19</v>
      </c>
      <c r="B32" s="1016"/>
      <c r="C32" s="1116"/>
      <c r="D32" s="1016"/>
      <c r="E32" s="1116"/>
      <c r="F32" s="1016"/>
      <c r="G32" s="119">
        <f t="shared" si="2"/>
        <v>19</v>
      </c>
    </row>
    <row r="33" spans="1:5" ht="15.5">
      <c r="A33" s="119"/>
      <c r="C33" s="134"/>
      <c r="D33" s="110"/>
      <c r="E33" s="134"/>
    </row>
    <row r="34" spans="1:5">
      <c r="C34" s="134"/>
      <c r="D34" s="110"/>
      <c r="E34" s="134"/>
    </row>
    <row r="35" spans="1:5" ht="18">
      <c r="A35" s="135">
        <v>1</v>
      </c>
      <c r="B35" s="136" t="s">
        <v>318</v>
      </c>
      <c r="C35" s="134"/>
      <c r="D35" s="110"/>
      <c r="E35" s="134"/>
    </row>
    <row r="36" spans="1:5" ht="15.5">
      <c r="B36" s="136"/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/>
  </sheetViews>
  <sheetFormatPr defaultColWidth="9.08984375" defaultRowHeight="15.5"/>
  <cols>
    <col min="1" max="1" width="5.08984375" style="119" customWidth="1"/>
    <col min="2" max="2" width="11.08984375" style="136" customWidth="1"/>
    <col min="3" max="3" width="32.54296875" style="136" customWidth="1"/>
    <col min="4" max="11" width="18.54296875" style="189" customWidth="1"/>
    <col min="12" max="12" width="24" style="189" customWidth="1"/>
    <col min="13" max="13" width="5.08984375" style="119" customWidth="1"/>
    <col min="14" max="16384" width="9.08984375" style="136"/>
  </cols>
  <sheetData>
    <row r="2" spans="1:13" s="110" customFormat="1" ht="15">
      <c r="A2" s="109"/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L2" s="1296"/>
      <c r="M2" s="109"/>
    </row>
    <row r="3" spans="1:13" s="110" customFormat="1" ht="15">
      <c r="A3" s="109"/>
      <c r="B3" s="1296" t="s">
        <v>247</v>
      </c>
      <c r="C3" s="1296"/>
      <c r="D3" s="1296"/>
      <c r="E3" s="1296"/>
      <c r="F3" s="1296"/>
      <c r="G3" s="1296"/>
      <c r="H3" s="1296"/>
      <c r="I3" s="1296"/>
      <c r="J3" s="1296"/>
      <c r="K3" s="1296"/>
      <c r="L3" s="1296"/>
      <c r="M3" s="109"/>
    </row>
    <row r="4" spans="1:13">
      <c r="B4" s="1296" t="s">
        <v>319</v>
      </c>
      <c r="C4" s="1296"/>
      <c r="D4" s="1296"/>
      <c r="E4" s="1296"/>
      <c r="F4" s="1296"/>
      <c r="G4" s="1296"/>
      <c r="H4" s="1296"/>
      <c r="I4" s="1296"/>
      <c r="J4" s="1296"/>
      <c r="K4" s="1296"/>
      <c r="L4" s="1296"/>
    </row>
    <row r="5" spans="1:13">
      <c r="B5" s="1296" t="s">
        <v>312</v>
      </c>
      <c r="C5" s="1296"/>
      <c r="D5" s="1296"/>
      <c r="E5" s="1296"/>
      <c r="F5" s="1296"/>
      <c r="G5" s="1296"/>
      <c r="H5" s="1296"/>
      <c r="I5" s="1296"/>
      <c r="J5" s="1296"/>
      <c r="K5" s="1296"/>
      <c r="L5" s="1296"/>
    </row>
    <row r="6" spans="1:13">
      <c r="B6" s="1296" t="str">
        <f>"BALANCES AS OF 12/31/"&amp;Automation!$B$3-1</f>
        <v>BALANCES AS OF 12/31/2022</v>
      </c>
      <c r="C6" s="1296"/>
      <c r="D6" s="1296"/>
      <c r="E6" s="1296"/>
      <c r="F6" s="1296"/>
      <c r="G6" s="1296"/>
      <c r="H6" s="1296"/>
      <c r="I6" s="1296"/>
      <c r="J6" s="1296"/>
      <c r="K6" s="1296"/>
      <c r="L6" s="1296"/>
    </row>
    <row r="7" spans="1:13">
      <c r="B7" s="1300" t="s">
        <v>3</v>
      </c>
      <c r="C7" s="1296"/>
      <c r="D7" s="1296"/>
      <c r="E7" s="1296"/>
      <c r="F7" s="1296"/>
      <c r="G7" s="1296"/>
      <c r="H7" s="1296"/>
      <c r="I7" s="1296"/>
      <c r="J7" s="1296"/>
      <c r="K7" s="1296"/>
      <c r="L7" s="1296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 ht="15">
      <c r="B9" s="967"/>
      <c r="C9" s="958"/>
      <c r="D9" s="959" t="s">
        <v>249</v>
      </c>
      <c r="E9" s="960" t="s">
        <v>250</v>
      </c>
      <c r="F9" s="960" t="s">
        <v>251</v>
      </c>
      <c r="G9" s="960" t="s">
        <v>252</v>
      </c>
      <c r="H9" s="960" t="s">
        <v>253</v>
      </c>
      <c r="I9" s="960" t="s">
        <v>254</v>
      </c>
      <c r="J9" s="960" t="s">
        <v>255</v>
      </c>
      <c r="K9" s="970" t="s">
        <v>256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257</v>
      </c>
      <c r="F11" s="213" t="s">
        <v>237</v>
      </c>
      <c r="G11" s="168" t="s">
        <v>241</v>
      </c>
      <c r="H11" s="168" t="s">
        <v>241</v>
      </c>
      <c r="I11" s="168" t="s">
        <v>241</v>
      </c>
      <c r="J11" s="168" t="s">
        <v>241</v>
      </c>
      <c r="K11" s="213" t="s">
        <v>241</v>
      </c>
      <c r="L11" s="158"/>
    </row>
    <row r="12" spans="1:13">
      <c r="B12" s="215"/>
      <c r="C12" s="133"/>
      <c r="D12" s="172" t="s">
        <v>80</v>
      </c>
      <c r="E12" s="168" t="s">
        <v>320</v>
      </c>
      <c r="F12" s="168" t="s">
        <v>320</v>
      </c>
      <c r="G12" s="168" t="s">
        <v>320</v>
      </c>
      <c r="H12" s="168" t="s">
        <v>320</v>
      </c>
      <c r="I12" s="168" t="s">
        <v>320</v>
      </c>
      <c r="J12" s="168" t="s">
        <v>320</v>
      </c>
      <c r="K12" s="213" t="s">
        <v>313</v>
      </c>
      <c r="L12" s="116"/>
    </row>
    <row r="13" spans="1:13">
      <c r="A13" s="119" t="s">
        <v>4</v>
      </c>
      <c r="B13" s="201"/>
      <c r="C13" s="130"/>
      <c r="D13" s="172" t="s">
        <v>241</v>
      </c>
      <c r="E13" s="168" t="s">
        <v>321</v>
      </c>
      <c r="F13" s="168" t="s">
        <v>321</v>
      </c>
      <c r="G13" s="168" t="s">
        <v>321</v>
      </c>
      <c r="H13" s="168" t="s">
        <v>321</v>
      </c>
      <c r="I13" s="168" t="s">
        <v>321</v>
      </c>
      <c r="J13" s="168" t="s">
        <v>321</v>
      </c>
      <c r="K13" s="213" t="s">
        <v>288</v>
      </c>
      <c r="L13" s="116"/>
      <c r="M13" s="119" t="s">
        <v>4</v>
      </c>
    </row>
    <row r="14" spans="1:13">
      <c r="A14" s="119" t="s">
        <v>5</v>
      </c>
      <c r="B14" s="1018" t="s">
        <v>261</v>
      </c>
      <c r="C14" s="1015" t="s">
        <v>262</v>
      </c>
      <c r="D14" s="1142" t="s">
        <v>320</v>
      </c>
      <c r="E14" s="1130" t="s">
        <v>263</v>
      </c>
      <c r="F14" s="1130" t="s">
        <v>264</v>
      </c>
      <c r="G14" s="1130" t="s">
        <v>322</v>
      </c>
      <c r="H14" s="1130" t="s">
        <v>323</v>
      </c>
      <c r="I14" s="1130" t="s">
        <v>324</v>
      </c>
      <c r="J14" s="1130" t="s">
        <v>267</v>
      </c>
      <c r="K14" s="1113" t="s">
        <v>268</v>
      </c>
      <c r="L14" s="1015" t="s">
        <v>8</v>
      </c>
      <c r="M14" s="119" t="s">
        <v>5</v>
      </c>
    </row>
    <row r="15" spans="1:13">
      <c r="B15" s="133"/>
      <c r="C15" s="133" t="s">
        <v>269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270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216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271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216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272</v>
      </c>
      <c r="D18" s="178">
        <v>0</v>
      </c>
      <c r="E18" s="179">
        <v>1.1260899999999998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1.1260899999999998</v>
      </c>
      <c r="L18" s="158" t="s">
        <v>216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272</v>
      </c>
      <c r="D19" s="178">
        <v>0</v>
      </c>
      <c r="E19" s="179">
        <v>0</v>
      </c>
      <c r="F19" s="179">
        <v>48.730400000000003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48.730400000000003</v>
      </c>
      <c r="L19" s="158" t="s">
        <v>216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273</v>
      </c>
      <c r="D20" s="178">
        <v>0</v>
      </c>
      <c r="E20" s="179">
        <v>0</v>
      </c>
      <c r="F20" s="179">
        <v>681.28647999999998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681.28647999999998</v>
      </c>
      <c r="L20" s="158" t="s">
        <v>216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81" t="s">
        <v>274</v>
      </c>
      <c r="C22" s="1182" t="s">
        <v>275</v>
      </c>
      <c r="D22" s="1183">
        <f t="shared" ref="D22:I22" si="2">SUM(D16:D21)</f>
        <v>0</v>
      </c>
      <c r="E22" s="1183">
        <f t="shared" si="2"/>
        <v>1.1260899999999998</v>
      </c>
      <c r="F22" s="1183">
        <f>SUM(F16:F21)</f>
        <v>730.01688000000001</v>
      </c>
      <c r="G22" s="1183">
        <f t="shared" si="2"/>
        <v>0</v>
      </c>
      <c r="H22" s="1183">
        <f t="shared" si="2"/>
        <v>0</v>
      </c>
      <c r="I22" s="1183">
        <f t="shared" si="2"/>
        <v>0</v>
      </c>
      <c r="J22" s="1183">
        <f>SUM(J16:J21)</f>
        <v>0</v>
      </c>
      <c r="K22" s="961">
        <f>SUM(K16:K21)</f>
        <v>731.14296999999999</v>
      </c>
      <c r="L22" s="1184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272</v>
      </c>
      <c r="D24" s="176">
        <v>32112.64817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-387.33722999999998</v>
      </c>
      <c r="K24" s="141">
        <f t="shared" ref="K24:K32" si="3">SUM(D24:J24)</f>
        <v>31725.310939999999</v>
      </c>
      <c r="L24" s="158" t="s">
        <v>216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273</v>
      </c>
      <c r="D25" s="181">
        <v>139587.35045999999</v>
      </c>
      <c r="E25" s="179">
        <v>0</v>
      </c>
      <c r="F25" s="179">
        <v>0</v>
      </c>
      <c r="G25" s="181">
        <v>-581.32852000000003</v>
      </c>
      <c r="H25" s="178">
        <v>0</v>
      </c>
      <c r="I25" s="179">
        <v>0</v>
      </c>
      <c r="J25" s="182">
        <v>-23517.656760000002</v>
      </c>
      <c r="K25" s="180">
        <f t="shared" si="3"/>
        <v>115488.36517999998</v>
      </c>
      <c r="L25" s="158" t="s">
        <v>216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276</v>
      </c>
      <c r="D26" s="181">
        <v>603767.11250000005</v>
      </c>
      <c r="E26" s="179">
        <v>0</v>
      </c>
      <c r="F26" s="179">
        <v>0</v>
      </c>
      <c r="G26" s="181">
        <v>-3921.8576200000002</v>
      </c>
      <c r="H26" s="178">
        <v>-596.89500999999996</v>
      </c>
      <c r="I26" s="179">
        <v>0</v>
      </c>
      <c r="J26" s="182">
        <v>-1704.54414</v>
      </c>
      <c r="K26" s="180">
        <f t="shared" si="3"/>
        <v>597543.81573000003</v>
      </c>
      <c r="L26" s="158" t="s">
        <v>216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277</v>
      </c>
      <c r="D27" s="181">
        <v>277447.47269000002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277447.47269000002</v>
      </c>
      <c r="L27" s="158" t="s">
        <v>216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278</v>
      </c>
      <c r="D28" s="181">
        <v>209140.11919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209140.11919</v>
      </c>
      <c r="L28" s="158" t="s">
        <v>216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279</v>
      </c>
      <c r="D29" s="181">
        <v>307343.48389999999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307343.48389999999</v>
      </c>
      <c r="L29" s="158" t="s">
        <v>216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280</v>
      </c>
      <c r="D30" s="181">
        <v>115076.96838999999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115076.96838999999</v>
      </c>
      <c r="L30" s="158" t="s">
        <v>216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281</v>
      </c>
      <c r="D31" s="181">
        <v>114872.02962</v>
      </c>
      <c r="E31" s="179">
        <v>0</v>
      </c>
      <c r="F31" s="179">
        <v>0</v>
      </c>
      <c r="G31" s="181">
        <v>-643.37243999999998</v>
      </c>
      <c r="H31" s="178">
        <v>0</v>
      </c>
      <c r="I31" s="179">
        <v>0</v>
      </c>
      <c r="J31" s="182">
        <v>0</v>
      </c>
      <c r="K31" s="180">
        <f t="shared" si="3"/>
        <v>114228.65717999999</v>
      </c>
      <c r="L31" s="158" t="s">
        <v>216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282</v>
      </c>
      <c r="D32" s="181">
        <v>61886.441469999998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61886.441469999998</v>
      </c>
      <c r="L32" s="158" t="s">
        <v>216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3"/>
      <c r="G33" s="1033"/>
      <c r="H33" s="1033"/>
      <c r="I33" s="1033"/>
      <c r="J33" s="182"/>
      <c r="K33" s="1143"/>
      <c r="L33" s="175"/>
      <c r="M33" s="119">
        <f t="shared" si="1"/>
        <v>18</v>
      </c>
    </row>
    <row r="34" spans="1:13">
      <c r="A34" s="119">
        <f t="shared" si="0"/>
        <v>19</v>
      </c>
      <c r="B34" s="1185" t="s">
        <v>274</v>
      </c>
      <c r="C34" s="1182" t="s">
        <v>240</v>
      </c>
      <c r="D34" s="1183">
        <f t="shared" ref="D34:I34" si="4">SUM(D24:D33)</f>
        <v>1861233.6263900001</v>
      </c>
      <c r="E34" s="1183">
        <f t="shared" si="4"/>
        <v>0</v>
      </c>
      <c r="F34" s="1183">
        <f>SUM(F24:F33)</f>
        <v>0</v>
      </c>
      <c r="G34" s="1183">
        <f t="shared" si="4"/>
        <v>-5146.5585799999999</v>
      </c>
      <c r="H34" s="1183">
        <f t="shared" si="4"/>
        <v>-596.89500999999996</v>
      </c>
      <c r="I34" s="1183">
        <f t="shared" si="4"/>
        <v>0</v>
      </c>
      <c r="J34" s="1183">
        <f>SUM(J24:J33)</f>
        <v>-25609.538130000001</v>
      </c>
      <c r="K34" s="961">
        <f>SUM(K24:K33)</f>
        <v>1829880.6346700001</v>
      </c>
      <c r="L34" s="1186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62"/>
      <c r="M35" s="119">
        <f t="shared" si="1"/>
        <v>20</v>
      </c>
    </row>
    <row r="36" spans="1:13">
      <c r="A36" s="119">
        <f t="shared" si="0"/>
        <v>21</v>
      </c>
      <c r="B36" s="1190" t="s">
        <v>283</v>
      </c>
      <c r="C36" s="963"/>
      <c r="D36" s="1188">
        <f t="shared" ref="D36:I36" si="5">D34+D22</f>
        <v>1861233.6263900001</v>
      </c>
      <c r="E36" s="1188">
        <f t="shared" si="5"/>
        <v>1.1260899999999998</v>
      </c>
      <c r="F36" s="1188">
        <f>F34+F22</f>
        <v>730.01688000000001</v>
      </c>
      <c r="G36" s="1188">
        <f t="shared" si="5"/>
        <v>-5146.5585799999999</v>
      </c>
      <c r="H36" s="1188">
        <f t="shared" si="5"/>
        <v>-596.89500999999996</v>
      </c>
      <c r="I36" s="1189">
        <f t="shared" si="5"/>
        <v>0</v>
      </c>
      <c r="J36" s="1188">
        <f>J34+J22</f>
        <v>-25609.538130000001</v>
      </c>
      <c r="K36" s="1188">
        <f>K34+K22</f>
        <v>1830611.77764</v>
      </c>
      <c r="L36" s="1184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325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/>
  </sheetViews>
  <sheetFormatPr defaultColWidth="9.08984375" defaultRowHeight="15.5"/>
  <cols>
    <col min="1" max="1" width="5.08984375" style="119" customWidth="1"/>
    <col min="2" max="2" width="11.08984375" style="136" customWidth="1"/>
    <col min="3" max="3" width="32.54296875" style="136" customWidth="1"/>
    <col min="4" max="11" width="18.54296875" style="189" customWidth="1"/>
    <col min="12" max="12" width="24" style="189" customWidth="1"/>
    <col min="13" max="13" width="5.08984375" style="119" customWidth="1"/>
    <col min="14" max="16384" width="9.08984375" style="136"/>
  </cols>
  <sheetData>
    <row r="2" spans="1:13" s="110" customFormat="1" ht="15">
      <c r="A2" s="109"/>
      <c r="B2" s="1296" t="s">
        <v>0</v>
      </c>
      <c r="C2" s="1296"/>
      <c r="D2" s="1296"/>
      <c r="E2" s="1296"/>
      <c r="F2" s="1296"/>
      <c r="G2" s="1296"/>
      <c r="H2" s="1296"/>
      <c r="I2" s="1296"/>
      <c r="J2" s="1296"/>
      <c r="K2" s="1296"/>
      <c r="L2" s="1296"/>
      <c r="M2" s="109"/>
    </row>
    <row r="3" spans="1:13" s="110" customFormat="1" ht="15">
      <c r="A3" s="109"/>
      <c r="B3" s="1296" t="s">
        <v>247</v>
      </c>
      <c r="C3" s="1296"/>
      <c r="D3" s="1296"/>
      <c r="E3" s="1296"/>
      <c r="F3" s="1296"/>
      <c r="G3" s="1296"/>
      <c r="H3" s="1296"/>
      <c r="I3" s="1296"/>
      <c r="J3" s="1296"/>
      <c r="K3" s="1296"/>
      <c r="L3" s="1296"/>
      <c r="M3" s="109"/>
    </row>
    <row r="4" spans="1:13">
      <c r="B4" s="1296" t="s">
        <v>319</v>
      </c>
      <c r="C4" s="1296"/>
      <c r="D4" s="1296"/>
      <c r="E4" s="1296"/>
      <c r="F4" s="1296"/>
      <c r="G4" s="1296"/>
      <c r="H4" s="1296"/>
      <c r="I4" s="1296"/>
      <c r="J4" s="1296"/>
      <c r="K4" s="1296"/>
      <c r="L4" s="1296"/>
    </row>
    <row r="5" spans="1:13">
      <c r="B5" s="1296" t="s">
        <v>312</v>
      </c>
      <c r="C5" s="1296"/>
      <c r="D5" s="1296"/>
      <c r="E5" s="1296"/>
      <c r="F5" s="1296"/>
      <c r="G5" s="1296"/>
      <c r="H5" s="1296"/>
      <c r="I5" s="1296"/>
      <c r="J5" s="1296"/>
      <c r="K5" s="1296"/>
      <c r="L5" s="1296"/>
    </row>
    <row r="6" spans="1:13">
      <c r="B6" s="1296" t="str">
        <f>"BALANCES AS OF 12/31/"&amp;Automation!$B$3</f>
        <v>BALANCES AS OF 12/31/2023</v>
      </c>
      <c r="C6" s="1296"/>
      <c r="D6" s="1296"/>
      <c r="E6" s="1296"/>
      <c r="F6" s="1296"/>
      <c r="G6" s="1296"/>
      <c r="H6" s="1296"/>
      <c r="I6" s="1296"/>
      <c r="J6" s="1296"/>
      <c r="K6" s="1296"/>
      <c r="L6" s="1296"/>
    </row>
    <row r="7" spans="1:13">
      <c r="B7" s="1300" t="s">
        <v>3</v>
      </c>
      <c r="C7" s="1296"/>
      <c r="D7" s="1296"/>
      <c r="E7" s="1296"/>
      <c r="F7" s="1296"/>
      <c r="G7" s="1296"/>
      <c r="H7" s="1296"/>
      <c r="I7" s="1296"/>
      <c r="J7" s="1296"/>
      <c r="K7" s="1296"/>
      <c r="L7" s="1296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 ht="15">
      <c r="B9" s="967"/>
      <c r="C9" s="958"/>
      <c r="D9" s="959" t="s">
        <v>249</v>
      </c>
      <c r="E9" s="960" t="s">
        <v>250</v>
      </c>
      <c r="F9" s="960" t="s">
        <v>251</v>
      </c>
      <c r="G9" s="960" t="s">
        <v>252</v>
      </c>
      <c r="H9" s="960" t="s">
        <v>253</v>
      </c>
      <c r="I9" s="960" t="s">
        <v>254</v>
      </c>
      <c r="J9" s="960" t="s">
        <v>255</v>
      </c>
      <c r="K9" s="970" t="s">
        <v>256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257</v>
      </c>
      <c r="F11" s="213" t="s">
        <v>237</v>
      </c>
      <c r="G11" s="168" t="s">
        <v>241</v>
      </c>
      <c r="H11" s="168" t="s">
        <v>241</v>
      </c>
      <c r="I11" s="168" t="s">
        <v>241</v>
      </c>
      <c r="J11" s="168" t="s">
        <v>241</v>
      </c>
      <c r="K11" s="213" t="s">
        <v>241</v>
      </c>
      <c r="L11" s="158"/>
    </row>
    <row r="12" spans="1:13">
      <c r="B12" s="215"/>
      <c r="C12" s="133"/>
      <c r="D12" s="172" t="s">
        <v>80</v>
      </c>
      <c r="E12" s="168" t="s">
        <v>320</v>
      </c>
      <c r="F12" s="168" t="s">
        <v>320</v>
      </c>
      <c r="G12" s="168" t="s">
        <v>320</v>
      </c>
      <c r="H12" s="168" t="s">
        <v>320</v>
      </c>
      <c r="I12" s="168" t="s">
        <v>320</v>
      </c>
      <c r="J12" s="168" t="s">
        <v>320</v>
      </c>
      <c r="K12" s="213" t="s">
        <v>313</v>
      </c>
      <c r="L12" s="116"/>
    </row>
    <row r="13" spans="1:13">
      <c r="A13" s="119" t="s">
        <v>4</v>
      </c>
      <c r="B13" s="201"/>
      <c r="C13" s="130"/>
      <c r="D13" s="172" t="s">
        <v>241</v>
      </c>
      <c r="E13" s="168" t="s">
        <v>321</v>
      </c>
      <c r="F13" s="168" t="s">
        <v>321</v>
      </c>
      <c r="G13" s="168" t="s">
        <v>321</v>
      </c>
      <c r="H13" s="168" t="s">
        <v>321</v>
      </c>
      <c r="I13" s="168" t="s">
        <v>321</v>
      </c>
      <c r="J13" s="168" t="s">
        <v>321</v>
      </c>
      <c r="K13" s="213" t="s">
        <v>288</v>
      </c>
      <c r="L13" s="116"/>
      <c r="M13" s="119" t="s">
        <v>4</v>
      </c>
    </row>
    <row r="14" spans="1:13">
      <c r="A14" s="119" t="s">
        <v>5</v>
      </c>
      <c r="B14" s="1018" t="s">
        <v>261</v>
      </c>
      <c r="C14" s="1015" t="s">
        <v>262</v>
      </c>
      <c r="D14" s="1142" t="s">
        <v>320</v>
      </c>
      <c r="E14" s="1130" t="s">
        <v>263</v>
      </c>
      <c r="F14" s="1130" t="s">
        <v>264</v>
      </c>
      <c r="G14" s="1130" t="s">
        <v>322</v>
      </c>
      <c r="H14" s="1130" t="s">
        <v>323</v>
      </c>
      <c r="I14" s="1130" t="s">
        <v>324</v>
      </c>
      <c r="J14" s="1130" t="s">
        <v>267</v>
      </c>
      <c r="K14" s="1113" t="s">
        <v>268</v>
      </c>
      <c r="L14" s="1015" t="s">
        <v>8</v>
      </c>
      <c r="M14" s="119" t="s">
        <v>5</v>
      </c>
    </row>
    <row r="15" spans="1:13">
      <c r="B15" s="133"/>
      <c r="C15" s="133" t="s">
        <v>269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270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216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271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216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272</v>
      </c>
      <c r="D18" s="178">
        <v>0</v>
      </c>
      <c r="E18" s="179">
        <v>1.1003514720000001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1.1003514720000001</v>
      </c>
      <c r="L18" s="158" t="s">
        <v>216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272</v>
      </c>
      <c r="D19" s="178">
        <v>0</v>
      </c>
      <c r="E19" s="179">
        <v>0</v>
      </c>
      <c r="F19" s="179">
        <v>49.343540000000004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49.343540000000004</v>
      </c>
      <c r="L19" s="158" t="s">
        <v>216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273</v>
      </c>
      <c r="D20" s="178">
        <v>0</v>
      </c>
      <c r="E20" s="179">
        <v>0</v>
      </c>
      <c r="F20" s="179">
        <v>785.35741082426387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785.35741082426387</v>
      </c>
      <c r="L20" s="158" t="s">
        <v>216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81" t="s">
        <v>274</v>
      </c>
      <c r="C22" s="1182" t="s">
        <v>275</v>
      </c>
      <c r="D22" s="1183">
        <f t="shared" ref="D22:I22" si="2">SUM(D16:D21)</f>
        <v>0</v>
      </c>
      <c r="E22" s="1183">
        <f t="shared" si="2"/>
        <v>1.1003514720000001</v>
      </c>
      <c r="F22" s="1183">
        <f>SUM(F16:F21)</f>
        <v>834.70095082426383</v>
      </c>
      <c r="G22" s="1183">
        <f t="shared" si="2"/>
        <v>0</v>
      </c>
      <c r="H22" s="1183">
        <f t="shared" si="2"/>
        <v>0</v>
      </c>
      <c r="I22" s="1183">
        <f t="shared" si="2"/>
        <v>0</v>
      </c>
      <c r="J22" s="1183">
        <f>SUM(J16:J21)</f>
        <v>0</v>
      </c>
      <c r="K22" s="961">
        <f>SUM(K16:K21)</f>
        <v>835.80130229626388</v>
      </c>
      <c r="L22" s="1184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272</v>
      </c>
      <c r="D24" s="176">
        <v>34192.177180000013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-398.91016672000012</v>
      </c>
      <c r="K24" s="141">
        <f t="shared" ref="K24:K32" si="3">SUM(D24:J24)</f>
        <v>33793.267013280012</v>
      </c>
      <c r="L24" s="158" t="s">
        <v>216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273</v>
      </c>
      <c r="D25" s="181">
        <v>158132.68946523691</v>
      </c>
      <c r="E25" s="179">
        <v>0</v>
      </c>
      <c r="F25" s="179">
        <v>0</v>
      </c>
      <c r="G25" s="181">
        <v>-619.54469105066437</v>
      </c>
      <c r="H25" s="178">
        <v>0</v>
      </c>
      <c r="I25" s="179">
        <v>0</v>
      </c>
      <c r="J25" s="182">
        <v>-25973.644242050963</v>
      </c>
      <c r="K25" s="180">
        <f t="shared" si="3"/>
        <v>131539.50053213528</v>
      </c>
      <c r="L25" s="158" t="s">
        <v>216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276</v>
      </c>
      <c r="D26" s="181">
        <v>675429.88923556637</v>
      </c>
      <c r="E26" s="179">
        <v>0</v>
      </c>
      <c r="F26" s="179">
        <v>0</v>
      </c>
      <c r="G26" s="181">
        <v>-4307.0072822957945</v>
      </c>
      <c r="H26" s="178">
        <v>-648.59725349409518</v>
      </c>
      <c r="I26" s="179">
        <v>0</v>
      </c>
      <c r="J26" s="182">
        <v>-1801.597698374565</v>
      </c>
      <c r="K26" s="180">
        <f t="shared" si="3"/>
        <v>668672.68700140191</v>
      </c>
      <c r="L26" s="158" t="s">
        <v>216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277</v>
      </c>
      <c r="D27" s="181">
        <v>300967.89680160215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300967.89680160215</v>
      </c>
      <c r="L27" s="158" t="s">
        <v>216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278</v>
      </c>
      <c r="D28" s="181">
        <v>242890.36550048084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242890.36550048084</v>
      </c>
      <c r="L28" s="158" t="s">
        <v>216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279</v>
      </c>
      <c r="D29" s="181">
        <v>319418.18373260985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319418.18373260985</v>
      </c>
      <c r="L29" s="158" t="s">
        <v>216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280</v>
      </c>
      <c r="D30" s="181">
        <v>128993.86591752002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128993.86591752002</v>
      </c>
      <c r="L30" s="158" t="s">
        <v>216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281</v>
      </c>
      <c r="D31" s="181">
        <v>127912.44765813717</v>
      </c>
      <c r="E31" s="179">
        <v>0</v>
      </c>
      <c r="F31" s="179">
        <v>0</v>
      </c>
      <c r="G31" s="181">
        <v>-677.52025342225772</v>
      </c>
      <c r="H31" s="178">
        <v>0</v>
      </c>
      <c r="I31" s="179">
        <v>0</v>
      </c>
      <c r="J31" s="182">
        <v>0</v>
      </c>
      <c r="K31" s="180">
        <f t="shared" si="3"/>
        <v>127234.92740471491</v>
      </c>
      <c r="L31" s="158" t="s">
        <v>216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282</v>
      </c>
      <c r="D32" s="181">
        <v>68288.094049413616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68288.094049413616</v>
      </c>
      <c r="L32" s="158" t="s">
        <v>216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3"/>
      <c r="G33" s="1033"/>
      <c r="H33" s="1033"/>
      <c r="I33" s="1033"/>
      <c r="J33" s="182"/>
      <c r="K33" s="1143"/>
      <c r="L33" s="175"/>
      <c r="M33" s="119">
        <f t="shared" si="1"/>
        <v>18</v>
      </c>
    </row>
    <row r="34" spans="1:13">
      <c r="A34" s="119">
        <f t="shared" si="0"/>
        <v>19</v>
      </c>
      <c r="B34" s="1185" t="s">
        <v>274</v>
      </c>
      <c r="C34" s="1182" t="s">
        <v>240</v>
      </c>
      <c r="D34" s="1183">
        <f t="shared" ref="D34:I34" si="4">SUM(D24:D33)</f>
        <v>2056225.609540567</v>
      </c>
      <c r="E34" s="1183">
        <f t="shared" si="4"/>
        <v>0</v>
      </c>
      <c r="F34" s="1183">
        <f>SUM(F24:F33)</f>
        <v>0</v>
      </c>
      <c r="G34" s="1183">
        <f t="shared" si="4"/>
        <v>-5604.072226768717</v>
      </c>
      <c r="H34" s="1183">
        <f t="shared" si="4"/>
        <v>-648.59725349409518</v>
      </c>
      <c r="I34" s="1183">
        <f t="shared" si="4"/>
        <v>0</v>
      </c>
      <c r="J34" s="1183">
        <f>SUM(J24:J33)</f>
        <v>-28174.152107145528</v>
      </c>
      <c r="K34" s="961">
        <f>SUM(K24:K33)</f>
        <v>2021798.7879531591</v>
      </c>
      <c r="L34" s="1186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62"/>
      <c r="M35" s="119">
        <f t="shared" si="1"/>
        <v>20</v>
      </c>
    </row>
    <row r="36" spans="1:13">
      <c r="A36" s="119">
        <f t="shared" si="0"/>
        <v>21</v>
      </c>
      <c r="B36" s="1190" t="s">
        <v>283</v>
      </c>
      <c r="C36" s="963"/>
      <c r="D36" s="1188">
        <f t="shared" ref="D36:I36" si="5">D34+D22</f>
        <v>2056225.609540567</v>
      </c>
      <c r="E36" s="1188">
        <f t="shared" si="5"/>
        <v>1.1003514720000001</v>
      </c>
      <c r="F36" s="1188">
        <f>F34+F22</f>
        <v>834.70095082426383</v>
      </c>
      <c r="G36" s="1188">
        <f t="shared" si="5"/>
        <v>-5604.072226768717</v>
      </c>
      <c r="H36" s="1188">
        <f t="shared" si="5"/>
        <v>-648.59725349409518</v>
      </c>
      <c r="I36" s="1189">
        <f t="shared" si="5"/>
        <v>0</v>
      </c>
      <c r="J36" s="1188">
        <f>J34+J22</f>
        <v>-28174.152107145528</v>
      </c>
      <c r="K36" s="1188">
        <f>K34+K22</f>
        <v>2022634.5892554554</v>
      </c>
      <c r="L36" s="1184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325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58"/>
  <sheetViews>
    <sheetView zoomScale="80" zoomScaleNormal="80" zoomScalePageLayoutView="30" workbookViewId="0"/>
  </sheetViews>
  <sheetFormatPr defaultColWidth="8.6328125" defaultRowHeight="15.5"/>
  <cols>
    <col min="1" max="1" width="5.08984375" style="216" customWidth="1"/>
    <col min="2" max="2" width="93.08984375" style="3" bestFit="1" customWidth="1"/>
    <col min="3" max="3" width="10.36328125" style="3" customWidth="1"/>
    <col min="4" max="4" width="1.54296875" style="3" customWidth="1"/>
    <col min="5" max="5" width="16.6328125" style="3" customWidth="1"/>
    <col min="6" max="6" width="1.54296875" style="3" customWidth="1"/>
    <col min="7" max="7" width="43.36328125" style="3" customWidth="1"/>
    <col min="8" max="8" width="5.08984375" style="247" customWidth="1"/>
    <col min="9" max="9" width="8.6328125" style="3"/>
    <col min="10" max="10" width="9.6328125" style="3" bestFit="1" customWidth="1"/>
    <col min="11" max="16384" width="8.6328125" style="3"/>
  </cols>
  <sheetData>
    <row r="1" spans="1:8">
      <c r="A1" s="568"/>
      <c r="B1" s="28"/>
      <c r="C1" s="28"/>
      <c r="D1" s="28"/>
      <c r="E1" s="59"/>
      <c r="F1" s="59"/>
      <c r="G1" s="59"/>
      <c r="H1" s="562"/>
    </row>
    <row r="2" spans="1:8">
      <c r="A2" s="568"/>
      <c r="B2" s="1283" t="str">
        <f>'Summary of Cost Components'!B2:D2</f>
        <v>SAN DIEGO GAS &amp; ELECTRIC COMPANY</v>
      </c>
      <c r="C2" s="1283"/>
      <c r="D2" s="1283"/>
      <c r="E2" s="1283"/>
      <c r="F2" s="1283"/>
      <c r="G2" s="1283"/>
      <c r="H2" s="562"/>
    </row>
    <row r="3" spans="1:8">
      <c r="B3" s="1283" t="str">
        <f>'Summary of Cost Components'!B3:D3</f>
        <v>CITIZENS' SHARE OF THE SX-PQ UNDERGROUND LINE SEGMENT</v>
      </c>
      <c r="C3" s="1283"/>
      <c r="D3" s="1283"/>
      <c r="E3" s="1283"/>
      <c r="F3" s="1283"/>
      <c r="G3" s="1283"/>
      <c r="H3" s="568"/>
    </row>
    <row r="4" spans="1:8">
      <c r="B4" s="1283" t="s">
        <v>35</v>
      </c>
      <c r="C4" s="1283"/>
      <c r="D4" s="1283"/>
      <c r="E4" s="1283"/>
      <c r="F4" s="1283"/>
      <c r="G4" s="1283"/>
      <c r="H4" s="568"/>
    </row>
    <row r="5" spans="1:8">
      <c r="B5" s="1284" t="str">
        <f>'A. Sec.1 - Direct Maintenance'!B5</f>
        <v>Base Period &amp; True-Up Period 12 - Months Ending December 31, 2023</v>
      </c>
      <c r="C5" s="1284"/>
      <c r="D5" s="1284"/>
      <c r="E5" s="1284"/>
      <c r="F5" s="1284"/>
      <c r="G5" s="1284"/>
      <c r="H5" s="568"/>
    </row>
    <row r="6" spans="1:8">
      <c r="B6" s="1285" t="s">
        <v>3</v>
      </c>
      <c r="C6" s="1285"/>
      <c r="D6" s="1285"/>
      <c r="E6" s="1285"/>
      <c r="F6" s="1285"/>
      <c r="G6" s="1285"/>
      <c r="H6" s="573"/>
    </row>
    <row r="7" spans="1:8">
      <c r="A7" s="569"/>
      <c r="B7" s="27"/>
      <c r="C7" s="27"/>
      <c r="D7" s="27"/>
      <c r="E7" s="27"/>
      <c r="F7" s="27"/>
      <c r="G7" s="59"/>
      <c r="H7" s="562"/>
    </row>
    <row r="8" spans="1:8">
      <c r="A8" s="570" t="s">
        <v>4</v>
      </c>
      <c r="B8" s="28"/>
      <c r="C8" s="28"/>
      <c r="D8" s="28"/>
      <c r="E8" s="27"/>
      <c r="F8" s="27"/>
      <c r="G8" s="28"/>
      <c r="H8" s="570" t="s">
        <v>4</v>
      </c>
    </row>
    <row r="9" spans="1:8">
      <c r="A9" s="570" t="s">
        <v>5</v>
      </c>
      <c r="B9" s="28"/>
      <c r="C9" s="28"/>
      <c r="D9" s="28"/>
      <c r="E9" s="1100" t="s">
        <v>7</v>
      </c>
      <c r="F9" s="31"/>
      <c r="G9" s="1100" t="s">
        <v>8</v>
      </c>
      <c r="H9" s="570" t="s">
        <v>5</v>
      </c>
    </row>
    <row r="10" spans="1:8">
      <c r="A10" s="570"/>
      <c r="B10" s="28"/>
      <c r="C10" s="28"/>
      <c r="D10" s="28"/>
      <c r="E10" s="27"/>
      <c r="F10" s="31"/>
      <c r="G10" s="27"/>
      <c r="H10" s="570"/>
    </row>
    <row r="11" spans="1:8">
      <c r="A11" s="570">
        <v>1</v>
      </c>
      <c r="B11" s="30" t="s">
        <v>36</v>
      </c>
      <c r="C11" s="30"/>
      <c r="D11" s="30"/>
      <c r="E11" s="59"/>
      <c r="F11" s="59"/>
      <c r="G11" s="27"/>
      <c r="H11" s="570">
        <f>A11</f>
        <v>1</v>
      </c>
    </row>
    <row r="12" spans="1:8">
      <c r="A12" s="570">
        <f>A11+1</f>
        <v>2</v>
      </c>
      <c r="B12" s="32" t="s">
        <v>37</v>
      </c>
      <c r="C12" s="605"/>
      <c r="D12" s="605"/>
      <c r="E12" s="606">
        <f>E52</f>
        <v>6.4273582124071173E-3</v>
      </c>
      <c r="F12" s="542"/>
      <c r="G12" s="26" t="str">
        <f>"Page 2; Line "&amp;A52</f>
        <v>Page 2; Line 6</v>
      </c>
      <c r="H12" s="570">
        <f>H11+1</f>
        <v>2</v>
      </c>
    </row>
    <row r="13" spans="1:8">
      <c r="A13" s="570">
        <f t="shared" ref="A13:A35" si="0">A12+1</f>
        <v>3</v>
      </c>
      <c r="B13" s="28"/>
      <c r="C13" s="572"/>
      <c r="D13" s="572"/>
      <c r="E13" s="607"/>
      <c r="F13" s="31"/>
      <c r="G13" s="26"/>
      <c r="H13" s="570">
        <f t="shared" ref="H13:H35" si="1">H12+1</f>
        <v>3</v>
      </c>
    </row>
    <row r="14" spans="1:8">
      <c r="A14" s="570">
        <f t="shared" si="0"/>
        <v>4</v>
      </c>
      <c r="B14" s="32" t="s">
        <v>38</v>
      </c>
      <c r="C14" s="605"/>
      <c r="D14" s="605"/>
      <c r="E14" s="606">
        <f>E57</f>
        <v>8.5192048717927498E-3</v>
      </c>
      <c r="F14" s="542"/>
      <c r="G14" s="26" t="str">
        <f>"Page 2; Line "&amp;A57</f>
        <v>Page 2; Line 11</v>
      </c>
      <c r="H14" s="570">
        <f t="shared" si="1"/>
        <v>4</v>
      </c>
    </row>
    <row r="15" spans="1:8">
      <c r="A15" s="570">
        <f t="shared" si="0"/>
        <v>5</v>
      </c>
      <c r="B15" s="59"/>
      <c r="C15" s="569"/>
      <c r="D15" s="569"/>
      <c r="E15" s="608"/>
      <c r="F15" s="543"/>
      <c r="G15" s="26"/>
      <c r="H15" s="570">
        <f t="shared" si="1"/>
        <v>5</v>
      </c>
    </row>
    <row r="16" spans="1:8">
      <c r="A16" s="570">
        <f t="shared" si="0"/>
        <v>6</v>
      </c>
      <c r="B16" s="59" t="s">
        <v>39</v>
      </c>
      <c r="C16" s="569"/>
      <c r="D16" s="569"/>
      <c r="E16" s="821">
        <f>E62</f>
        <v>1.1209521662453828E-2</v>
      </c>
      <c r="F16" s="543"/>
      <c r="G16" s="26" t="str">
        <f>"Page 2; Line "&amp;A62</f>
        <v>Page 2; Line 16</v>
      </c>
      <c r="H16" s="570">
        <f t="shared" si="1"/>
        <v>6</v>
      </c>
    </row>
    <row r="17" spans="1:14">
      <c r="A17" s="570">
        <f t="shared" si="0"/>
        <v>7</v>
      </c>
      <c r="B17" s="59"/>
      <c r="C17" s="569"/>
      <c r="D17" s="569"/>
      <c r="E17" s="608"/>
      <c r="F17" s="543"/>
      <c r="G17" s="26"/>
      <c r="H17" s="570">
        <f t="shared" si="1"/>
        <v>7</v>
      </c>
    </row>
    <row r="18" spans="1:14">
      <c r="A18" s="570">
        <f t="shared" si="0"/>
        <v>8</v>
      </c>
      <c r="B18" s="32" t="s">
        <v>40</v>
      </c>
      <c r="C18" s="605"/>
      <c r="D18" s="605"/>
      <c r="E18" s="606">
        <f>E67</f>
        <v>3.1365021541392336E-4</v>
      </c>
      <c r="F18" s="542"/>
      <c r="G18" s="26" t="str">
        <f>"Page 2; Line "&amp;A67</f>
        <v>Page 2; Line 21</v>
      </c>
      <c r="H18" s="570">
        <f t="shared" si="1"/>
        <v>8</v>
      </c>
    </row>
    <row r="19" spans="1:14">
      <c r="A19" s="570">
        <f t="shared" si="0"/>
        <v>9</v>
      </c>
      <c r="B19" s="28"/>
      <c r="C19" s="572"/>
      <c r="D19" s="572"/>
      <c r="E19" s="607"/>
      <c r="F19" s="31"/>
      <c r="G19" s="26"/>
      <c r="H19" s="570">
        <f t="shared" si="1"/>
        <v>9</v>
      </c>
    </row>
    <row r="20" spans="1:14">
      <c r="A20" s="570">
        <f t="shared" si="0"/>
        <v>10</v>
      </c>
      <c r="B20" s="32" t="s">
        <v>41</v>
      </c>
      <c r="C20" s="572"/>
      <c r="D20" s="572"/>
      <c r="E20" s="606">
        <f>E80</f>
        <v>1.5725293788671491E-3</v>
      </c>
      <c r="F20" s="31"/>
      <c r="G20" s="26" t="str">
        <f>"Page 2; Line "&amp;A80</f>
        <v>Page 2; Line 34</v>
      </c>
      <c r="H20" s="570">
        <f t="shared" si="1"/>
        <v>10</v>
      </c>
    </row>
    <row r="21" spans="1:14">
      <c r="A21" s="570">
        <f t="shared" si="0"/>
        <v>11</v>
      </c>
      <c r="B21" s="28"/>
      <c r="C21" s="572"/>
      <c r="D21" s="572"/>
      <c r="E21" s="607"/>
      <c r="F21" s="31"/>
      <c r="G21" s="26"/>
      <c r="H21" s="570">
        <f t="shared" si="1"/>
        <v>11</v>
      </c>
    </row>
    <row r="22" spans="1:14">
      <c r="A22" s="570">
        <f t="shared" si="0"/>
        <v>12</v>
      </c>
      <c r="B22" s="32" t="s">
        <v>42</v>
      </c>
      <c r="C22" s="605"/>
      <c r="D22" s="605"/>
      <c r="E22" s="606">
        <f>E97</f>
        <v>5.2156566908245199E-3</v>
      </c>
      <c r="F22" s="542"/>
      <c r="G22" s="26" t="str">
        <f>"Page 2; Line "&amp;A97</f>
        <v>Page 2; Line 51</v>
      </c>
      <c r="H22" s="570">
        <f t="shared" si="1"/>
        <v>12</v>
      </c>
    </row>
    <row r="23" spans="1:14">
      <c r="A23" s="570">
        <f t="shared" si="0"/>
        <v>13</v>
      </c>
      <c r="B23" s="705"/>
      <c r="C23" s="574"/>
      <c r="D23" s="574"/>
      <c r="E23" s="937"/>
      <c r="F23" s="43"/>
      <c r="G23" s="26"/>
      <c r="H23" s="570">
        <f t="shared" si="1"/>
        <v>13</v>
      </c>
    </row>
    <row r="24" spans="1:14">
      <c r="A24" s="570">
        <f t="shared" si="0"/>
        <v>14</v>
      </c>
      <c r="B24" s="32" t="s">
        <v>43</v>
      </c>
      <c r="C24" s="605"/>
      <c r="D24" s="605"/>
      <c r="E24" s="609">
        <f>SUM(E12:E22)</f>
        <v>3.3257921031759285E-2</v>
      </c>
      <c r="F24" s="542"/>
      <c r="G24" s="26" t="str">
        <f>"Sum Lines "&amp;A12&amp;" thru "&amp;A22&amp;""</f>
        <v>Sum Lines 2 thru 12</v>
      </c>
      <c r="H24" s="570">
        <f t="shared" si="1"/>
        <v>14</v>
      </c>
    </row>
    <row r="25" spans="1:14">
      <c r="A25" s="570">
        <f t="shared" si="0"/>
        <v>15</v>
      </c>
      <c r="B25" s="28"/>
      <c r="C25" s="572"/>
      <c r="D25" s="572"/>
      <c r="E25" s="610"/>
      <c r="F25" s="33"/>
      <c r="G25" s="26"/>
      <c r="H25" s="570">
        <f t="shared" si="1"/>
        <v>15</v>
      </c>
    </row>
    <row r="26" spans="1:14">
      <c r="A26" s="570">
        <f t="shared" si="0"/>
        <v>16</v>
      </c>
      <c r="B26" s="59" t="s">
        <v>33</v>
      </c>
      <c r="C26" s="611">
        <f>'A. Sec.1 - Direct Maintenance'!C25</f>
        <v>1.0207000000000001E-2</v>
      </c>
      <c r="D26" s="572"/>
      <c r="E26" s="938">
        <f>E24*C26</f>
        <v>3.3946359997116707E-4</v>
      </c>
      <c r="F26" s="518"/>
      <c r="G26" s="26" t="str">
        <f>"Line "&amp;A24&amp;" x Franchise Fee Rate"</f>
        <v>Line 14 x Franchise Fee Rate</v>
      </c>
      <c r="H26" s="570">
        <f t="shared" si="1"/>
        <v>16</v>
      </c>
      <c r="J26"/>
      <c r="K26"/>
      <c r="L26"/>
      <c r="M26"/>
      <c r="N26"/>
    </row>
    <row r="27" spans="1:14">
      <c r="A27" s="570">
        <f t="shared" si="0"/>
        <v>17</v>
      </c>
      <c r="B27" s="28"/>
      <c r="C27" s="572"/>
      <c r="D27" s="572"/>
      <c r="E27" s="939"/>
      <c r="F27" s="42"/>
      <c r="G27" s="26"/>
      <c r="H27" s="570">
        <f t="shared" si="1"/>
        <v>17</v>
      </c>
    </row>
    <row r="28" spans="1:14" ht="16" thickBot="1">
      <c r="A28" s="570">
        <f t="shared" si="0"/>
        <v>18</v>
      </c>
      <c r="B28" s="28" t="s">
        <v>44</v>
      </c>
      <c r="C28" s="572"/>
      <c r="D28" s="572"/>
      <c r="E28" s="612">
        <f>E24+E26</f>
        <v>3.3597384631730454E-2</v>
      </c>
      <c r="F28" s="547"/>
      <c r="G28" s="26" t="str">
        <f>"Line "&amp;A24&amp;" + Line "&amp;A26</f>
        <v>Line 14 + Line 16</v>
      </c>
      <c r="H28" s="570">
        <f t="shared" si="1"/>
        <v>18</v>
      </c>
    </row>
    <row r="29" spans="1:14" ht="16" thickTop="1">
      <c r="A29" s="570">
        <f t="shared" si="0"/>
        <v>19</v>
      </c>
      <c r="B29" s="59"/>
      <c r="C29" s="569"/>
      <c r="D29" s="569"/>
      <c r="E29" s="572"/>
      <c r="F29" s="28"/>
      <c r="G29" s="28"/>
      <c r="H29" s="570">
        <f t="shared" si="1"/>
        <v>19</v>
      </c>
    </row>
    <row r="30" spans="1:14">
      <c r="A30" s="570">
        <f t="shared" si="0"/>
        <v>20</v>
      </c>
      <c r="B30" s="30" t="s">
        <v>45</v>
      </c>
      <c r="C30" s="613"/>
      <c r="D30" s="613"/>
      <c r="E30" s="569"/>
      <c r="F30" s="59"/>
      <c r="G30" s="28"/>
      <c r="H30" s="570">
        <f t="shared" si="1"/>
        <v>20</v>
      </c>
    </row>
    <row r="31" spans="1:14">
      <c r="A31" s="570">
        <f t="shared" si="0"/>
        <v>21</v>
      </c>
      <c r="B31" s="32" t="s">
        <v>46</v>
      </c>
      <c r="C31" s="605"/>
      <c r="D31" s="605"/>
      <c r="E31" s="353">
        <v>27000</v>
      </c>
      <c r="F31" s="31"/>
      <c r="G31" s="26" t="s">
        <v>47</v>
      </c>
      <c r="H31" s="570">
        <f t="shared" si="1"/>
        <v>21</v>
      </c>
    </row>
    <row r="32" spans="1:14">
      <c r="A32" s="570">
        <f t="shared" si="0"/>
        <v>22</v>
      </c>
      <c r="B32" s="32"/>
      <c r="C32" s="605"/>
      <c r="D32" s="605"/>
      <c r="E32" s="605"/>
      <c r="F32" s="32"/>
      <c r="G32" s="26"/>
      <c r="H32" s="570">
        <f t="shared" si="1"/>
        <v>22</v>
      </c>
    </row>
    <row r="33" spans="1:8">
      <c r="A33" s="570">
        <f t="shared" si="0"/>
        <v>23</v>
      </c>
      <c r="B33" s="32" t="s">
        <v>48</v>
      </c>
      <c r="C33" s="605"/>
      <c r="D33" s="605"/>
      <c r="E33" s="609">
        <f>+E28</f>
        <v>3.3597384631730454E-2</v>
      </c>
      <c r="F33" s="542"/>
      <c r="G33" s="26" t="str">
        <f>"Line "&amp;A28&amp;" Above"</f>
        <v>Line 18 Above</v>
      </c>
      <c r="H33" s="570">
        <f t="shared" si="1"/>
        <v>23</v>
      </c>
    </row>
    <row r="34" spans="1:8">
      <c r="A34" s="570">
        <f t="shared" si="0"/>
        <v>24</v>
      </c>
      <c r="B34" s="28"/>
      <c r="C34" s="572"/>
      <c r="D34" s="572"/>
      <c r="E34" s="940"/>
      <c r="F34" s="548"/>
      <c r="G34" s="26"/>
      <c r="H34" s="570">
        <f t="shared" si="1"/>
        <v>24</v>
      </c>
    </row>
    <row r="35" spans="1:8" ht="16" thickBot="1">
      <c r="A35" s="570">
        <f t="shared" si="0"/>
        <v>25</v>
      </c>
      <c r="B35" s="28" t="s">
        <v>49</v>
      </c>
      <c r="C35" s="605"/>
      <c r="D35" s="605"/>
      <c r="E35" s="614">
        <f>E31*E33</f>
        <v>907.1293850567223</v>
      </c>
      <c r="F35" s="549"/>
      <c r="G35" s="26" t="str">
        <f>"Line "&amp;A31&amp;" x Line "&amp;A33</f>
        <v>Line 21 x Line 23</v>
      </c>
      <c r="H35" s="570">
        <f t="shared" si="1"/>
        <v>25</v>
      </c>
    </row>
    <row r="36" spans="1:8" ht="16" thickTop="1">
      <c r="A36" s="570"/>
      <c r="B36" s="28"/>
      <c r="C36" s="32"/>
      <c r="D36" s="32"/>
      <c r="E36" s="594"/>
      <c r="F36" s="549"/>
      <c r="G36" s="26"/>
      <c r="H36" s="570"/>
    </row>
    <row r="37" spans="1:8">
      <c r="A37" s="569"/>
      <c r="B37" s="28"/>
      <c r="C37" s="28"/>
      <c r="D37" s="28"/>
      <c r="E37" s="705"/>
      <c r="F37" s="705"/>
      <c r="G37" s="59"/>
      <c r="H37" s="562"/>
    </row>
    <row r="38" spans="1:8">
      <c r="A38" s="569"/>
      <c r="B38" s="1286" t="str">
        <f>B2</f>
        <v>SAN DIEGO GAS &amp; ELECTRIC COMPANY</v>
      </c>
      <c r="C38" s="1286"/>
      <c r="D38" s="1286"/>
      <c r="E38" s="1286"/>
      <c r="F38" s="1286"/>
      <c r="G38" s="1286"/>
      <c r="H38" s="562"/>
    </row>
    <row r="39" spans="1:8">
      <c r="B39" s="1286" t="str">
        <f>B3</f>
        <v>CITIZENS' SHARE OF THE SX-PQ UNDERGROUND LINE SEGMENT</v>
      </c>
      <c r="C39" s="1286"/>
      <c r="D39" s="1286"/>
      <c r="E39" s="1286"/>
      <c r="F39" s="1286"/>
      <c r="G39" s="1286"/>
      <c r="H39" s="574"/>
    </row>
    <row r="40" spans="1:8">
      <c r="B40" s="1283" t="str">
        <f>B4</f>
        <v xml:space="preserve">Section 2 - Non-Direct Expense Cost Component </v>
      </c>
      <c r="C40" s="1283"/>
      <c r="D40" s="1283"/>
      <c r="E40" s="1283"/>
      <c r="F40" s="1283"/>
      <c r="G40" s="1283"/>
      <c r="H40" s="572"/>
    </row>
    <row r="41" spans="1:8">
      <c r="B41" s="1284" t="str">
        <f>B5</f>
        <v>Base Period &amp; True-Up Period 12 - Months Ending December 31, 2023</v>
      </c>
      <c r="C41" s="1284"/>
      <c r="D41" s="1284"/>
      <c r="E41" s="1284"/>
      <c r="F41" s="1284"/>
      <c r="G41" s="1284"/>
      <c r="H41" s="572"/>
    </row>
    <row r="42" spans="1:8">
      <c r="B42" s="1285" t="str">
        <f>B6</f>
        <v>($1,000)</v>
      </c>
      <c r="C42" s="1277"/>
      <c r="D42" s="1277"/>
      <c r="E42" s="1277"/>
      <c r="F42" s="1277"/>
      <c r="G42" s="1277"/>
      <c r="H42" s="110"/>
    </row>
    <row r="43" spans="1:8">
      <c r="A43" s="571"/>
      <c r="B43" s="28"/>
      <c r="C43" s="28"/>
      <c r="D43" s="28"/>
      <c r="E43" s="28"/>
      <c r="F43" s="28"/>
      <c r="G43" s="28"/>
      <c r="H43" s="562"/>
    </row>
    <row r="44" spans="1:8">
      <c r="A44" s="570" t="s">
        <v>4</v>
      </c>
      <c r="B44" s="28"/>
      <c r="C44" s="28"/>
      <c r="D44" s="28"/>
      <c r="E44" s="27"/>
      <c r="F44" s="27"/>
      <c r="G44" s="28"/>
      <c r="H44" s="570" t="s">
        <v>4</v>
      </c>
    </row>
    <row r="45" spans="1:8">
      <c r="A45" s="570" t="s">
        <v>5</v>
      </c>
      <c r="B45" s="28"/>
      <c r="C45" s="28"/>
      <c r="D45" s="28"/>
      <c r="E45" s="1100" t="s">
        <v>7</v>
      </c>
      <c r="F45" s="26"/>
      <c r="G45" s="1100" t="s">
        <v>8</v>
      </c>
      <c r="H45" s="570" t="s">
        <v>5</v>
      </c>
    </row>
    <row r="46" spans="1:8">
      <c r="A46" s="570"/>
      <c r="B46" s="28"/>
      <c r="C46" s="28"/>
      <c r="D46" s="28"/>
      <c r="E46" s="27"/>
      <c r="F46" s="27"/>
      <c r="G46" s="28"/>
      <c r="H46" s="570"/>
    </row>
    <row r="47" spans="1:8">
      <c r="A47" s="570">
        <v>1</v>
      </c>
      <c r="B47" s="34" t="s">
        <v>50</v>
      </c>
      <c r="C47" s="34"/>
      <c r="D47" s="34"/>
      <c r="E47" s="706">
        <f>'AV-4'!C16</f>
        <v>6218333.8347080797</v>
      </c>
      <c r="F47" s="27"/>
      <c r="G47" s="26" t="str">
        <f>"AV-4; Line "&amp;'AV-4'!A16&amp;""</f>
        <v>AV-4; Line 6</v>
      </c>
      <c r="H47" s="570">
        <f>A47</f>
        <v>1</v>
      </c>
    </row>
    <row r="48" spans="1:8">
      <c r="A48" s="570">
        <f>A47+1</f>
        <v>2</v>
      </c>
      <c r="B48" s="28"/>
      <c r="C48" s="28"/>
      <c r="D48" s="28"/>
      <c r="E48" s="568"/>
      <c r="F48" s="27"/>
      <c r="G48" s="28"/>
      <c r="H48" s="570">
        <f>H47+1</f>
        <v>2</v>
      </c>
    </row>
    <row r="49" spans="1:10">
      <c r="A49" s="570">
        <f t="shared" ref="A49:A97" si="2">A48+1</f>
        <v>3</v>
      </c>
      <c r="B49" s="30" t="s">
        <v>51</v>
      </c>
      <c r="C49" s="30"/>
      <c r="D49" s="30"/>
      <c r="E49" s="615"/>
      <c r="F49" s="35"/>
      <c r="G49" s="28"/>
      <c r="H49" s="570">
        <f t="shared" ref="H49:H97" si="3">H48+1</f>
        <v>3</v>
      </c>
    </row>
    <row r="50" spans="1:10">
      <c r="A50" s="570">
        <f t="shared" si="2"/>
        <v>4</v>
      </c>
      <c r="B50" s="32" t="s">
        <v>52</v>
      </c>
      <c r="C50" s="32"/>
      <c r="D50" s="32"/>
      <c r="E50" s="941">
        <f>'Stmt AH'!E27</f>
        <v>39967.459040000016</v>
      </c>
      <c r="F50" s="27"/>
      <c r="G50" s="26" t="str">
        <f>"Statement AH; Line "&amp;'Stmt AH'!A27</f>
        <v>Statement AH; Line 17</v>
      </c>
      <c r="H50" s="570">
        <f t="shared" si="3"/>
        <v>4</v>
      </c>
      <c r="J50" s="707"/>
    </row>
    <row r="51" spans="1:10">
      <c r="A51" s="570">
        <f t="shared" si="2"/>
        <v>5</v>
      </c>
      <c r="B51" s="32"/>
      <c r="C51" s="32"/>
      <c r="D51" s="32"/>
      <c r="E51" s="364"/>
      <c r="F51" s="36"/>
      <c r="G51" s="26"/>
      <c r="H51" s="570">
        <f t="shared" si="3"/>
        <v>5</v>
      </c>
      <c r="J51" s="707"/>
    </row>
    <row r="52" spans="1:10">
      <c r="A52" s="570">
        <f t="shared" si="2"/>
        <v>6</v>
      </c>
      <c r="B52" s="32" t="s">
        <v>53</v>
      </c>
      <c r="C52" s="28"/>
      <c r="D52" s="28"/>
      <c r="E52" s="616">
        <f>E50/E47</f>
        <v>6.4273582124071173E-3</v>
      </c>
      <c r="F52" s="58"/>
      <c r="G52" s="26" t="str">
        <f>"Line "&amp;A50&amp;" / Line "&amp;A47</f>
        <v>Line 4 / Line 1</v>
      </c>
      <c r="H52" s="570">
        <f t="shared" si="3"/>
        <v>6</v>
      </c>
      <c r="J52" s="707"/>
    </row>
    <row r="53" spans="1:10">
      <c r="A53" s="570">
        <f t="shared" si="2"/>
        <v>7</v>
      </c>
      <c r="B53" s="32"/>
      <c r="C53" s="32"/>
      <c r="D53" s="32"/>
      <c r="E53" s="708"/>
      <c r="F53" s="709"/>
      <c r="G53" s="26"/>
      <c r="H53" s="570">
        <f t="shared" si="3"/>
        <v>7</v>
      </c>
    </row>
    <row r="54" spans="1:10">
      <c r="A54" s="570">
        <f t="shared" si="2"/>
        <v>8</v>
      </c>
      <c r="B54" s="30" t="s">
        <v>54</v>
      </c>
      <c r="C54" s="30"/>
      <c r="D54" s="30"/>
      <c r="E54" s="710"/>
      <c r="F54" s="711"/>
      <c r="G54" s="29"/>
      <c r="H54" s="570">
        <f t="shared" si="3"/>
        <v>8</v>
      </c>
    </row>
    <row r="55" spans="1:10">
      <c r="A55" s="570">
        <f t="shared" si="2"/>
        <v>9</v>
      </c>
      <c r="B55" s="32" t="s">
        <v>55</v>
      </c>
      <c r="C55" s="32"/>
      <c r="D55" s="32"/>
      <c r="E55" s="942">
        <f>'Stmt AH'!E49</f>
        <v>52975.259899078766</v>
      </c>
      <c r="F55" s="27"/>
      <c r="G55" s="26" t="str">
        <f>"Statement AH; Line "&amp;'Stmt AH'!A49</f>
        <v>Statement AH; Line 39</v>
      </c>
      <c r="H55" s="570">
        <f t="shared" si="3"/>
        <v>9</v>
      </c>
    </row>
    <row r="56" spans="1:10">
      <c r="A56" s="570">
        <f t="shared" si="2"/>
        <v>10</v>
      </c>
      <c r="B56" s="28"/>
      <c r="C56" s="28"/>
      <c r="D56" s="28"/>
      <c r="E56" s="710"/>
      <c r="F56" s="711"/>
      <c r="G56" s="26"/>
      <c r="H56" s="570">
        <f t="shared" si="3"/>
        <v>10</v>
      </c>
    </row>
    <row r="57" spans="1:10">
      <c r="A57" s="570">
        <f t="shared" si="2"/>
        <v>11</v>
      </c>
      <c r="B57" s="591" t="s">
        <v>56</v>
      </c>
      <c r="C57" s="29"/>
      <c r="D57" s="29"/>
      <c r="E57" s="616">
        <f>E55/E47</f>
        <v>8.5192048717927498E-3</v>
      </c>
      <c r="F57" s="58"/>
      <c r="G57" s="26" t="str">
        <f>"Line "&amp;A55&amp;" / Line "&amp;A47</f>
        <v>Line 9 / Line 1</v>
      </c>
      <c r="H57" s="570">
        <f t="shared" si="3"/>
        <v>11</v>
      </c>
    </row>
    <row r="58" spans="1:10">
      <c r="A58" s="570">
        <f t="shared" si="2"/>
        <v>12</v>
      </c>
      <c r="B58" s="29"/>
      <c r="C58" s="29"/>
      <c r="D58" s="29"/>
      <c r="E58" s="617"/>
      <c r="F58" s="38"/>
      <c r="G58" s="26"/>
      <c r="H58" s="570">
        <f t="shared" si="3"/>
        <v>12</v>
      </c>
    </row>
    <row r="59" spans="1:10">
      <c r="A59" s="570">
        <f t="shared" si="2"/>
        <v>13</v>
      </c>
      <c r="B59" s="30" t="s">
        <v>57</v>
      </c>
      <c r="C59" s="29"/>
      <c r="D59" s="29"/>
      <c r="E59" s="617"/>
      <c r="F59" s="38"/>
      <c r="G59" s="26"/>
      <c r="H59" s="570">
        <f t="shared" si="3"/>
        <v>13</v>
      </c>
    </row>
    <row r="60" spans="1:10">
      <c r="A60" s="570">
        <f t="shared" si="2"/>
        <v>14</v>
      </c>
      <c r="B60" s="591" t="s">
        <v>39</v>
      </c>
      <c r="C60" s="29"/>
      <c r="D60" s="29"/>
      <c r="E60" s="942">
        <f>'Stmt AK'!E27</f>
        <v>69704.5478245298</v>
      </c>
      <c r="F60" s="38"/>
      <c r="G60" s="26" t="str">
        <f>"Statement AK; Line "&amp;'Stmt AK'!A27</f>
        <v>Statement AK; Line 17</v>
      </c>
      <c r="H60" s="570">
        <f t="shared" si="3"/>
        <v>14</v>
      </c>
    </row>
    <row r="61" spans="1:10">
      <c r="A61" s="570">
        <f t="shared" si="2"/>
        <v>15</v>
      </c>
      <c r="B61" s="29"/>
      <c r="C61" s="29"/>
      <c r="D61" s="29"/>
      <c r="E61" s="710"/>
      <c r="F61" s="38"/>
      <c r="G61" s="26"/>
      <c r="H61" s="570">
        <f t="shared" si="3"/>
        <v>15</v>
      </c>
    </row>
    <row r="62" spans="1:10">
      <c r="A62" s="570">
        <f t="shared" si="2"/>
        <v>16</v>
      </c>
      <c r="B62" s="591" t="s">
        <v>58</v>
      </c>
      <c r="C62" s="29"/>
      <c r="D62" s="29"/>
      <c r="E62" s="616">
        <f>E60/E47</f>
        <v>1.1209521662453828E-2</v>
      </c>
      <c r="F62" s="38"/>
      <c r="G62" s="26" t="str">
        <f>"Line "&amp;A60&amp;" / Line "&amp;A47</f>
        <v>Line 14 / Line 1</v>
      </c>
      <c r="H62" s="570">
        <f t="shared" si="3"/>
        <v>16</v>
      </c>
    </row>
    <row r="63" spans="1:10">
      <c r="A63" s="570">
        <f t="shared" si="2"/>
        <v>17</v>
      </c>
      <c r="B63" s="29"/>
      <c r="C63" s="29"/>
      <c r="D63" s="29"/>
      <c r="E63" s="617"/>
      <c r="F63" s="38"/>
      <c r="G63" s="26"/>
      <c r="H63" s="570">
        <f t="shared" si="3"/>
        <v>17</v>
      </c>
    </row>
    <row r="64" spans="1:10">
      <c r="A64" s="570">
        <f t="shared" si="2"/>
        <v>18</v>
      </c>
      <c r="B64" s="30" t="s">
        <v>59</v>
      </c>
      <c r="C64" s="30"/>
      <c r="D64" s="30"/>
      <c r="E64" s="617"/>
      <c r="F64" s="38"/>
      <c r="G64" s="26"/>
      <c r="H64" s="570">
        <f t="shared" si="3"/>
        <v>18</v>
      </c>
    </row>
    <row r="65" spans="1:8">
      <c r="A65" s="570">
        <f t="shared" si="2"/>
        <v>19</v>
      </c>
      <c r="B65" s="32" t="s">
        <v>40</v>
      </c>
      <c r="C65" s="32"/>
      <c r="D65" s="32"/>
      <c r="E65" s="942">
        <f>'Stmt AK'!E38</f>
        <v>1950.3817467718773</v>
      </c>
      <c r="F65" s="27"/>
      <c r="G65" s="26" t="str">
        <f>"Statement AK; Line "&amp;'Stmt AK'!A38</f>
        <v>Statement AK; Line 28</v>
      </c>
      <c r="H65" s="570">
        <f t="shared" si="3"/>
        <v>19</v>
      </c>
    </row>
    <row r="66" spans="1:8">
      <c r="A66" s="570">
        <f t="shared" si="2"/>
        <v>20</v>
      </c>
      <c r="B66" s="29"/>
      <c r="C66" s="29"/>
      <c r="D66" s="29"/>
      <c r="E66" s="617"/>
      <c r="F66" s="38"/>
      <c r="G66" s="26"/>
      <c r="H66" s="570">
        <f t="shared" si="3"/>
        <v>20</v>
      </c>
    </row>
    <row r="67" spans="1:8">
      <c r="A67" s="570">
        <f t="shared" si="2"/>
        <v>21</v>
      </c>
      <c r="B67" s="591" t="s">
        <v>60</v>
      </c>
      <c r="C67" s="29"/>
      <c r="D67" s="29"/>
      <c r="E67" s="616">
        <f>E65/E47</f>
        <v>3.1365021541392336E-4</v>
      </c>
      <c r="F67" s="58"/>
      <c r="G67" s="26" t="str">
        <f>"Line "&amp;A65&amp;" / Line "&amp;A47</f>
        <v>Line 19 / Line 1</v>
      </c>
      <c r="H67" s="570">
        <f t="shared" si="3"/>
        <v>21</v>
      </c>
    </row>
    <row r="68" spans="1:8">
      <c r="A68" s="570">
        <f t="shared" si="2"/>
        <v>22</v>
      </c>
      <c r="B68" s="29"/>
      <c r="C68" s="29"/>
      <c r="D68" s="29"/>
      <c r="E68" s="617"/>
      <c r="F68" s="38"/>
      <c r="G68" s="26"/>
      <c r="H68" s="570">
        <f t="shared" si="3"/>
        <v>22</v>
      </c>
    </row>
    <row r="69" spans="1:8">
      <c r="A69" s="570">
        <f t="shared" si="2"/>
        <v>23</v>
      </c>
      <c r="B69" s="30" t="s">
        <v>61</v>
      </c>
      <c r="C69" s="30"/>
      <c r="D69" s="30"/>
      <c r="E69" s="618"/>
      <c r="F69" s="39"/>
      <c r="G69" s="26"/>
      <c r="H69" s="570">
        <f t="shared" si="3"/>
        <v>23</v>
      </c>
    </row>
    <row r="70" spans="1:8">
      <c r="A70" s="570">
        <f t="shared" si="2"/>
        <v>24</v>
      </c>
      <c r="B70" s="592" t="s">
        <v>62</v>
      </c>
      <c r="C70" s="28"/>
      <c r="D70" s="28"/>
      <c r="E70" s="618"/>
      <c r="F70" s="39"/>
      <c r="G70" s="26"/>
      <c r="H70" s="570">
        <f t="shared" si="3"/>
        <v>24</v>
      </c>
    </row>
    <row r="71" spans="1:8">
      <c r="A71" s="570">
        <f t="shared" si="2"/>
        <v>25</v>
      </c>
      <c r="B71" s="32" t="s">
        <v>63</v>
      </c>
      <c r="C71" s="32"/>
      <c r="D71" s="32"/>
      <c r="E71" s="619">
        <f>'Stmt AL'!G15</f>
        <v>50606.937686191981</v>
      </c>
      <c r="F71" s="27"/>
      <c r="G71" s="26" t="str">
        <f>"Statement AL; Line "&amp;'Stmt AL'!A15</f>
        <v>Statement AL; Line 5</v>
      </c>
      <c r="H71" s="570">
        <f t="shared" si="3"/>
        <v>25</v>
      </c>
    </row>
    <row r="72" spans="1:8">
      <c r="A72" s="570">
        <f t="shared" si="2"/>
        <v>26</v>
      </c>
      <c r="B72" s="32" t="s">
        <v>64</v>
      </c>
      <c r="C72" s="32"/>
      <c r="D72" s="32"/>
      <c r="E72" s="620">
        <f>'Stmt AL'!G19</f>
        <v>37852.998185425851</v>
      </c>
      <c r="F72" s="27"/>
      <c r="G72" s="26" t="str">
        <f>"Statement AL; Line "&amp;'Stmt AL'!A19</f>
        <v>Statement AL; Line 9</v>
      </c>
      <c r="H72" s="570">
        <f t="shared" si="3"/>
        <v>26</v>
      </c>
    </row>
    <row r="73" spans="1:8">
      <c r="A73" s="570">
        <f t="shared" si="2"/>
        <v>27</v>
      </c>
      <c r="B73" s="32" t="s">
        <v>65</v>
      </c>
      <c r="C73" s="32"/>
      <c r="D73" s="32"/>
      <c r="E73" s="620">
        <f>'Stmt AL'!E29</f>
        <v>11617.839867384848</v>
      </c>
      <c r="F73" s="27"/>
      <c r="G73" s="26" t="str">
        <f>"Statement AL; Line "&amp;'Stmt AL'!A29</f>
        <v>Statement AL; Line 19</v>
      </c>
      <c r="H73" s="570">
        <f t="shared" si="3"/>
        <v>27</v>
      </c>
    </row>
    <row r="74" spans="1:8">
      <c r="A74" s="570">
        <f t="shared" si="2"/>
        <v>28</v>
      </c>
      <c r="B74" s="32" t="s">
        <v>66</v>
      </c>
      <c r="C74" s="28"/>
      <c r="D74" s="28"/>
      <c r="E74" s="621">
        <f>SUM(E71:E73)</f>
        <v>100077.77573900268</v>
      </c>
      <c r="F74" s="37"/>
      <c r="G74" s="26" t="str">
        <f>"Sum Lines "&amp;A71&amp;" thru "&amp;A73</f>
        <v>Sum Lines 25 thru 27</v>
      </c>
      <c r="H74" s="570">
        <f t="shared" si="3"/>
        <v>28</v>
      </c>
    </row>
    <row r="75" spans="1:8">
      <c r="A75" s="570">
        <f t="shared" si="2"/>
        <v>29</v>
      </c>
      <c r="B75" s="28"/>
      <c r="C75" s="28"/>
      <c r="D75" s="28"/>
      <c r="E75" s="622"/>
      <c r="F75" s="40"/>
      <c r="G75" s="26"/>
      <c r="H75" s="570">
        <f t="shared" si="3"/>
        <v>29</v>
      </c>
    </row>
    <row r="76" spans="1:8">
      <c r="A76" s="570">
        <f t="shared" si="2"/>
        <v>30</v>
      </c>
      <c r="B76" s="32" t="s">
        <v>30</v>
      </c>
      <c r="C76" s="32"/>
      <c r="D76" s="32"/>
      <c r="E76" s="623">
        <f>'Stmt AV'!G110</f>
        <v>9.7709132427002521E-2</v>
      </c>
      <c r="F76" s="27"/>
      <c r="G76" s="26" t="str">
        <f>"Statement AV2; Line "&amp;'Stmt AV'!A110</f>
        <v>Statement AV2; Line 31</v>
      </c>
      <c r="H76" s="570">
        <f t="shared" si="3"/>
        <v>30</v>
      </c>
    </row>
    <row r="77" spans="1:8">
      <c r="A77" s="570">
        <f t="shared" si="2"/>
        <v>31</v>
      </c>
      <c r="B77" s="28"/>
      <c r="C77" s="28"/>
      <c r="D77" s="28"/>
      <c r="E77" s="622"/>
      <c r="F77" s="40"/>
      <c r="G77" s="26"/>
      <c r="H77" s="570">
        <f t="shared" si="3"/>
        <v>31</v>
      </c>
    </row>
    <row r="78" spans="1:8">
      <c r="A78" s="570">
        <f t="shared" si="2"/>
        <v>32</v>
      </c>
      <c r="B78" s="32" t="s">
        <v>67</v>
      </c>
      <c r="C78" s="28"/>
      <c r="D78" s="28"/>
      <c r="E78" s="624">
        <f>E74*E76</f>
        <v>9778.5126426820734</v>
      </c>
      <c r="F78" s="37"/>
      <c r="G78" s="26" t="str">
        <f>"Line "&amp;A74&amp;" x Line "&amp;A76</f>
        <v>Line 28 x Line 30</v>
      </c>
      <c r="H78" s="570">
        <f t="shared" si="3"/>
        <v>32</v>
      </c>
    </row>
    <row r="79" spans="1:8">
      <c r="A79" s="570">
        <f t="shared" si="2"/>
        <v>33</v>
      </c>
      <c r="B79" s="28"/>
      <c r="C79" s="28"/>
      <c r="D79" s="28"/>
      <c r="E79" s="622"/>
      <c r="F79" s="40"/>
      <c r="G79" s="26"/>
      <c r="H79" s="570">
        <f t="shared" si="3"/>
        <v>33</v>
      </c>
    </row>
    <row r="80" spans="1:8">
      <c r="A80" s="570">
        <f t="shared" si="2"/>
        <v>34</v>
      </c>
      <c r="B80" s="32" t="s">
        <v>68</v>
      </c>
      <c r="C80" s="28"/>
      <c r="D80" s="28"/>
      <c r="E80" s="616">
        <f>E78/E47</f>
        <v>1.5725293788671491E-3</v>
      </c>
      <c r="F80" s="58"/>
      <c r="G80" s="26" t="str">
        <f>"Line "&amp;A78&amp;" / Line "&amp;A47</f>
        <v>Line 32 / Line 1</v>
      </c>
      <c r="H80" s="570">
        <f t="shared" si="3"/>
        <v>34</v>
      </c>
    </row>
    <row r="81" spans="1:9">
      <c r="A81" s="570">
        <f t="shared" si="2"/>
        <v>35</v>
      </c>
      <c r="B81" s="32"/>
      <c r="C81" s="28"/>
      <c r="D81" s="28"/>
      <c r="E81" s="590"/>
      <c r="F81" s="58"/>
      <c r="G81" s="26"/>
      <c r="H81" s="570">
        <f t="shared" si="3"/>
        <v>35</v>
      </c>
    </row>
    <row r="82" spans="1:9">
      <c r="A82" s="570">
        <f t="shared" si="2"/>
        <v>36</v>
      </c>
      <c r="B82" s="30" t="s">
        <v>69</v>
      </c>
      <c r="C82" s="802"/>
      <c r="D82" s="802"/>
      <c r="E82" s="800"/>
      <c r="F82" s="800"/>
      <c r="G82" s="800"/>
      <c r="H82" s="570">
        <f t="shared" si="3"/>
        <v>36</v>
      </c>
    </row>
    <row r="83" spans="1:9">
      <c r="A83" s="570">
        <f t="shared" si="2"/>
        <v>37</v>
      </c>
      <c r="B83" s="32" t="s">
        <v>70</v>
      </c>
      <c r="C83" s="802"/>
      <c r="D83" s="802"/>
      <c r="E83" s="496">
        <f>'AV-4'!C14</f>
        <v>34242.809658606282</v>
      </c>
      <c r="F83" s="800"/>
      <c r="G83" s="26" t="str">
        <f>"AV-4; Line "&amp;'AV-4'!F14</f>
        <v>AV-4; Line 4</v>
      </c>
      <c r="H83" s="570">
        <f t="shared" si="3"/>
        <v>37</v>
      </c>
    </row>
    <row r="84" spans="1:9">
      <c r="A84" s="570">
        <f t="shared" si="2"/>
        <v>38</v>
      </c>
      <c r="B84" s="30"/>
      <c r="C84" s="802"/>
      <c r="D84" s="802"/>
      <c r="E84" s="800"/>
      <c r="F84" s="800"/>
      <c r="G84" s="800"/>
      <c r="H84" s="570">
        <f t="shared" si="3"/>
        <v>38</v>
      </c>
    </row>
    <row r="85" spans="1:9">
      <c r="A85" s="570">
        <f t="shared" si="2"/>
        <v>39</v>
      </c>
      <c r="B85" s="32" t="s">
        <v>71</v>
      </c>
      <c r="C85" s="802"/>
      <c r="D85" s="802"/>
      <c r="E85" s="850">
        <f>'AV-4'!C15</f>
        <v>99607.120430809111</v>
      </c>
      <c r="F85" s="800"/>
      <c r="G85" s="26" t="str">
        <f>"AV-4; Line "&amp;'AV-4'!F15</f>
        <v>AV-4; Line 5</v>
      </c>
      <c r="H85" s="570">
        <f t="shared" si="3"/>
        <v>39</v>
      </c>
    </row>
    <row r="86" spans="1:9" ht="18">
      <c r="A86" s="570">
        <f t="shared" si="2"/>
        <v>40</v>
      </c>
      <c r="B86" s="802"/>
      <c r="C86" s="809"/>
      <c r="D86" s="809"/>
      <c r="E86" s="813"/>
      <c r="F86" s="814"/>
      <c r="G86" s="802"/>
      <c r="H86" s="570">
        <f t="shared" si="3"/>
        <v>40</v>
      </c>
    </row>
    <row r="87" spans="1:9">
      <c r="A87" s="570">
        <f t="shared" si="2"/>
        <v>41</v>
      </c>
      <c r="B87" s="32" t="s">
        <v>72</v>
      </c>
      <c r="C87" s="809"/>
      <c r="D87" s="809"/>
      <c r="E87" s="851">
        <f>E83+E85</f>
        <v>133849.9300894154</v>
      </c>
      <c r="F87" s="812"/>
      <c r="G87" s="26" t="str">
        <f>"Line "&amp;A83&amp;" + Line "&amp;A85</f>
        <v>Line 37 + Line 39</v>
      </c>
      <c r="H87" s="570">
        <f t="shared" si="3"/>
        <v>41</v>
      </c>
    </row>
    <row r="88" spans="1:9">
      <c r="A88" s="570">
        <f t="shared" si="2"/>
        <v>42</v>
      </c>
      <c r="B88" s="801"/>
      <c r="C88" s="809"/>
      <c r="D88" s="809"/>
      <c r="E88" s="815"/>
      <c r="F88" s="812"/>
      <c r="G88" s="799"/>
      <c r="H88" s="570">
        <f t="shared" si="3"/>
        <v>42</v>
      </c>
    </row>
    <row r="89" spans="1:9">
      <c r="A89" s="570">
        <f t="shared" si="2"/>
        <v>43</v>
      </c>
      <c r="B89" s="32" t="s">
        <v>30</v>
      </c>
      <c r="C89" s="809"/>
      <c r="D89" s="809"/>
      <c r="E89" s="943">
        <f>E76</f>
        <v>9.7709132427002521E-2</v>
      </c>
      <c r="F89" s="812"/>
      <c r="G89" s="26" t="str">
        <f>"Line "&amp;A76</f>
        <v>Line 30</v>
      </c>
      <c r="H89" s="570">
        <f t="shared" si="3"/>
        <v>43</v>
      </c>
    </row>
    <row r="90" spans="1:9">
      <c r="A90" s="570">
        <f t="shared" si="2"/>
        <v>44</v>
      </c>
      <c r="B90" s="802"/>
      <c r="C90" s="809"/>
      <c r="D90" s="809"/>
      <c r="E90" s="816"/>
      <c r="F90" s="817"/>
      <c r="G90" s="802"/>
      <c r="H90" s="570">
        <f t="shared" si="3"/>
        <v>44</v>
      </c>
    </row>
    <row r="91" spans="1:9">
      <c r="A91" s="570">
        <f t="shared" si="2"/>
        <v>45</v>
      </c>
      <c r="B91" s="32" t="s">
        <v>73</v>
      </c>
      <c r="C91" s="809"/>
      <c r="D91" s="809"/>
      <c r="E91" s="852">
        <f>E87*E89</f>
        <v>13078.360544451718</v>
      </c>
      <c r="F91" s="819"/>
      <c r="G91" s="26" t="str">
        <f>"Line "&amp;A87&amp;" * Line "&amp;A89</f>
        <v>Line 41 * Line 43</v>
      </c>
      <c r="H91" s="570">
        <f t="shared" si="3"/>
        <v>45</v>
      </c>
    </row>
    <row r="92" spans="1:9">
      <c r="A92" s="570">
        <f t="shared" si="2"/>
        <v>46</v>
      </c>
      <c r="B92" s="801"/>
      <c r="C92" s="809"/>
      <c r="D92" s="809"/>
      <c r="E92" s="818"/>
      <c r="F92" s="819"/>
      <c r="G92" s="799"/>
      <c r="H92" s="570">
        <f t="shared" si="3"/>
        <v>46</v>
      </c>
    </row>
    <row r="93" spans="1:9">
      <c r="A93" s="570">
        <f t="shared" si="2"/>
        <v>47</v>
      </c>
      <c r="B93" s="32" t="s">
        <v>74</v>
      </c>
      <c r="C93" s="809"/>
      <c r="D93" s="809"/>
      <c r="E93" s="944">
        <f>'Stmt AJ'!E27</f>
        <v>19354.333926323972</v>
      </c>
      <c r="F93" s="819"/>
      <c r="G93" s="26" t="str">
        <f>"Statement AJ; Line "&amp;'Stmt AJ'!A27</f>
        <v>Statement AJ; Line 17</v>
      </c>
      <c r="H93" s="570">
        <f t="shared" si="3"/>
        <v>47</v>
      </c>
      <c r="I93" s="809"/>
    </row>
    <row r="94" spans="1:9">
      <c r="A94" s="570">
        <f t="shared" si="2"/>
        <v>48</v>
      </c>
      <c r="B94" s="32"/>
      <c r="C94" s="809"/>
      <c r="D94" s="809"/>
      <c r="E94" s="672"/>
      <c r="F94" s="819"/>
      <c r="G94" s="26"/>
      <c r="H94" s="570">
        <f t="shared" si="3"/>
        <v>48</v>
      </c>
    </row>
    <row r="95" spans="1:9">
      <c r="A95" s="570">
        <f t="shared" si="2"/>
        <v>49</v>
      </c>
      <c r="B95" s="32" t="s">
        <v>75</v>
      </c>
      <c r="C95" s="809"/>
      <c r="D95" s="809"/>
      <c r="E95" s="672">
        <f>E91+E93</f>
        <v>32432.694470775692</v>
      </c>
      <c r="F95" s="819"/>
      <c r="G95" s="26" t="str">
        <f>"Line "&amp;A91&amp;" + Line "&amp;A93</f>
        <v>Line 45 + Line 47</v>
      </c>
      <c r="H95" s="570">
        <f t="shared" si="3"/>
        <v>49</v>
      </c>
    </row>
    <row r="96" spans="1:9">
      <c r="A96" s="570">
        <f t="shared" si="2"/>
        <v>50</v>
      </c>
      <c r="B96" s="802"/>
      <c r="C96" s="809"/>
      <c r="D96" s="809"/>
      <c r="E96" s="833"/>
      <c r="F96" s="802"/>
      <c r="G96" s="802"/>
      <c r="H96" s="570">
        <f t="shared" si="3"/>
        <v>50</v>
      </c>
    </row>
    <row r="97" spans="1:8" ht="16" thickBot="1">
      <c r="A97" s="570">
        <f t="shared" si="2"/>
        <v>51</v>
      </c>
      <c r="B97" s="32" t="s">
        <v>76</v>
      </c>
      <c r="C97" s="809"/>
      <c r="D97" s="809"/>
      <c r="E97" s="853">
        <f>E95/E47</f>
        <v>5.2156566908245199E-3</v>
      </c>
      <c r="F97" s="820"/>
      <c r="G97" s="26" t="str">
        <f>"Line "&amp;A95&amp;" / Line "&amp;A47&amp;""</f>
        <v>Line 49 / Line 1</v>
      </c>
      <c r="H97" s="570">
        <f t="shared" si="3"/>
        <v>51</v>
      </c>
    </row>
    <row r="98" spans="1:8" ht="16" thickTop="1">
      <c r="A98" s="572"/>
    </row>
    <row r="99" spans="1:8">
      <c r="A99" s="572"/>
    </row>
    <row r="100" spans="1:8">
      <c r="A100" s="572"/>
    </row>
    <row r="101" spans="1:8">
      <c r="A101" s="572"/>
    </row>
    <row r="102" spans="1:8">
      <c r="A102" s="572"/>
    </row>
    <row r="103" spans="1:8">
      <c r="A103" s="572"/>
    </row>
    <row r="104" spans="1:8">
      <c r="A104" s="572"/>
    </row>
    <row r="105" spans="1:8">
      <c r="A105" s="572"/>
    </row>
    <row r="106" spans="1:8">
      <c r="A106" s="572"/>
    </row>
    <row r="107" spans="1:8">
      <c r="A107" s="572"/>
    </row>
    <row r="108" spans="1:8">
      <c r="A108" s="572"/>
    </row>
    <row r="109" spans="1:8">
      <c r="A109" s="572"/>
    </row>
    <row r="110" spans="1:8">
      <c r="A110" s="572"/>
    </row>
    <row r="111" spans="1:8">
      <c r="A111" s="572"/>
    </row>
    <row r="112" spans="1:8">
      <c r="A112" s="572"/>
    </row>
    <row r="113" spans="1:1">
      <c r="A113" s="572"/>
    </row>
    <row r="114" spans="1:1">
      <c r="A114" s="572"/>
    </row>
    <row r="115" spans="1:1">
      <c r="A115" s="572"/>
    </row>
    <row r="116" spans="1:1">
      <c r="A116" s="572"/>
    </row>
    <row r="117" spans="1:1">
      <c r="A117" s="572"/>
    </row>
    <row r="118" spans="1:1">
      <c r="A118" s="572"/>
    </row>
    <row r="119" spans="1:1">
      <c r="A119" s="572"/>
    </row>
    <row r="120" spans="1:1">
      <c r="A120" s="572"/>
    </row>
    <row r="121" spans="1:1">
      <c r="A121" s="572"/>
    </row>
    <row r="122" spans="1:1">
      <c r="A122" s="572"/>
    </row>
    <row r="123" spans="1:1">
      <c r="A123" s="572"/>
    </row>
    <row r="124" spans="1:1">
      <c r="A124" s="572"/>
    </row>
    <row r="125" spans="1:1">
      <c r="A125" s="572"/>
    </row>
    <row r="126" spans="1:1">
      <c r="A126" s="572"/>
    </row>
    <row r="127" spans="1:1">
      <c r="A127" s="572"/>
    </row>
    <row r="128" spans="1:1">
      <c r="A128" s="572"/>
    </row>
    <row r="129" spans="1:1">
      <c r="A129" s="572"/>
    </row>
    <row r="130" spans="1:1">
      <c r="A130" s="572"/>
    </row>
    <row r="131" spans="1:1">
      <c r="A131" s="572"/>
    </row>
    <row r="132" spans="1:1">
      <c r="A132" s="572"/>
    </row>
    <row r="133" spans="1:1">
      <c r="A133" s="572"/>
    </row>
    <row r="134" spans="1:1">
      <c r="A134" s="572"/>
    </row>
    <row r="135" spans="1:1">
      <c r="A135" s="572"/>
    </row>
    <row r="136" spans="1:1">
      <c r="A136" s="572"/>
    </row>
    <row r="137" spans="1:1">
      <c r="A137" s="572"/>
    </row>
    <row r="138" spans="1:1">
      <c r="A138" s="572"/>
    </row>
    <row r="139" spans="1:1">
      <c r="A139" s="572"/>
    </row>
    <row r="140" spans="1:1">
      <c r="A140" s="572"/>
    </row>
    <row r="141" spans="1:1">
      <c r="A141" s="572"/>
    </row>
    <row r="142" spans="1:1">
      <c r="A142" s="572"/>
    </row>
    <row r="143" spans="1:1">
      <c r="A143" s="572"/>
    </row>
    <row r="144" spans="1:1">
      <c r="A144" s="572"/>
    </row>
    <row r="145" spans="1:6">
      <c r="A145" s="572"/>
    </row>
    <row r="146" spans="1:6">
      <c r="A146" s="572"/>
    </row>
    <row r="147" spans="1:6">
      <c r="A147" s="572"/>
    </row>
    <row r="148" spans="1:6">
      <c r="A148" s="572"/>
    </row>
    <row r="149" spans="1:6">
      <c r="A149" s="572"/>
    </row>
    <row r="150" spans="1:6">
      <c r="A150" s="572"/>
    </row>
    <row r="151" spans="1:6">
      <c r="A151" s="572"/>
    </row>
    <row r="152" spans="1:6">
      <c r="A152" s="572"/>
      <c r="B152" s="59"/>
      <c r="C152" s="59"/>
      <c r="D152" s="59"/>
      <c r="E152" s="59"/>
      <c r="F152" s="59"/>
    </row>
    <row r="153" spans="1:6">
      <c r="A153" s="572"/>
      <c r="B153" s="59"/>
      <c r="C153" s="59"/>
      <c r="D153" s="59"/>
      <c r="E153" s="59"/>
      <c r="F153" s="59"/>
    </row>
    <row r="158" spans="1:6">
      <c r="A158" s="569"/>
      <c r="B158" s="59"/>
      <c r="C158" s="59"/>
      <c r="D158" s="59"/>
      <c r="E158" s="41"/>
      <c r="F158" s="41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Non-Direct Expenses
Page &amp;P of 2</oddFooter>
  </headerFooter>
  <rowBreaks count="1" manualBreakCount="1">
    <brk id="36" max="7" man="1"/>
  </rowBreaks>
  <customProperties>
    <customPr name="_pios_id" r:id="rId2"/>
  </customPropertie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G41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46.36328125" style="110" customWidth="1"/>
    <col min="3" max="3" width="23.6328125" style="110" customWidth="1"/>
    <col min="4" max="4" width="50.54296875" style="110" customWidth="1"/>
    <col min="5" max="5" width="5.08984375" style="109" customWidth="1"/>
    <col min="6" max="6" width="11" style="110" customWidth="1"/>
    <col min="7" max="7" width="7.08984375" style="110" customWidth="1"/>
    <col min="8" max="8" width="9.6328125" style="110" bestFit="1" customWidth="1"/>
    <col min="9" max="9" width="14" style="110" customWidth="1"/>
    <col min="10" max="10" width="13.36328125" style="110" customWidth="1"/>
    <col min="11" max="16384" width="9.08984375" style="110"/>
  </cols>
  <sheetData>
    <row r="2" spans="1:7">
      <c r="B2" s="1296" t="s">
        <v>0</v>
      </c>
      <c r="C2" s="1296"/>
      <c r="D2" s="1296"/>
    </row>
    <row r="3" spans="1:7">
      <c r="B3" s="1296" t="s">
        <v>311</v>
      </c>
      <c r="C3" s="1296"/>
      <c r="D3" s="1296"/>
    </row>
    <row r="4" spans="1:7">
      <c r="B4" s="1296" t="s">
        <v>312</v>
      </c>
      <c r="C4" s="1296"/>
      <c r="D4" s="1296"/>
    </row>
    <row r="5" spans="1:7">
      <c r="B5" s="1296" t="str">
        <f>"BASE PERIOD / TRUE UP PERIOD - 12/31/"&amp;Automation!$B$3&amp;" PER BOOK"</f>
        <v>BASE PERIOD / TRUE UP PERIOD - 12/31/2023 PER BOOK</v>
      </c>
      <c r="C5" s="1296"/>
      <c r="D5" s="1296"/>
    </row>
    <row r="6" spans="1:7">
      <c r="B6" s="1300" t="s">
        <v>3</v>
      </c>
      <c r="C6" s="1300"/>
      <c r="D6" s="1300"/>
    </row>
    <row r="7" spans="1:7">
      <c r="B7" s="111"/>
      <c r="C7" s="111"/>
      <c r="D7" s="111"/>
    </row>
    <row r="8" spans="1:7">
      <c r="B8" s="1296" t="s">
        <v>289</v>
      </c>
      <c r="C8" s="1296"/>
      <c r="D8" s="1296"/>
    </row>
    <row r="9" spans="1:7" ht="15.5">
      <c r="A9" s="119"/>
    </row>
    <row r="10" spans="1:7" ht="15.5">
      <c r="A10" s="119"/>
      <c r="B10" s="528"/>
      <c r="C10" s="965" t="s">
        <v>290</v>
      </c>
      <c r="D10" s="967"/>
      <c r="E10" s="119"/>
    </row>
    <row r="11" spans="1:7" ht="15.5">
      <c r="A11" s="119" t="s">
        <v>4</v>
      </c>
      <c r="B11" s="171"/>
      <c r="C11" s="116" t="s">
        <v>326</v>
      </c>
      <c r="D11" s="118"/>
      <c r="E11" s="119" t="s">
        <v>4</v>
      </c>
    </row>
    <row r="12" spans="1:7" ht="15.5">
      <c r="A12" s="119" t="s">
        <v>5</v>
      </c>
      <c r="B12" s="1018" t="s">
        <v>124</v>
      </c>
      <c r="C12" s="1015" t="s">
        <v>176</v>
      </c>
      <c r="D12" s="1015" t="s">
        <v>8</v>
      </c>
      <c r="E12" s="119" t="s">
        <v>5</v>
      </c>
    </row>
    <row r="13" spans="1:7" ht="15.5">
      <c r="A13" s="119"/>
      <c r="B13" s="195"/>
      <c r="C13" s="196"/>
      <c r="D13" s="205"/>
      <c r="E13" s="119"/>
    </row>
    <row r="14" spans="1:7" ht="15.5">
      <c r="A14" s="119">
        <v>1</v>
      </c>
      <c r="B14" s="198" t="str">
        <f>"Dec-"&amp;RIGHT(Automation!$B$3-1,2)</f>
        <v>Dec-22</v>
      </c>
      <c r="C14" s="199">
        <v>69951.332410000017</v>
      </c>
      <c r="D14" s="157" t="str">
        <f>Automation!B3-1&amp;" Form 1; Page 200-201; Footnote Data (b)"</f>
        <v>2022 Form 1; Page 200-201; Footnote Data (b)</v>
      </c>
      <c r="E14" s="119">
        <f>A14</f>
        <v>1</v>
      </c>
      <c r="F14" s="126"/>
    </row>
    <row r="15" spans="1:7" ht="15.5">
      <c r="A15" s="119">
        <f>A14+1</f>
        <v>2</v>
      </c>
      <c r="B15" s="200"/>
      <c r="C15" s="160"/>
      <c r="D15" s="160"/>
      <c r="E15" s="119">
        <f>E14+1</f>
        <v>2</v>
      </c>
    </row>
    <row r="16" spans="1:7" ht="15.5">
      <c r="A16" s="119">
        <f t="shared" ref="A16:A20" si="0">A15+1</f>
        <v>3</v>
      </c>
      <c r="B16" s="198" t="str">
        <f>"Dec-"&amp;RIGHT(Automation!$B$3,2)</f>
        <v>Dec-23</v>
      </c>
      <c r="C16" s="181">
        <v>76610.14694999998</v>
      </c>
      <c r="D16" s="157" t="str">
        <f>Automation!B3&amp;" Form 1; Page 200-201; Footnote Data (b)"</f>
        <v>2023 Form 1; Page 200-201; Footnote Data (b)</v>
      </c>
      <c r="E16" s="119">
        <f t="shared" ref="E16:E20" si="1">E15+1</f>
        <v>3</v>
      </c>
      <c r="F16" s="418"/>
      <c r="G16" s="155"/>
    </row>
    <row r="17" spans="1:5" ht="15.5">
      <c r="A17" s="119">
        <f t="shared" si="0"/>
        <v>4</v>
      </c>
      <c r="B17" s="215"/>
      <c r="C17" s="1127"/>
      <c r="D17" s="1127"/>
      <c r="E17" s="119">
        <f t="shared" si="1"/>
        <v>4</v>
      </c>
    </row>
    <row r="18" spans="1:5" ht="15.5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5" ht="15.5">
      <c r="A19" s="119">
        <f t="shared" si="0"/>
        <v>6</v>
      </c>
      <c r="B19" s="201" t="s">
        <v>239</v>
      </c>
      <c r="C19" s="202">
        <f>(C14+C16)/2</f>
        <v>73280.739679999999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5" ht="15.5">
      <c r="A20" s="119">
        <f t="shared" si="0"/>
        <v>7</v>
      </c>
      <c r="B20" s="1136"/>
      <c r="C20" s="1041"/>
      <c r="D20" s="1017"/>
      <c r="E20" s="119">
        <f t="shared" si="1"/>
        <v>7</v>
      </c>
    </row>
    <row r="21" spans="1:5" ht="15.5">
      <c r="A21" s="119"/>
      <c r="B21" s="136"/>
      <c r="C21" s="204"/>
      <c r="D21" s="136"/>
      <c r="E21" s="119"/>
    </row>
    <row r="22" spans="1:5" ht="15.5">
      <c r="A22" s="119"/>
      <c r="B22" s="136"/>
      <c r="C22" s="136"/>
      <c r="D22" s="136"/>
    </row>
    <row r="23" spans="1:5" ht="15.5">
      <c r="A23"/>
      <c r="B23"/>
      <c r="C23" s="136"/>
      <c r="D23" s="136"/>
    </row>
    <row r="24" spans="1:5" ht="15.5">
      <c r="A24"/>
      <c r="B24"/>
      <c r="C24" s="136"/>
      <c r="D24" s="136"/>
    </row>
    <row r="25" spans="1:5" ht="15.5">
      <c r="A25"/>
      <c r="B25"/>
      <c r="C25" s="136"/>
      <c r="D25" s="136"/>
    </row>
    <row r="26" spans="1:5" ht="15.5">
      <c r="B26" s="136"/>
      <c r="C26" s="136"/>
      <c r="D26" s="136"/>
    </row>
    <row r="27" spans="1:5" ht="15.5">
      <c r="B27" s="136"/>
      <c r="C27" s="136"/>
      <c r="D27" s="136"/>
    </row>
    <row r="28" spans="1:5" ht="15.5">
      <c r="B28" s="136"/>
      <c r="C28" s="136"/>
      <c r="D28" s="136"/>
    </row>
    <row r="29" spans="1:5" ht="15.5">
      <c r="B29" s="136"/>
      <c r="C29" s="136"/>
      <c r="D29" s="136"/>
    </row>
    <row r="30" spans="1:5" ht="15.5">
      <c r="B30" s="136"/>
      <c r="C30" s="136"/>
      <c r="D30" s="136"/>
    </row>
    <row r="31" spans="1:5" ht="15.5">
      <c r="B31" s="136"/>
      <c r="C31" s="136"/>
      <c r="D31" s="136"/>
    </row>
    <row r="32" spans="1:5" ht="15.5">
      <c r="B32" s="136"/>
      <c r="C32" s="136"/>
      <c r="D32" s="136"/>
    </row>
    <row r="33" spans="1:5" ht="15.5">
      <c r="B33" s="136"/>
      <c r="C33" s="136"/>
      <c r="D33" s="136"/>
    </row>
    <row r="34" spans="1:5" ht="15.5">
      <c r="B34" s="136"/>
      <c r="C34" s="136"/>
      <c r="D34" s="136"/>
    </row>
    <row r="35" spans="1:5" s="136" customFormat="1" ht="15.5">
      <c r="A35" s="119"/>
      <c r="E35" s="119"/>
    </row>
    <row r="36" spans="1:5" s="136" customFormat="1" ht="15.5">
      <c r="A36" s="119"/>
      <c r="E36" s="119"/>
    </row>
    <row r="37" spans="1:5" s="136" customFormat="1" ht="15.5">
      <c r="A37" s="119"/>
      <c r="E37" s="119"/>
    </row>
    <row r="38" spans="1:5" s="136" customFormat="1" ht="15.5">
      <c r="A38" s="119"/>
      <c r="E38" s="119"/>
    </row>
    <row r="39" spans="1:5" s="136" customFormat="1" ht="15.5">
      <c r="A39" s="119"/>
      <c r="E39" s="119"/>
    </row>
    <row r="40" spans="1:5" s="136" customFormat="1" ht="15.5">
      <c r="A40" s="119"/>
      <c r="E40" s="119"/>
    </row>
    <row r="41" spans="1:5" s="136" customFormat="1" ht="15.5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I41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44.36328125" style="110" customWidth="1"/>
    <col min="3" max="3" width="21.36328125" style="110" customWidth="1"/>
    <col min="4" max="4" width="59.453125" style="110" customWidth="1"/>
    <col min="5" max="5" width="5.08984375" style="109" customWidth="1"/>
    <col min="6" max="6" width="11" style="110" customWidth="1"/>
    <col min="7" max="7" width="7.08984375" style="110" customWidth="1"/>
    <col min="8" max="8" width="9.6328125" style="110" bestFit="1" customWidth="1"/>
    <col min="9" max="9" width="14" style="110" customWidth="1"/>
    <col min="10" max="10" width="13.36328125" style="110" customWidth="1"/>
    <col min="11" max="16384" width="9.08984375" style="110"/>
  </cols>
  <sheetData>
    <row r="2" spans="1:9">
      <c r="B2" s="1296" t="s">
        <v>0</v>
      </c>
      <c r="C2" s="1296"/>
      <c r="D2" s="1296"/>
    </row>
    <row r="3" spans="1:9">
      <c r="B3" s="1296" t="s">
        <v>311</v>
      </c>
      <c r="C3" s="1296"/>
      <c r="D3" s="1296"/>
    </row>
    <row r="4" spans="1:9">
      <c r="B4" s="1296" t="s">
        <v>312</v>
      </c>
      <c r="C4" s="1296"/>
      <c r="D4" s="1296"/>
    </row>
    <row r="5" spans="1:9">
      <c r="B5" s="1296" t="str">
        <f>"BASE PERIOD / TRUE UP PERIOD - 12/31/"&amp;Automation!$B$3&amp;" PER BOOK"</f>
        <v>BASE PERIOD / TRUE UP PERIOD - 12/31/2023 PER BOOK</v>
      </c>
      <c r="C5" s="1296"/>
      <c r="D5" s="1296"/>
    </row>
    <row r="6" spans="1:9">
      <c r="B6" s="1300" t="s">
        <v>3</v>
      </c>
      <c r="C6" s="1300"/>
      <c r="D6" s="1300"/>
    </row>
    <row r="7" spans="1:9">
      <c r="B7" s="111"/>
      <c r="C7" s="111"/>
      <c r="D7" s="111"/>
    </row>
    <row r="8" spans="1:9" ht="15.5">
      <c r="A8" s="119"/>
      <c r="B8" s="1296" t="s">
        <v>292</v>
      </c>
      <c r="C8" s="1296"/>
      <c r="D8" s="1296"/>
    </row>
    <row r="9" spans="1:9" ht="15.5">
      <c r="A9" s="119"/>
      <c r="E9" s="119"/>
    </row>
    <row r="10" spans="1:9" ht="15.5">
      <c r="A10" s="119"/>
      <c r="B10" s="528"/>
      <c r="C10" s="971" t="s">
        <v>290</v>
      </c>
      <c r="D10" s="967"/>
      <c r="E10" s="119"/>
    </row>
    <row r="11" spans="1:9" ht="15.5">
      <c r="A11" s="119" t="s">
        <v>4</v>
      </c>
      <c r="B11" s="171"/>
      <c r="C11" s="116" t="s">
        <v>327</v>
      </c>
      <c r="D11" s="118"/>
      <c r="E11" s="119" t="s">
        <v>4</v>
      </c>
    </row>
    <row r="12" spans="1:9" ht="15.5">
      <c r="A12" s="119" t="s">
        <v>5</v>
      </c>
      <c r="B12" s="1018" t="s">
        <v>124</v>
      </c>
      <c r="C12" s="1015" t="s">
        <v>176</v>
      </c>
      <c r="D12" s="1015" t="s">
        <v>8</v>
      </c>
      <c r="E12" s="119" t="s">
        <v>5</v>
      </c>
    </row>
    <row r="13" spans="1:9" ht="15.5">
      <c r="A13" s="119"/>
      <c r="B13" s="195"/>
      <c r="C13" s="196"/>
      <c r="D13" s="205"/>
      <c r="E13" s="119"/>
    </row>
    <row r="14" spans="1:9" ht="15.5">
      <c r="A14" s="119">
        <v>1</v>
      </c>
      <c r="B14" s="198" t="str">
        <f>"Dec-"&amp;RIGHT(Automation!$B$3-1,2)</f>
        <v>Dec-22</v>
      </c>
      <c r="C14" s="199">
        <v>243049.82983647494</v>
      </c>
      <c r="D14" s="157" t="str">
        <f>Automation!B3-1&amp;" Form 1; Page 200-201; Footnote Data (b)"</f>
        <v>2022 Form 1; Page 200-201; Footnote Data (b)</v>
      </c>
      <c r="E14" s="119">
        <f>A14</f>
        <v>1</v>
      </c>
      <c r="F14" s="126"/>
      <c r="H14" s="418"/>
      <c r="I14" s="1205"/>
    </row>
    <row r="15" spans="1:9" ht="15.5">
      <c r="A15" s="119">
        <f>A14+1</f>
        <v>2</v>
      </c>
      <c r="B15" s="200"/>
      <c r="C15" s="160"/>
      <c r="D15" s="160"/>
      <c r="E15" s="119">
        <f>E14+1</f>
        <v>2</v>
      </c>
    </row>
    <row r="16" spans="1:9" ht="15.5">
      <c r="A16" s="119">
        <f t="shared" ref="A16:A20" si="0">A15+1</f>
        <v>3</v>
      </c>
      <c r="B16" s="198" t="str">
        <f>"Dec-"&amp;RIGHT(Automation!$B$3,2)</f>
        <v>Dec-23</v>
      </c>
      <c r="C16" s="181">
        <v>268071.91264152038</v>
      </c>
      <c r="D16" s="157" t="str">
        <f>Automation!B3&amp;" Form 1; Page 200-201; Footnote Data (b)"</f>
        <v>2023 Form 1; Page 200-201; Footnote Data (b)</v>
      </c>
      <c r="E16" s="119">
        <f t="shared" ref="E16:E20" si="1">E15+1</f>
        <v>3</v>
      </c>
      <c r="F16" s="126"/>
    </row>
    <row r="17" spans="1:6" ht="15.5">
      <c r="A17" s="119">
        <f t="shared" si="0"/>
        <v>4</v>
      </c>
      <c r="B17" s="1136"/>
      <c r="C17" s="1144"/>
      <c r="D17" s="1125"/>
      <c r="E17" s="119">
        <f t="shared" si="1"/>
        <v>4</v>
      </c>
    </row>
    <row r="18" spans="1:6" ht="15.5">
      <c r="A18" s="119">
        <f t="shared" si="0"/>
        <v>5</v>
      </c>
      <c r="B18" s="201"/>
      <c r="C18" s="196"/>
      <c r="D18" s="205"/>
      <c r="E18" s="119">
        <f t="shared" si="1"/>
        <v>5</v>
      </c>
    </row>
    <row r="19" spans="1:6" ht="15.5">
      <c r="A19" s="119">
        <f t="shared" si="0"/>
        <v>6</v>
      </c>
      <c r="B19" s="201" t="s">
        <v>239</v>
      </c>
      <c r="C19" s="202">
        <f>(C14+C16)/2</f>
        <v>255560.87123899767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6" ht="15.5">
      <c r="A20" s="119">
        <f t="shared" si="0"/>
        <v>7</v>
      </c>
      <c r="B20" s="1136"/>
      <c r="C20" s="1041"/>
      <c r="D20" s="1017"/>
      <c r="E20" s="119">
        <f t="shared" si="1"/>
        <v>7</v>
      </c>
    </row>
    <row r="21" spans="1:6" ht="15.5">
      <c r="A21" s="119"/>
      <c r="B21" s="136"/>
      <c r="C21" s="204"/>
      <c r="D21" s="136"/>
      <c r="E21" s="119"/>
    </row>
    <row r="22" spans="1:6" ht="15.5">
      <c r="A22" s="119"/>
      <c r="B22" s="136"/>
      <c r="C22" s="136"/>
      <c r="D22" s="136"/>
    </row>
    <row r="23" spans="1:6" ht="18">
      <c r="A23" s="135"/>
      <c r="B23" s="136"/>
      <c r="C23" s="136"/>
      <c r="D23" s="136"/>
    </row>
    <row r="24" spans="1:6" ht="15.5">
      <c r="B24" s="136"/>
      <c r="C24" s="136"/>
      <c r="D24" s="136"/>
    </row>
    <row r="25" spans="1:6" ht="15.5">
      <c r="B25" s="136"/>
      <c r="C25" s="136"/>
      <c r="D25" s="136"/>
    </row>
    <row r="26" spans="1:6" ht="15.5">
      <c r="B26" s="136"/>
      <c r="C26" s="136"/>
      <c r="D26" s="136"/>
      <c r="F26" s="193"/>
    </row>
    <row r="27" spans="1:6" ht="15.5">
      <c r="B27" s="136"/>
      <c r="C27" s="136"/>
      <c r="D27" s="136"/>
    </row>
    <row r="28" spans="1:6" ht="15.5">
      <c r="B28" s="136"/>
      <c r="C28" s="136"/>
      <c r="D28" s="136"/>
    </row>
    <row r="29" spans="1:6" ht="15.5">
      <c r="B29" s="136"/>
      <c r="C29" s="136"/>
      <c r="D29" s="136"/>
    </row>
    <row r="30" spans="1:6" ht="15.5">
      <c r="B30" s="136"/>
      <c r="C30" s="136"/>
      <c r="D30" s="136"/>
    </row>
    <row r="31" spans="1:6" ht="15.5">
      <c r="B31" s="136"/>
      <c r="C31" s="136"/>
      <c r="D31" s="136"/>
    </row>
    <row r="32" spans="1:6" ht="15.5">
      <c r="B32" s="136"/>
      <c r="C32" s="136"/>
      <c r="D32" s="136"/>
    </row>
    <row r="33" spans="1:5" ht="15.5">
      <c r="B33" s="136"/>
      <c r="C33" s="136"/>
      <c r="D33" s="136"/>
    </row>
    <row r="34" spans="1:5" ht="15.5">
      <c r="B34" s="136"/>
      <c r="C34" s="136"/>
      <c r="D34" s="136"/>
    </row>
    <row r="35" spans="1:5" s="136" customFormat="1" ht="15.5">
      <c r="A35" s="119"/>
      <c r="E35" s="119"/>
    </row>
    <row r="36" spans="1:5" s="136" customFormat="1" ht="15.5">
      <c r="A36" s="119"/>
      <c r="E36" s="119"/>
    </row>
    <row r="37" spans="1:5" s="136" customFormat="1" ht="15.5">
      <c r="A37" s="119"/>
      <c r="E37" s="119"/>
    </row>
    <row r="38" spans="1:5" s="136" customFormat="1" ht="15.5">
      <c r="A38" s="119"/>
      <c r="E38" s="119"/>
    </row>
    <row r="39" spans="1:5" s="136" customFormat="1" ht="15.5">
      <c r="A39" s="119"/>
      <c r="E39" s="119"/>
    </row>
    <row r="40" spans="1:5" s="136" customFormat="1" ht="15.5">
      <c r="A40" s="119"/>
      <c r="E40" s="119"/>
    </row>
    <row r="41" spans="1:5" s="136" customFormat="1" ht="15.5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8.54296875" style="110" customWidth="1"/>
    <col min="3" max="3" width="41.08984375" style="110" customWidth="1"/>
    <col min="4" max="4" width="18.54296875" style="110" customWidth="1"/>
    <col min="5" max="5" width="62.54296875" style="110" customWidth="1"/>
    <col min="6" max="6" width="5.08984375" style="109" customWidth="1"/>
    <col min="7" max="7" width="24" style="110" customWidth="1"/>
    <col min="8" max="8" width="11" style="110" customWidth="1"/>
    <col min="9" max="9" width="7.08984375" style="110" customWidth="1"/>
    <col min="10" max="10" width="9.08984375" style="110" customWidth="1"/>
    <col min="11" max="11" width="14" style="110" customWidth="1"/>
    <col min="12" max="12" width="13.36328125" style="110" customWidth="1"/>
    <col min="13" max="16384" width="9.08984375" style="110"/>
  </cols>
  <sheetData>
    <row r="2" spans="1:7">
      <c r="B2" s="1296" t="s">
        <v>0</v>
      </c>
      <c r="C2" s="1296"/>
      <c r="D2" s="1296"/>
      <c r="E2" s="1296"/>
    </row>
    <row r="3" spans="1:7">
      <c r="B3" s="1296" t="s">
        <v>311</v>
      </c>
      <c r="C3" s="1296"/>
      <c r="D3" s="1296"/>
      <c r="E3" s="1296"/>
    </row>
    <row r="4" spans="1:7">
      <c r="B4" s="1296" t="s">
        <v>312</v>
      </c>
      <c r="C4" s="1296"/>
      <c r="D4" s="1296"/>
      <c r="E4" s="1296"/>
    </row>
    <row r="5" spans="1:7">
      <c r="B5" s="1296" t="str">
        <f>"BASE PERIOD / TRUE UP PERIOD - 12/31/"&amp;Automation!$B$3&amp;" PER BOOK"</f>
        <v>BASE PERIOD / TRUE UP PERIOD - 12/31/2023 PER BOOK</v>
      </c>
      <c r="C5" s="1296"/>
      <c r="D5" s="1296"/>
      <c r="E5" s="1296"/>
    </row>
    <row r="6" spans="1:7">
      <c r="B6" s="1300" t="s">
        <v>3</v>
      </c>
      <c r="C6" s="1300"/>
      <c r="D6" s="1300"/>
      <c r="E6" s="1300"/>
    </row>
    <row r="7" spans="1:7">
      <c r="B7" s="111"/>
      <c r="C7" s="111"/>
      <c r="D7" s="111"/>
      <c r="E7" s="111"/>
      <c r="G7"/>
    </row>
    <row r="8" spans="1:7">
      <c r="B8" s="1296" t="s">
        <v>294</v>
      </c>
      <c r="C8" s="1296"/>
      <c r="D8" s="1296"/>
      <c r="E8" s="1296"/>
    </row>
    <row r="9" spans="1:7" ht="15.5">
      <c r="A9" s="119"/>
      <c r="F9" s="119"/>
    </row>
    <row r="10" spans="1:7" ht="15.5">
      <c r="A10" s="119" t="s">
        <v>4</v>
      </c>
      <c r="B10" s="524"/>
      <c r="C10" s="524"/>
      <c r="D10" s="525"/>
      <c r="E10" s="965"/>
      <c r="F10" s="119" t="s">
        <v>4</v>
      </c>
    </row>
    <row r="11" spans="1:7" ht="15.5">
      <c r="A11" s="119" t="s">
        <v>5</v>
      </c>
      <c r="B11" s="1018" t="s">
        <v>124</v>
      </c>
      <c r="C11" s="1018" t="s">
        <v>262</v>
      </c>
      <c r="D11" s="1018" t="s">
        <v>7</v>
      </c>
      <c r="E11" s="1015" t="s">
        <v>8</v>
      </c>
      <c r="F11" s="119" t="s">
        <v>5</v>
      </c>
    </row>
    <row r="12" spans="1:7" ht="15.5">
      <c r="A12" s="119"/>
      <c r="B12" s="968"/>
      <c r="C12" s="968"/>
      <c r="D12" s="968"/>
      <c r="E12" s="969"/>
      <c r="F12" s="119"/>
    </row>
    <row r="13" spans="1:7" ht="15.5">
      <c r="A13" s="119">
        <v>1</v>
      </c>
      <c r="B13" s="198" t="str">
        <f>"Dec-"&amp;RIGHT(Automation!$B$3-1,2)</f>
        <v>Dec-22</v>
      </c>
      <c r="C13" s="198" t="s">
        <v>295</v>
      </c>
      <c r="D13" s="972">
        <v>883346.59900000005</v>
      </c>
      <c r="E13" s="527" t="str">
        <f>Automation!B3-1&amp;" Form 1; Page 356; Accts 303 to 398"</f>
        <v>2022 Form 1; Page 356; Accts 303 to 398</v>
      </c>
      <c r="F13" s="119">
        <f>A13</f>
        <v>1</v>
      </c>
    </row>
    <row r="14" spans="1:7" ht="15.5">
      <c r="A14" s="119">
        <f>A13+1</f>
        <v>2</v>
      </c>
      <c r="B14" s="198"/>
      <c r="C14" s="198" t="s">
        <v>296</v>
      </c>
      <c r="D14" s="1019">
        <v>0.73170000000000002</v>
      </c>
      <c r="E14" s="539" t="str">
        <f>Automation!B3-1&amp;" Form 1; Page 356; Electric"</f>
        <v>2022 Form 1; Page 356; Electric</v>
      </c>
      <c r="F14" s="119">
        <f>F13+1</f>
        <v>2</v>
      </c>
      <c r="G14" s="418"/>
    </row>
    <row r="15" spans="1:7" ht="15.5">
      <c r="A15" s="119">
        <f t="shared" ref="A15:A23" si="0">A14+1</f>
        <v>3</v>
      </c>
      <c r="B15" s="198"/>
      <c r="C15" s="198" t="s">
        <v>328</v>
      </c>
      <c r="D15" s="529">
        <f>D13*D14</f>
        <v>646344.7064883</v>
      </c>
      <c r="E15" s="157" t="str">
        <f>"Line "&amp;A13&amp;" x Line "&amp;A14</f>
        <v>Line 1 x Line 2</v>
      </c>
      <c r="F15" s="119">
        <f t="shared" ref="F15:F23" si="1">F14+1</f>
        <v>3</v>
      </c>
      <c r="G15" s="418"/>
    </row>
    <row r="16" spans="1:7" ht="15.5">
      <c r="A16" s="119">
        <f t="shared" si="0"/>
        <v>4</v>
      </c>
      <c r="B16" s="198"/>
      <c r="C16" s="198"/>
      <c r="D16" s="529"/>
      <c r="E16" s="157"/>
      <c r="F16" s="119">
        <f t="shared" si="1"/>
        <v>4</v>
      </c>
      <c r="G16" s="418"/>
    </row>
    <row r="17" spans="1:7" ht="15.5">
      <c r="A17" s="119">
        <f t="shared" si="0"/>
        <v>5</v>
      </c>
      <c r="B17" s="198" t="str">
        <f>"Dec-"&amp;RIGHT(Automation!$B$3,2)</f>
        <v>Dec-23</v>
      </c>
      <c r="C17" s="198" t="s">
        <v>295</v>
      </c>
      <c r="D17" s="972">
        <v>1023506.296</v>
      </c>
      <c r="E17" s="527" t="s">
        <v>1017</v>
      </c>
      <c r="F17" s="119">
        <f t="shared" si="1"/>
        <v>5</v>
      </c>
      <c r="G17" s="418"/>
    </row>
    <row r="18" spans="1:7" ht="15.5">
      <c r="A18" s="119">
        <f t="shared" si="0"/>
        <v>6</v>
      </c>
      <c r="B18" s="198"/>
      <c r="C18" s="198" t="s">
        <v>296</v>
      </c>
      <c r="D18" s="1019">
        <v>0.73899999999999999</v>
      </c>
      <c r="E18" s="539" t="s">
        <v>1018</v>
      </c>
      <c r="F18" s="119">
        <f t="shared" si="1"/>
        <v>6</v>
      </c>
      <c r="G18" s="413"/>
    </row>
    <row r="19" spans="1:7" ht="15.5">
      <c r="A19" s="119">
        <f t="shared" si="0"/>
        <v>7</v>
      </c>
      <c r="B19" s="198"/>
      <c r="C19" s="198" t="s">
        <v>328</v>
      </c>
      <c r="D19" s="529">
        <f>D17*D18</f>
        <v>756371.15274399996</v>
      </c>
      <c r="E19" s="157" t="str">
        <f>"Line "&amp;A17&amp;" x Line "&amp;A18</f>
        <v>Line 5 x Line 6</v>
      </c>
      <c r="F19" s="119">
        <f t="shared" si="1"/>
        <v>7</v>
      </c>
      <c r="G19" s="418"/>
    </row>
    <row r="20" spans="1:7" ht="15.5">
      <c r="A20" s="119">
        <f t="shared" si="0"/>
        <v>8</v>
      </c>
      <c r="B20" s="1020"/>
      <c r="C20" s="1018"/>
      <c r="D20" s="1145"/>
      <c r="E20" s="1021"/>
      <c r="F20" s="119">
        <f t="shared" si="1"/>
        <v>8</v>
      </c>
      <c r="G20" s="418"/>
    </row>
    <row r="21" spans="1:7" ht="15.5">
      <c r="A21" s="119">
        <f t="shared" si="0"/>
        <v>9</v>
      </c>
      <c r="B21" s="528"/>
      <c r="D21" s="201"/>
      <c r="E21" s="130"/>
      <c r="F21" s="119">
        <f t="shared" si="1"/>
        <v>9</v>
      </c>
      <c r="G21" s="418"/>
    </row>
    <row r="22" spans="1:7" ht="15.5">
      <c r="A22" s="119">
        <f t="shared" si="0"/>
        <v>10</v>
      </c>
      <c r="B22" s="201" t="s">
        <v>239</v>
      </c>
      <c r="D22" s="206">
        <f>(D15+D19)/2</f>
        <v>701357.92961614998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</row>
    <row r="23" spans="1:7" ht="15.5">
      <c r="A23" s="119">
        <f t="shared" si="0"/>
        <v>11</v>
      </c>
      <c r="B23" s="1136"/>
      <c r="C23" s="1139"/>
      <c r="D23" s="1136"/>
      <c r="E23" s="1125"/>
      <c r="F23" s="119">
        <f t="shared" si="1"/>
        <v>11</v>
      </c>
      <c r="G23" s="418"/>
    </row>
    <row r="24" spans="1:7" ht="15.5">
      <c r="A24" s="119"/>
      <c r="B24" s="161"/>
      <c r="C24" s="161"/>
      <c r="D24" s="136"/>
      <c r="E24" s="136"/>
      <c r="G24" s="418"/>
    </row>
    <row r="25" spans="1:7" ht="15.5">
      <c r="B25" s="136"/>
      <c r="C25" s="136"/>
      <c r="D25" s="136"/>
      <c r="E25" s="136"/>
      <c r="G25" s="418"/>
    </row>
    <row r="26" spans="1:7" ht="15.5">
      <c r="B26" s="136"/>
      <c r="C26" s="136"/>
      <c r="D26" s="136"/>
      <c r="E26" s="136"/>
      <c r="G26" s="155"/>
    </row>
    <row r="27" spans="1:7" ht="15.5">
      <c r="B27" s="136"/>
      <c r="C27" s="136"/>
      <c r="D27" s="136"/>
      <c r="E27" s="136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9"/>
  <sheetViews>
    <sheetView zoomScale="80" zoomScaleNormal="80" zoomScalePageLayoutView="80" workbookViewId="0"/>
  </sheetViews>
  <sheetFormatPr defaultColWidth="9.08984375" defaultRowHeight="15.5"/>
  <cols>
    <col min="1" max="1" width="5.08984375" style="247" customWidth="1"/>
    <col min="2" max="2" width="56" style="216" customWidth="1"/>
    <col min="3" max="3" width="24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16.6328125" style="216" customWidth="1"/>
    <col min="8" max="8" width="1.54296875" style="216" customWidth="1"/>
    <col min="9" max="9" width="17.6328125" style="216" bestFit="1" customWidth="1"/>
    <col min="10" max="10" width="1.54296875" style="216" customWidth="1"/>
    <col min="11" max="11" width="39.36328125" style="216" bestFit="1" customWidth="1"/>
    <col min="12" max="12" width="5.08984375" style="216" customWidth="1"/>
    <col min="13" max="13" width="9.08984375" style="216"/>
    <col min="14" max="14" width="20.36328125" style="216" bestFit="1" customWidth="1"/>
    <col min="15" max="16384" width="9.08984375" style="216"/>
  </cols>
  <sheetData>
    <row r="1" spans="1:14">
      <c r="H1" s="247"/>
      <c r="I1" s="247"/>
      <c r="J1" s="247"/>
      <c r="K1" s="247"/>
      <c r="L1" s="247"/>
    </row>
    <row r="2" spans="1:14">
      <c r="B2" s="1290" t="s">
        <v>0</v>
      </c>
      <c r="C2" s="1290"/>
      <c r="D2" s="1290"/>
      <c r="E2" s="1290"/>
      <c r="F2" s="1290"/>
      <c r="G2" s="1290"/>
      <c r="H2" s="1290"/>
      <c r="I2" s="1290"/>
      <c r="J2" s="1290"/>
      <c r="K2" s="1290"/>
      <c r="L2" s="247"/>
    </row>
    <row r="3" spans="1:14" ht="18">
      <c r="B3" s="1290" t="s">
        <v>898</v>
      </c>
      <c r="C3" s="1290"/>
      <c r="D3" s="1290"/>
      <c r="E3" s="1290"/>
      <c r="F3" s="1290"/>
      <c r="G3" s="1290"/>
      <c r="H3" s="1290"/>
      <c r="I3" s="1290"/>
      <c r="J3" s="1290"/>
      <c r="K3" s="1290"/>
      <c r="L3" s="247"/>
    </row>
    <row r="4" spans="1:14">
      <c r="B4" s="1290" t="s">
        <v>329</v>
      </c>
      <c r="C4" s="1290"/>
      <c r="D4" s="1290"/>
      <c r="E4" s="1290"/>
      <c r="F4" s="1290"/>
      <c r="G4" s="1290"/>
      <c r="H4" s="1290"/>
      <c r="I4" s="1290"/>
      <c r="J4" s="1290"/>
      <c r="K4" s="1290"/>
      <c r="L4" s="247"/>
    </row>
    <row r="5" spans="1:14">
      <c r="B5" s="1292" t="str">
        <f>'A. Sec.1 - Direct Maintenance'!B5</f>
        <v>Base Period &amp; True-Up Period 12 - Months Ending December 31, 2023</v>
      </c>
      <c r="C5" s="1292"/>
      <c r="D5" s="1292"/>
      <c r="E5" s="1292"/>
      <c r="F5" s="1292"/>
      <c r="G5" s="1292"/>
      <c r="H5" s="1292"/>
      <c r="I5" s="1292"/>
      <c r="J5" s="1292"/>
      <c r="K5" s="1292"/>
      <c r="L5" s="247"/>
    </row>
    <row r="6" spans="1:14">
      <c r="B6" s="1288" t="s">
        <v>3</v>
      </c>
      <c r="C6" s="1302"/>
      <c r="D6" s="1302"/>
      <c r="E6" s="1302"/>
      <c r="F6" s="1302"/>
      <c r="G6" s="1302"/>
      <c r="H6" s="1302"/>
      <c r="I6" s="1302"/>
      <c r="J6" s="1302"/>
      <c r="K6" s="1302"/>
      <c r="L6" s="247"/>
    </row>
    <row r="7" spans="1:14"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7"/>
    </row>
    <row r="8" spans="1:14">
      <c r="A8" s="247" t="s">
        <v>4</v>
      </c>
      <c r="B8" s="551"/>
      <c r="C8" s="247" t="s">
        <v>189</v>
      </c>
      <c r="D8" s="551"/>
      <c r="E8" s="412" t="s">
        <v>77</v>
      </c>
      <c r="F8" s="247"/>
      <c r="G8" s="412" t="s">
        <v>78</v>
      </c>
      <c r="H8" s="247"/>
      <c r="I8" s="412" t="s">
        <v>190</v>
      </c>
      <c r="J8" s="247"/>
      <c r="K8" s="247"/>
      <c r="L8" s="247" t="s">
        <v>4</v>
      </c>
    </row>
    <row r="9" spans="1:14">
      <c r="A9" s="247" t="s">
        <v>5</v>
      </c>
      <c r="C9" s="997" t="s">
        <v>191</v>
      </c>
      <c r="E9" s="1140" t="str">
        <f>'Stmt AD'!E9</f>
        <v>31-Dec-22</v>
      </c>
      <c r="F9" s="109"/>
      <c r="G9" s="1140" t="str">
        <f>'Stmt AD'!G9</f>
        <v>31-Dec-23</v>
      </c>
      <c r="H9" s="551"/>
      <c r="I9" s="998" t="s">
        <v>192</v>
      </c>
      <c r="J9" s="551"/>
      <c r="K9" s="997" t="s">
        <v>8</v>
      </c>
      <c r="L9" s="247" t="s">
        <v>5</v>
      </c>
    </row>
    <row r="10" spans="1:14">
      <c r="H10" s="247"/>
      <c r="I10" s="247"/>
      <c r="J10" s="247"/>
      <c r="K10" s="247"/>
      <c r="L10" s="247"/>
    </row>
    <row r="11" spans="1:14">
      <c r="A11" s="247">
        <v>1</v>
      </c>
      <c r="B11" s="216" t="s">
        <v>330</v>
      </c>
      <c r="E11" s="1268">
        <f>'AF-1'!I16+'AF-1'!I32</f>
        <v>105148.93059425919</v>
      </c>
      <c r="F11" s="1254" t="s">
        <v>1015</v>
      </c>
      <c r="G11" s="344">
        <f>'AF-2'!I16+'AF-2'!I32</f>
        <v>103537.42708935877</v>
      </c>
      <c r="H11" s="247"/>
      <c r="I11" s="376">
        <f>(E11+G11)/2</f>
        <v>104343.17884180899</v>
      </c>
      <c r="J11" s="247"/>
      <c r="K11" s="247" t="str">
        <f>"AF-1 and AF-2; Line "&amp;'AF-1'!A16&amp;" + Line "&amp;'AF-1'!A32&amp;"; Col. d"</f>
        <v>AF-1 and AF-2; Line 5 + Line 21; Col. d</v>
      </c>
      <c r="L11" s="247">
        <f>A11</f>
        <v>1</v>
      </c>
      <c r="N11" s="908"/>
    </row>
    <row r="12" spans="1:14">
      <c r="A12" s="247">
        <f>A11+1</f>
        <v>2</v>
      </c>
      <c r="H12" s="247"/>
      <c r="I12" s="247"/>
      <c r="J12" s="247"/>
      <c r="K12" s="247"/>
      <c r="L12" s="247">
        <f>L11+1</f>
        <v>2</v>
      </c>
    </row>
    <row r="13" spans="1:14" s="413" customFormat="1">
      <c r="A13" s="247">
        <f t="shared" ref="A13:A23" si="0">A12+1</f>
        <v>3</v>
      </c>
      <c r="B13" s="216" t="s">
        <v>331</v>
      </c>
      <c r="C13" s="216"/>
      <c r="D13" s="216"/>
      <c r="E13" s="560">
        <f>'AF-1'!I21+'AF-1'!I37</f>
        <v>-1205566.3811728389</v>
      </c>
      <c r="G13" s="560">
        <f>'AF-2'!I21+'AF-2'!I37</f>
        <v>-1227885.4061833911</v>
      </c>
      <c r="H13" s="247"/>
      <c r="I13" s="561">
        <f>(E13+G13)/2</f>
        <v>-1216725.893678115</v>
      </c>
      <c r="J13" s="247"/>
      <c r="K13" s="247" t="str">
        <f>"AF-1 and AF-2; Line "&amp;'AF-1'!A21&amp;" + Line "&amp;'AF-1'!A37&amp;"; Col. d"</f>
        <v>AF-1 and AF-2; Line 10 + Line 26; Col. d</v>
      </c>
      <c r="L13" s="247">
        <f t="shared" ref="L13:L23" si="1">L12+1</f>
        <v>3</v>
      </c>
      <c r="M13" s="216"/>
    </row>
    <row r="14" spans="1:14" s="413" customFormat="1">
      <c r="A14" s="247">
        <f t="shared" si="0"/>
        <v>4</v>
      </c>
      <c r="B14" s="216"/>
      <c r="C14" s="216"/>
      <c r="D14" s="216"/>
      <c r="E14" s="216"/>
      <c r="F14" s="216"/>
      <c r="G14" s="216"/>
      <c r="H14" s="247"/>
      <c r="I14" s="247"/>
      <c r="J14" s="247"/>
      <c r="K14" s="4"/>
      <c r="L14" s="247">
        <f t="shared" si="1"/>
        <v>4</v>
      </c>
    </row>
    <row r="15" spans="1:14" s="413" customFormat="1">
      <c r="A15" s="247">
        <f t="shared" si="0"/>
        <v>5</v>
      </c>
      <c r="B15" s="216" t="s">
        <v>332</v>
      </c>
      <c r="C15" s="216"/>
      <c r="D15" s="216"/>
      <c r="E15" s="947">
        <f>'AF-1'!I26+'AF-1'!I42</f>
        <v>-8583.7620040680013</v>
      </c>
      <c r="F15" s="216"/>
      <c r="G15" s="947">
        <f>'AF-2'!I26+'AF-2'!I42</f>
        <v>-9530.1858252439943</v>
      </c>
      <c r="H15" s="247"/>
      <c r="I15" s="1146">
        <f>(E15+G15)/2</f>
        <v>-9056.9739146559987</v>
      </c>
      <c r="J15" s="247"/>
      <c r="K15" s="247" t="str">
        <f>"AF-1 and AF-2; Line "&amp;'AF-1'!A26&amp;" + Line "&amp;'AF-1'!A42&amp;"; Col. d"</f>
        <v>AF-1 and AF-2; Line 15 + Line 31; Col. d</v>
      </c>
      <c r="L15" s="247">
        <f t="shared" si="1"/>
        <v>5</v>
      </c>
      <c r="M15" s="216"/>
      <c r="N15" s="216"/>
    </row>
    <row r="16" spans="1:14">
      <c r="A16" s="247">
        <f t="shared" si="0"/>
        <v>6</v>
      </c>
      <c r="B16" s="3"/>
      <c r="E16" s="376"/>
      <c r="F16" s="376"/>
      <c r="G16" s="376"/>
      <c r="I16" s="376"/>
      <c r="J16" s="247"/>
      <c r="K16" s="4"/>
      <c r="L16" s="247">
        <f t="shared" si="1"/>
        <v>6</v>
      </c>
    </row>
    <row r="17" spans="1:12" ht="19" thickBot="1">
      <c r="A17" s="247">
        <f t="shared" si="0"/>
        <v>7</v>
      </c>
      <c r="B17" s="3" t="s">
        <v>333</v>
      </c>
      <c r="C17" s="247"/>
      <c r="E17" s="1262">
        <f>SUM(E11:E15)</f>
        <v>-1109001.2125826476</v>
      </c>
      <c r="F17" s="1254" t="s">
        <v>1015</v>
      </c>
      <c r="G17" s="414">
        <f>SUM(G11:G15)</f>
        <v>-1133878.1649192765</v>
      </c>
      <c r="H17" s="415"/>
      <c r="I17" s="414">
        <f>SUM(I11:I15)</f>
        <v>-1121439.688750962</v>
      </c>
      <c r="J17" s="247"/>
      <c r="K17" s="5" t="str">
        <f>"Sum Lines "&amp;A11&amp;" thru "&amp;A15</f>
        <v>Sum Lines 1 thru 5</v>
      </c>
      <c r="L17" s="247">
        <f t="shared" si="1"/>
        <v>7</v>
      </c>
    </row>
    <row r="18" spans="1:12" ht="16" thickTop="1">
      <c r="A18" s="247">
        <f t="shared" si="0"/>
        <v>8</v>
      </c>
      <c r="J18" s="247"/>
      <c r="K18" s="4"/>
      <c r="L18" s="247">
        <f t="shared" si="1"/>
        <v>8</v>
      </c>
    </row>
    <row r="19" spans="1:12" ht="16" thickBot="1">
      <c r="A19" s="247">
        <f t="shared" si="0"/>
        <v>9</v>
      </c>
      <c r="B19" s="3" t="s">
        <v>334</v>
      </c>
      <c r="E19" s="883">
        <v>0</v>
      </c>
      <c r="G19" s="883">
        <v>0</v>
      </c>
      <c r="I19" s="867">
        <f>(E19+G19)/2</f>
        <v>0</v>
      </c>
      <c r="J19" s="247"/>
      <c r="K19" s="247" t="s">
        <v>307</v>
      </c>
      <c r="L19" s="247">
        <f t="shared" si="1"/>
        <v>9</v>
      </c>
    </row>
    <row r="20" spans="1:12" ht="16" thickTop="1">
      <c r="A20" s="247">
        <f t="shared" si="0"/>
        <v>10</v>
      </c>
      <c r="B20" s="3"/>
      <c r="I20" s="237"/>
      <c r="J20" s="247"/>
      <c r="K20" s="4"/>
      <c r="L20" s="247">
        <f t="shared" si="1"/>
        <v>10</v>
      </c>
    </row>
    <row r="21" spans="1:12" ht="16" thickBot="1">
      <c r="A21" s="247">
        <f t="shared" si="0"/>
        <v>11</v>
      </c>
      <c r="B21" s="3" t="s">
        <v>335</v>
      </c>
      <c r="E21" s="416">
        <f>'AF-1'!I45</f>
        <v>0</v>
      </c>
      <c r="F21" s="417"/>
      <c r="G21" s="416">
        <f>'AF-2'!I45</f>
        <v>0</v>
      </c>
      <c r="H21" s="418"/>
      <c r="I21" s="867">
        <f>(E21+G21)/2</f>
        <v>0</v>
      </c>
      <c r="K21" s="247" t="str">
        <f>"AF-1 and AF-2; Line "&amp;'AF-1'!A45&amp;"; Col. d"</f>
        <v>AF-1 and AF-2; Line 34; Col. d</v>
      </c>
      <c r="L21" s="247">
        <f t="shared" si="1"/>
        <v>11</v>
      </c>
    </row>
    <row r="22" spans="1:12" ht="16" thickTop="1">
      <c r="A22" s="247">
        <f t="shared" si="0"/>
        <v>12</v>
      </c>
      <c r="B22" s="3"/>
      <c r="E22" s="588"/>
      <c r="F22" s="866"/>
      <c r="G22" s="588"/>
      <c r="H22" s="418"/>
      <c r="I22" s="237"/>
      <c r="K22" s="4"/>
      <c r="L22" s="247">
        <f t="shared" si="1"/>
        <v>12</v>
      </c>
    </row>
    <row r="23" spans="1:12" ht="16" thickBot="1">
      <c r="A23" s="247">
        <f t="shared" si="0"/>
        <v>13</v>
      </c>
      <c r="B23" s="3" t="s">
        <v>336</v>
      </c>
      <c r="E23" s="883">
        <v>0</v>
      </c>
      <c r="F23" s="417"/>
      <c r="G23" s="883">
        <v>0</v>
      </c>
      <c r="H23" s="418"/>
      <c r="I23" s="867">
        <f>(E23+G23)/2</f>
        <v>0</v>
      </c>
      <c r="K23" s="247" t="s">
        <v>307</v>
      </c>
      <c r="L23" s="247">
        <f t="shared" si="1"/>
        <v>13</v>
      </c>
    </row>
    <row r="24" spans="1:12" ht="16" thickTop="1">
      <c r="L24" s="247"/>
    </row>
    <row r="25" spans="1:12">
      <c r="L25" s="247"/>
    </row>
    <row r="26" spans="1:12">
      <c r="A26" s="1254" t="s">
        <v>1015</v>
      </c>
      <c r="B26" s="1267" t="s">
        <v>1033</v>
      </c>
    </row>
    <row r="27" spans="1:12" ht="18">
      <c r="A27" s="372">
        <v>1</v>
      </c>
      <c r="B27" s="3" t="s">
        <v>337</v>
      </c>
    </row>
    <row r="28" spans="1:12" ht="18">
      <c r="A28" s="372">
        <v>2</v>
      </c>
      <c r="B28" s="216" t="s">
        <v>930</v>
      </c>
    </row>
    <row r="29" spans="1:12">
      <c r="A29" s="216"/>
      <c r="B29" s="420" t="s">
        <v>931</v>
      </c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Roman,Regular"&amp;10AF</oddFooter>
  </headerFooter>
  <customProperties>
    <customPr name="_pios_id" r:id="rId2"/>
  </customPropertie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N48"/>
  <sheetViews>
    <sheetView zoomScale="80" zoomScaleNormal="80" zoomScaleSheetLayoutView="70" workbookViewId="0"/>
  </sheetViews>
  <sheetFormatPr defaultColWidth="8.6328125" defaultRowHeight="15.5"/>
  <cols>
    <col min="1" max="1" width="5.6328125" style="247" customWidth="1"/>
    <col min="2" max="2" width="62.6328125" style="216" bestFit="1" customWidth="1"/>
    <col min="3" max="3" width="16.6328125" style="216" customWidth="1"/>
    <col min="4" max="4" width="2.08984375" style="216" bestFit="1" customWidth="1"/>
    <col min="5" max="5" width="16.6328125" style="216" customWidth="1"/>
    <col min="6" max="6" width="1.54296875" style="216" customWidth="1"/>
    <col min="7" max="7" width="16.6328125" style="216" customWidth="1"/>
    <col min="8" max="8" width="1.54296875" style="216" customWidth="1"/>
    <col min="9" max="9" width="23.36328125" style="216" bestFit="1" customWidth="1"/>
    <col min="10" max="10" width="2.08984375" style="216" bestFit="1" customWidth="1"/>
    <col min="11" max="11" width="62.54296875" style="216" customWidth="1"/>
    <col min="12" max="12" width="5.08984375" style="247" customWidth="1"/>
    <col min="13" max="13" width="8.6328125" style="216"/>
    <col min="14" max="14" width="13.453125" style="216" bestFit="1" customWidth="1"/>
    <col min="15" max="16384" width="8.6328125" style="216"/>
  </cols>
  <sheetData>
    <row r="2" spans="1:14">
      <c r="B2" s="1290" t="s">
        <v>0</v>
      </c>
      <c r="C2" s="1290"/>
      <c r="D2" s="1290"/>
      <c r="E2" s="1290"/>
      <c r="F2" s="1290"/>
      <c r="G2" s="1290"/>
      <c r="H2" s="1290"/>
      <c r="I2" s="1290"/>
      <c r="J2" s="1290"/>
      <c r="K2" s="1290"/>
    </row>
    <row r="3" spans="1:14">
      <c r="B3" s="1290" t="s">
        <v>338</v>
      </c>
      <c r="C3" s="1290"/>
      <c r="D3" s="1290"/>
      <c r="E3" s="1290"/>
      <c r="F3" s="1290"/>
      <c r="G3" s="1290"/>
      <c r="H3" s="1290"/>
      <c r="I3" s="1290"/>
      <c r="J3" s="1290"/>
      <c r="K3" s="1290"/>
    </row>
    <row r="4" spans="1:14">
      <c r="B4" s="1290" t="s">
        <v>339</v>
      </c>
      <c r="C4" s="1290"/>
      <c r="D4" s="1290"/>
      <c r="E4" s="1290"/>
      <c r="F4" s="1290"/>
      <c r="G4" s="1290"/>
      <c r="H4" s="1290"/>
      <c r="I4" s="1290"/>
      <c r="J4" s="1290"/>
      <c r="K4" s="1290"/>
    </row>
    <row r="5" spans="1:14">
      <c r="B5" s="1290" t="str">
        <f>"Base Period 12 Months Ending December 31, "&amp;Automation!$B$3-1</f>
        <v>Base Period 12 Months Ending December 31, 2022</v>
      </c>
      <c r="C5" s="1290"/>
      <c r="D5" s="1290"/>
      <c r="E5" s="1290"/>
      <c r="F5" s="1290"/>
      <c r="G5" s="1290"/>
      <c r="H5" s="1290"/>
      <c r="I5" s="1290"/>
      <c r="J5" s="1290"/>
      <c r="K5" s="1290"/>
    </row>
    <row r="6" spans="1:14" ht="15.75" customHeight="1">
      <c r="B6" s="1288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</row>
    <row r="8" spans="1:14">
      <c r="B8" s="237"/>
      <c r="C8" s="690" t="s">
        <v>77</v>
      </c>
      <c r="D8" s="690"/>
      <c r="E8" s="690" t="s">
        <v>78</v>
      </c>
      <c r="F8" s="690"/>
      <c r="G8" s="690" t="s">
        <v>340</v>
      </c>
      <c r="H8" s="690"/>
      <c r="I8" s="690" t="s">
        <v>341</v>
      </c>
      <c r="J8" s="690"/>
      <c r="K8" s="690"/>
    </row>
    <row r="9" spans="1:14">
      <c r="A9" s="247" t="s">
        <v>4</v>
      </c>
      <c r="B9" s="237"/>
      <c r="C9" s="690" t="s">
        <v>342</v>
      </c>
      <c r="D9" s="690"/>
      <c r="E9" s="690" t="s">
        <v>343</v>
      </c>
      <c r="F9" s="690"/>
      <c r="G9" s="690" t="s">
        <v>343</v>
      </c>
      <c r="H9" s="690"/>
      <c r="I9" s="690"/>
      <c r="J9" s="690"/>
      <c r="K9" s="690"/>
      <c r="L9" s="247" t="s">
        <v>4</v>
      </c>
    </row>
    <row r="10" spans="1:14">
      <c r="A10" s="247" t="s">
        <v>5</v>
      </c>
      <c r="B10" s="989" t="s">
        <v>262</v>
      </c>
      <c r="C10" s="1048" t="s">
        <v>344</v>
      </c>
      <c r="D10" s="1048"/>
      <c r="E10" s="1048" t="s">
        <v>345</v>
      </c>
      <c r="F10" s="1048"/>
      <c r="G10" s="1048" t="s">
        <v>346</v>
      </c>
      <c r="H10" s="1048"/>
      <c r="I10" s="989" t="s">
        <v>80</v>
      </c>
      <c r="J10" s="989"/>
      <c r="K10" s="989" t="s">
        <v>8</v>
      </c>
      <c r="L10" s="247" t="s">
        <v>5</v>
      </c>
    </row>
    <row r="11" spans="1:14">
      <c r="B11" s="237"/>
      <c r="C11" s="836"/>
      <c r="D11" s="836"/>
      <c r="E11" s="836"/>
      <c r="F11" s="836"/>
      <c r="G11" s="836"/>
      <c r="H11" s="836"/>
      <c r="I11" s="481"/>
      <c r="J11" s="481"/>
      <c r="K11" s="481"/>
    </row>
    <row r="12" spans="1:14">
      <c r="A12" s="247">
        <v>1</v>
      </c>
      <c r="B12" s="420" t="s">
        <v>347</v>
      </c>
      <c r="C12" s="837"/>
      <c r="D12" s="837"/>
      <c r="E12" s="837"/>
      <c r="F12" s="837"/>
      <c r="G12" s="837"/>
      <c r="H12" s="837"/>
      <c r="I12" s="481"/>
      <c r="J12" s="481"/>
      <c r="K12" s="481"/>
      <c r="L12" s="247">
        <f>A12</f>
        <v>1</v>
      </c>
    </row>
    <row r="13" spans="1:14">
      <c r="A13" s="247">
        <f>A12+1</f>
        <v>2</v>
      </c>
      <c r="B13" s="420" t="s">
        <v>348</v>
      </c>
      <c r="C13" s="1253">
        <v>1029.97967070187</v>
      </c>
      <c r="D13" s="1254" t="s">
        <v>1015</v>
      </c>
      <c r="E13" s="473">
        <v>0</v>
      </c>
      <c r="F13" s="473"/>
      <c r="G13" s="473">
        <v>0</v>
      </c>
      <c r="H13" s="838"/>
      <c r="I13" s="1255">
        <f>SUM(C13:G13)</f>
        <v>1029.97967070187</v>
      </c>
      <c r="J13" s="1254" t="s">
        <v>1015</v>
      </c>
      <c r="K13" s="401" t="s">
        <v>1003</v>
      </c>
      <c r="L13" s="247">
        <f>L12+1</f>
        <v>2</v>
      </c>
      <c r="M13" s="908"/>
      <c r="N13" s="908"/>
    </row>
    <row r="14" spans="1:14">
      <c r="A14" s="247">
        <f t="shared" ref="A14:A45" si="0">A13+1</f>
        <v>3</v>
      </c>
      <c r="B14" s="420" t="s">
        <v>349</v>
      </c>
      <c r="C14" s="491">
        <v>223.40401868713801</v>
      </c>
      <c r="D14" s="491"/>
      <c r="E14" s="491">
        <v>0</v>
      </c>
      <c r="F14" s="491"/>
      <c r="G14" s="491">
        <v>0</v>
      </c>
      <c r="H14" s="491"/>
      <c r="I14" s="164">
        <f>SUM(C14:G14)</f>
        <v>223.40401868713801</v>
      </c>
      <c r="J14" s="164"/>
      <c r="K14" s="401" t="s">
        <v>1003</v>
      </c>
      <c r="L14" s="247">
        <f t="shared" ref="L14:L45" si="1">L13+1</f>
        <v>3</v>
      </c>
    </row>
    <row r="15" spans="1:14">
      <c r="A15" s="247">
        <f t="shared" si="0"/>
        <v>4</v>
      </c>
      <c r="B15" s="420" t="s">
        <v>350</v>
      </c>
      <c r="C15" s="491">
        <v>0</v>
      </c>
      <c r="D15" s="491"/>
      <c r="E15" s="491">
        <v>103895.54690487018</v>
      </c>
      <c r="F15" s="491"/>
      <c r="G15" s="491">
        <v>0</v>
      </c>
      <c r="H15" s="491"/>
      <c r="I15" s="164">
        <f>SUM(C15:G15)</f>
        <v>103895.54690487018</v>
      </c>
      <c r="J15" s="164"/>
      <c r="K15" s="401" t="s">
        <v>1003</v>
      </c>
      <c r="L15" s="247">
        <f t="shared" si="1"/>
        <v>4</v>
      </c>
    </row>
    <row r="16" spans="1:14" ht="16" thickBot="1">
      <c r="A16" s="247">
        <f t="shared" si="0"/>
        <v>5</v>
      </c>
      <c r="B16" s="466" t="s">
        <v>351</v>
      </c>
      <c r="C16" s="839">
        <f>SUM(C13:C15)</f>
        <v>1253.3836893890079</v>
      </c>
      <c r="D16" s="1254" t="s">
        <v>1015</v>
      </c>
      <c r="E16" s="839">
        <f>SUM(E13:E15)</f>
        <v>103895.54690487018</v>
      </c>
      <c r="F16" s="323"/>
      <c r="G16" s="839">
        <f>SUM(G13:G15)</f>
        <v>0</v>
      </c>
      <c r="H16" s="164"/>
      <c r="I16" s="839">
        <f>SUM(I13:I15)</f>
        <v>105148.93059425919</v>
      </c>
      <c r="J16" s="1254" t="s">
        <v>1015</v>
      </c>
      <c r="K16" s="840" t="str">
        <f>"Sum Lines "&amp;A13&amp;" thru "&amp;A15</f>
        <v>Sum Lines 2 thru 4</v>
      </c>
      <c r="L16" s="247">
        <f t="shared" si="1"/>
        <v>5</v>
      </c>
    </row>
    <row r="17" spans="1:14" ht="16" thickTop="1">
      <c r="A17" s="247">
        <f t="shared" si="0"/>
        <v>6</v>
      </c>
      <c r="C17" s="841"/>
      <c r="D17" s="841"/>
      <c r="E17" s="841"/>
      <c r="F17" s="841"/>
      <c r="G17" s="1236"/>
      <c r="H17" s="841"/>
      <c r="I17" s="841"/>
      <c r="J17" s="841"/>
      <c r="K17" s="841"/>
      <c r="L17" s="247">
        <f t="shared" si="1"/>
        <v>6</v>
      </c>
    </row>
    <row r="18" spans="1:14">
      <c r="A18" s="247">
        <f t="shared" si="0"/>
        <v>7</v>
      </c>
      <c r="B18" s="420" t="s">
        <v>352</v>
      </c>
      <c r="C18" s="837"/>
      <c r="D18" s="837"/>
      <c r="E18" s="837"/>
      <c r="F18" s="837"/>
      <c r="G18" s="837"/>
      <c r="H18" s="837"/>
      <c r="I18" s="481"/>
      <c r="J18" s="481"/>
      <c r="K18" s="481"/>
      <c r="L18" s="247">
        <f t="shared" si="1"/>
        <v>7</v>
      </c>
    </row>
    <row r="19" spans="1:14">
      <c r="A19" s="247">
        <f t="shared" si="0"/>
        <v>8</v>
      </c>
      <c r="B19" s="842" t="s">
        <v>353</v>
      </c>
      <c r="C19" s="473">
        <v>-844678.63211961079</v>
      </c>
      <c r="D19" s="1254"/>
      <c r="E19" s="376">
        <v>-365954.92673469405</v>
      </c>
      <c r="F19" s="376"/>
      <c r="G19" s="376">
        <v>8295.2800215856587</v>
      </c>
      <c r="H19" s="376"/>
      <c r="I19" s="376">
        <f>SUM(C19:G19)</f>
        <v>-1202338.278832719</v>
      </c>
      <c r="J19" s="1254"/>
      <c r="K19" s="1248" t="s">
        <v>1032</v>
      </c>
      <c r="L19" s="247">
        <f t="shared" si="1"/>
        <v>8</v>
      </c>
    </row>
    <row r="20" spans="1:14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164"/>
      <c r="L20" s="247">
        <f t="shared" si="1"/>
        <v>9</v>
      </c>
    </row>
    <row r="21" spans="1:14" ht="16" thickBot="1">
      <c r="A21" s="247">
        <f t="shared" si="0"/>
        <v>10</v>
      </c>
      <c r="B21" s="466" t="s">
        <v>354</v>
      </c>
      <c r="C21" s="839">
        <f>SUM(C19:C20)</f>
        <v>-844678.63211961079</v>
      </c>
      <c r="D21" s="1254"/>
      <c r="E21" s="839">
        <f>SUM(E19:E20)</f>
        <v>-365954.92673469405</v>
      </c>
      <c r="F21" s="323"/>
      <c r="G21" s="839">
        <f>SUM(G19:G20)</f>
        <v>8295.2800215856587</v>
      </c>
      <c r="H21" s="164"/>
      <c r="I21" s="839">
        <f>SUM(I19:I20)</f>
        <v>-1202338.278832719</v>
      </c>
      <c r="J21" s="1254"/>
      <c r="K21" s="840" t="str">
        <f>"Sum Lines "&amp;A19&amp;" thru "&amp;A20</f>
        <v>Sum Lines 8 thru 9</v>
      </c>
      <c r="L21" s="247">
        <f t="shared" si="1"/>
        <v>10</v>
      </c>
    </row>
    <row r="22" spans="1:14" ht="16" thickTop="1">
      <c r="A22" s="247">
        <f t="shared" si="0"/>
        <v>11</v>
      </c>
      <c r="L22" s="247">
        <f t="shared" si="1"/>
        <v>11</v>
      </c>
    </row>
    <row r="23" spans="1:14">
      <c r="A23" s="247">
        <f t="shared" si="0"/>
        <v>12</v>
      </c>
      <c r="B23" s="420" t="s">
        <v>355</v>
      </c>
      <c r="C23" s="837"/>
      <c r="D23" s="837"/>
      <c r="E23" s="837"/>
      <c r="F23" s="837"/>
      <c r="G23" s="837"/>
      <c r="H23" s="837"/>
      <c r="I23" s="481"/>
      <c r="J23" s="481"/>
      <c r="K23" s="247"/>
      <c r="L23" s="247">
        <f t="shared" si="1"/>
        <v>12</v>
      </c>
    </row>
    <row r="24" spans="1:14">
      <c r="A24" s="247">
        <f t="shared" si="0"/>
        <v>13</v>
      </c>
      <c r="B24" s="420" t="s">
        <v>356</v>
      </c>
      <c r="C24" s="473">
        <v>-8583.7620040680013</v>
      </c>
      <c r="D24" s="473"/>
      <c r="E24" s="473">
        <v>0</v>
      </c>
      <c r="F24" s="473"/>
      <c r="G24" s="473">
        <v>0</v>
      </c>
      <c r="H24" s="838"/>
      <c r="I24" s="376">
        <f>SUM(C24:G24)</f>
        <v>-8583.7620040680013</v>
      </c>
      <c r="J24" s="376"/>
      <c r="K24" s="401" t="s">
        <v>1004</v>
      </c>
      <c r="L24" s="247">
        <f t="shared" si="1"/>
        <v>13</v>
      </c>
      <c r="N24" s="908"/>
    </row>
    <row r="25" spans="1:14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164"/>
      <c r="L25" s="247">
        <f t="shared" si="1"/>
        <v>14</v>
      </c>
    </row>
    <row r="26" spans="1:14" ht="16" thickBot="1">
      <c r="A26" s="247">
        <f t="shared" si="0"/>
        <v>15</v>
      </c>
      <c r="B26" s="466" t="s">
        <v>357</v>
      </c>
      <c r="C26" s="839">
        <f>SUM(C24:C25)</f>
        <v>-8583.7620040680013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-8583.7620040680013</v>
      </c>
      <c r="J26" s="323"/>
      <c r="K26" s="840" t="str">
        <f>"Sum Lines "&amp;A24&amp;" thru "&amp;A25</f>
        <v>Sum Lines 13 thru 14</v>
      </c>
      <c r="L26" s="247">
        <f t="shared" si="1"/>
        <v>15</v>
      </c>
    </row>
    <row r="27" spans="1:14" ht="16.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47">
        <f t="shared" si="1"/>
        <v>16</v>
      </c>
    </row>
    <row r="28" spans="1:14">
      <c r="A28" s="247">
        <f t="shared" si="0"/>
        <v>17</v>
      </c>
      <c r="L28" s="247">
        <f t="shared" si="1"/>
        <v>17</v>
      </c>
    </row>
    <row r="29" spans="1:14">
      <c r="A29" s="247">
        <f t="shared" si="0"/>
        <v>18</v>
      </c>
      <c r="B29" s="420" t="s">
        <v>900</v>
      </c>
      <c r="C29" s="837"/>
      <c r="D29" s="837"/>
      <c r="E29" s="837"/>
      <c r="F29" s="837"/>
      <c r="G29" s="837"/>
      <c r="H29" s="837"/>
      <c r="I29" s="481"/>
      <c r="J29" s="481"/>
      <c r="K29" s="481"/>
      <c r="L29" s="247">
        <f t="shared" si="1"/>
        <v>18</v>
      </c>
    </row>
    <row r="30" spans="1:14">
      <c r="A30" s="247">
        <f t="shared" si="0"/>
        <v>19</v>
      </c>
      <c r="B30" s="420" t="s">
        <v>350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376"/>
      <c r="K30" s="65" t="str">
        <f>"Not Applicable to "&amp;Automation!$B$3-1&amp;" Base Period"</f>
        <v>Not Applicable to 2022 Base Period</v>
      </c>
      <c r="L30" s="247">
        <f t="shared" si="1"/>
        <v>19</v>
      </c>
    </row>
    <row r="31" spans="1:14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164"/>
      <c r="L31" s="247">
        <f t="shared" si="1"/>
        <v>20</v>
      </c>
    </row>
    <row r="32" spans="1:14" ht="16" thickBot="1">
      <c r="A32" s="247">
        <f t="shared" si="0"/>
        <v>21</v>
      </c>
      <c r="B32" s="466" t="s">
        <v>351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323"/>
      <c r="K32" s="840" t="str">
        <f>"Sum Lines "&amp;A30&amp;" thru "&amp;A31</f>
        <v>Sum Lines 19 thru 20</v>
      </c>
      <c r="L32" s="247">
        <f t="shared" si="1"/>
        <v>21</v>
      </c>
    </row>
    <row r="33" spans="1:12" ht="16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841"/>
      <c r="L33" s="247">
        <f t="shared" si="1"/>
        <v>22</v>
      </c>
    </row>
    <row r="34" spans="1:12">
      <c r="A34" s="247">
        <f t="shared" si="0"/>
        <v>23</v>
      </c>
      <c r="B34" s="420" t="s">
        <v>893</v>
      </c>
      <c r="C34" s="837"/>
      <c r="D34" s="837"/>
      <c r="E34" s="837"/>
      <c r="F34" s="837"/>
      <c r="G34" s="837"/>
      <c r="H34" s="837"/>
      <c r="I34" s="481"/>
      <c r="J34" s="481"/>
      <c r="K34" s="481"/>
      <c r="L34" s="247">
        <f t="shared" si="1"/>
        <v>23</v>
      </c>
    </row>
    <row r="35" spans="1:12">
      <c r="A35" s="247">
        <f t="shared" si="0"/>
        <v>24</v>
      </c>
      <c r="B35" s="842" t="s">
        <v>353</v>
      </c>
      <c r="C35" s="376">
        <v>-3228.10234012</v>
      </c>
      <c r="D35" s="376"/>
      <c r="E35" s="376">
        <v>0</v>
      </c>
      <c r="F35" s="376"/>
      <c r="G35" s="376">
        <v>0</v>
      </c>
      <c r="H35" s="376"/>
      <c r="I35" s="376">
        <f>SUM(C35:G35)</f>
        <v>-3228.10234012</v>
      </c>
      <c r="J35" s="376"/>
      <c r="K35" s="401" t="s">
        <v>1005</v>
      </c>
      <c r="L35" s="247">
        <f t="shared" si="1"/>
        <v>24</v>
      </c>
    </row>
    <row r="36" spans="1:12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164"/>
      <c r="L36" s="247">
        <f t="shared" si="1"/>
        <v>25</v>
      </c>
    </row>
    <row r="37" spans="1:12" ht="16" thickBot="1">
      <c r="A37" s="247">
        <f t="shared" si="0"/>
        <v>26</v>
      </c>
      <c r="B37" s="466" t="s">
        <v>354</v>
      </c>
      <c r="C37" s="839">
        <f>SUM(C35:C36)</f>
        <v>-3228.10234012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-3228.10234012</v>
      </c>
      <c r="J37" s="323"/>
      <c r="K37" s="840" t="str">
        <f>"Sum Lines "&amp;A35&amp;" thru "&amp;A36</f>
        <v>Sum Lines 24 thru 25</v>
      </c>
      <c r="L37" s="247">
        <f t="shared" si="1"/>
        <v>26</v>
      </c>
    </row>
    <row r="38" spans="1:12" ht="16" thickTop="1">
      <c r="A38" s="247">
        <f t="shared" si="0"/>
        <v>27</v>
      </c>
      <c r="L38" s="247">
        <f t="shared" si="1"/>
        <v>27</v>
      </c>
    </row>
    <row r="39" spans="1:12">
      <c r="A39" s="247">
        <f t="shared" si="0"/>
        <v>28</v>
      </c>
      <c r="B39" s="420" t="s">
        <v>901</v>
      </c>
      <c r="C39" s="837"/>
      <c r="D39" s="837"/>
      <c r="E39" s="837"/>
      <c r="F39" s="837"/>
      <c r="G39" s="837"/>
      <c r="H39" s="837"/>
      <c r="I39" s="481"/>
      <c r="J39" s="481"/>
      <c r="K39" s="247"/>
      <c r="L39" s="247">
        <f t="shared" si="1"/>
        <v>28</v>
      </c>
    </row>
    <row r="40" spans="1:12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376"/>
      <c r="K40" s="65" t="str">
        <f>"Not Applicable to "&amp;Automation!$B$3-1&amp;" Base Period"</f>
        <v>Not Applicable to 2022 Base Period</v>
      </c>
      <c r="L40" s="247">
        <f t="shared" si="1"/>
        <v>29</v>
      </c>
    </row>
    <row r="41" spans="1:12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164"/>
      <c r="L41" s="247">
        <f t="shared" si="1"/>
        <v>30</v>
      </c>
    </row>
    <row r="42" spans="1:12" ht="16" thickBot="1">
      <c r="A42" s="247">
        <f t="shared" si="0"/>
        <v>31</v>
      </c>
      <c r="B42" s="466" t="s">
        <v>357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323"/>
      <c r="K42" s="840" t="str">
        <f>"Sum Lines "&amp;A40&amp;" thru "&amp;A41</f>
        <v>Sum Lines 29 thru 30</v>
      </c>
      <c r="L42" s="247">
        <f t="shared" si="1"/>
        <v>31</v>
      </c>
    </row>
    <row r="43" spans="1:12" ht="16.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1"/>
      <c r="K43" s="872"/>
      <c r="L43" s="247">
        <f t="shared" si="1"/>
        <v>32</v>
      </c>
    </row>
    <row r="44" spans="1:12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323"/>
      <c r="K44" s="840"/>
      <c r="L44" s="247">
        <f t="shared" si="1"/>
        <v>33</v>
      </c>
    </row>
    <row r="45" spans="1:12">
      <c r="A45" s="247">
        <f t="shared" si="0"/>
        <v>34</v>
      </c>
      <c r="B45" s="64" t="s">
        <v>335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376"/>
      <c r="K45" s="65" t="str">
        <f>"Not Applicable to "&amp;Automation!$B$3-1&amp;" Base Period"</f>
        <v>Not Applicable to 2022 Base Period</v>
      </c>
      <c r="L45" s="247">
        <f t="shared" si="1"/>
        <v>34</v>
      </c>
    </row>
    <row r="46" spans="1:12">
      <c r="B46" s="466"/>
      <c r="C46" s="323"/>
      <c r="D46" s="164"/>
      <c r="E46" s="323"/>
      <c r="F46" s="323"/>
      <c r="G46" s="323"/>
      <c r="H46" s="164"/>
      <c r="I46" s="323"/>
      <c r="J46" s="323"/>
      <c r="K46" s="840"/>
    </row>
    <row r="47" spans="1:12">
      <c r="I47" s="908"/>
      <c r="J47" s="908"/>
    </row>
    <row r="48" spans="1:12">
      <c r="A48" s="1254" t="s">
        <v>1015</v>
      </c>
      <c r="B48" s="1267" t="s">
        <v>1033</v>
      </c>
      <c r="I48" s="908"/>
      <c r="J48" s="908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8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zoomScale="80" zoomScaleNormal="80" zoomScaleSheetLayoutView="70" workbookViewId="0"/>
  </sheetViews>
  <sheetFormatPr defaultColWidth="8.6328125" defaultRowHeight="15.5"/>
  <cols>
    <col min="1" max="1" width="5.6328125" style="247" customWidth="1"/>
    <col min="2" max="2" width="62.6328125" style="216" bestFit="1" customWidth="1"/>
    <col min="3" max="3" width="16.6328125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16.6328125" style="216" customWidth="1"/>
    <col min="8" max="8" width="1.54296875" style="216" customWidth="1"/>
    <col min="9" max="9" width="23.36328125" style="216" bestFit="1" customWidth="1"/>
    <col min="10" max="10" width="62.54296875" style="216" customWidth="1"/>
    <col min="11" max="11" width="5.08984375" style="247" customWidth="1"/>
    <col min="12" max="12" width="8.6328125" style="216"/>
    <col min="13" max="13" width="17.36328125" style="216" bestFit="1" customWidth="1"/>
    <col min="14" max="16384" width="8.6328125" style="216"/>
  </cols>
  <sheetData>
    <row r="2" spans="1:13">
      <c r="B2" s="1290" t="s">
        <v>0</v>
      </c>
      <c r="C2" s="1290"/>
      <c r="D2" s="1290"/>
      <c r="E2" s="1290"/>
      <c r="F2" s="1290"/>
      <c r="G2" s="1290"/>
      <c r="H2" s="1290"/>
      <c r="I2" s="1290"/>
      <c r="J2" s="1290"/>
    </row>
    <row r="3" spans="1:13">
      <c r="B3" s="1290" t="s">
        <v>338</v>
      </c>
      <c r="C3" s="1290"/>
      <c r="D3" s="1290"/>
      <c r="E3" s="1290"/>
      <c r="F3" s="1290"/>
      <c r="G3" s="1290"/>
      <c r="H3" s="1290"/>
      <c r="I3" s="1290"/>
      <c r="J3" s="1290"/>
    </row>
    <row r="4" spans="1:13">
      <c r="B4" s="1290" t="s">
        <v>339</v>
      </c>
      <c r="C4" s="1290"/>
      <c r="D4" s="1290"/>
      <c r="E4" s="1290"/>
      <c r="F4" s="1290"/>
      <c r="G4" s="1290"/>
      <c r="H4" s="1290"/>
      <c r="I4" s="1290"/>
      <c r="J4" s="1290"/>
    </row>
    <row r="5" spans="1:13">
      <c r="B5" s="1290" t="str">
        <f>"Base Period 12 Months Ending December 31, "&amp;Automation!$B$3</f>
        <v>Base Period 12 Months Ending December 31, 2023</v>
      </c>
      <c r="C5" s="1290"/>
      <c r="D5" s="1290"/>
      <c r="E5" s="1290"/>
      <c r="F5" s="1290"/>
      <c r="G5" s="1290"/>
      <c r="H5" s="1290"/>
      <c r="I5" s="1290"/>
      <c r="J5" s="1290"/>
    </row>
    <row r="6" spans="1:13" ht="15.75" customHeight="1">
      <c r="B6" s="1288" t="s">
        <v>3</v>
      </c>
      <c r="C6" s="1288"/>
      <c r="D6" s="1288"/>
      <c r="E6" s="1288"/>
      <c r="F6" s="1288"/>
      <c r="G6" s="1288"/>
      <c r="H6" s="1288"/>
      <c r="I6" s="1288"/>
      <c r="J6" s="1288"/>
    </row>
    <row r="8" spans="1:13">
      <c r="B8" s="237"/>
      <c r="C8" s="690" t="s">
        <v>77</v>
      </c>
      <c r="D8" s="690"/>
      <c r="E8" s="690" t="s">
        <v>78</v>
      </c>
      <c r="F8" s="690"/>
      <c r="G8" s="690" t="s">
        <v>340</v>
      </c>
      <c r="H8" s="690"/>
      <c r="I8" s="690" t="s">
        <v>341</v>
      </c>
      <c r="J8" s="690"/>
    </row>
    <row r="9" spans="1:13">
      <c r="A9" s="247" t="s">
        <v>4</v>
      </c>
      <c r="B9" s="237"/>
      <c r="C9" s="690" t="s">
        <v>342</v>
      </c>
      <c r="D9" s="690"/>
      <c r="E9" s="690" t="s">
        <v>343</v>
      </c>
      <c r="F9" s="690"/>
      <c r="G9" s="690" t="s">
        <v>343</v>
      </c>
      <c r="H9" s="690"/>
      <c r="I9" s="690"/>
      <c r="J9" s="690"/>
      <c r="K9" s="247" t="s">
        <v>4</v>
      </c>
    </row>
    <row r="10" spans="1:13">
      <c r="A10" s="247" t="s">
        <v>5</v>
      </c>
      <c r="B10" s="989" t="s">
        <v>262</v>
      </c>
      <c r="C10" s="1048" t="s">
        <v>344</v>
      </c>
      <c r="D10" s="1048"/>
      <c r="E10" s="1048" t="s">
        <v>345</v>
      </c>
      <c r="F10" s="1048"/>
      <c r="G10" s="1048" t="s">
        <v>346</v>
      </c>
      <c r="H10" s="1048"/>
      <c r="I10" s="989" t="s">
        <v>80</v>
      </c>
      <c r="J10" s="989" t="s">
        <v>8</v>
      </c>
      <c r="K10" s="247" t="s">
        <v>5</v>
      </c>
    </row>
    <row r="11" spans="1:13">
      <c r="B11" s="237"/>
      <c r="C11" s="836"/>
      <c r="D11" s="836"/>
      <c r="E11" s="836"/>
      <c r="F11" s="836"/>
      <c r="G11" s="836"/>
      <c r="H11" s="836"/>
      <c r="I11" s="481"/>
      <c r="J11" s="481"/>
    </row>
    <row r="12" spans="1:13">
      <c r="A12" s="247">
        <v>1</v>
      </c>
      <c r="B12" s="420" t="s">
        <v>347</v>
      </c>
      <c r="C12" s="837"/>
      <c r="D12" s="837"/>
      <c r="E12" s="837"/>
      <c r="F12" s="837"/>
      <c r="G12" s="837"/>
      <c r="H12" s="837"/>
      <c r="I12" s="481"/>
      <c r="J12" s="481"/>
      <c r="K12" s="247">
        <f>A12</f>
        <v>1</v>
      </c>
    </row>
    <row r="13" spans="1:13">
      <c r="A13" s="247">
        <f>A12+1</f>
        <v>2</v>
      </c>
      <c r="B13" s="420" t="s">
        <v>348</v>
      </c>
      <c r="C13" s="473">
        <v>1005.4392196015013</v>
      </c>
      <c r="D13" s="473"/>
      <c r="E13" s="473">
        <v>0</v>
      </c>
      <c r="F13" s="473"/>
      <c r="G13" s="473">
        <v>0</v>
      </c>
      <c r="H13" s="838"/>
      <c r="I13" s="376">
        <f>SUM(C13:G13)</f>
        <v>1005.4392196015013</v>
      </c>
      <c r="J13" s="401" t="s">
        <v>1020</v>
      </c>
      <c r="K13" s="247">
        <f>K12+1</f>
        <v>2</v>
      </c>
    </row>
    <row r="14" spans="1:13">
      <c r="A14" s="247">
        <f t="shared" ref="A14:A45" si="0">A13+1</f>
        <v>3</v>
      </c>
      <c r="B14" s="420" t="s">
        <v>349</v>
      </c>
      <c r="C14" s="491">
        <v>149.64704988309055</v>
      </c>
      <c r="D14" s="491"/>
      <c r="E14" s="491">
        <v>0</v>
      </c>
      <c r="F14" s="491"/>
      <c r="G14" s="491">
        <v>0</v>
      </c>
      <c r="H14" s="491"/>
      <c r="I14" s="164">
        <f>SUM(C14:G14)</f>
        <v>149.64704988309055</v>
      </c>
      <c r="J14" s="401" t="s">
        <v>1020</v>
      </c>
      <c r="K14" s="247">
        <f t="shared" ref="K14:K45" si="1">K13+1</f>
        <v>3</v>
      </c>
      <c r="M14" s="908"/>
    </row>
    <row r="15" spans="1:13">
      <c r="A15" s="247">
        <f t="shared" si="0"/>
        <v>4</v>
      </c>
      <c r="B15" s="420" t="s">
        <v>350</v>
      </c>
      <c r="C15" s="491">
        <v>0</v>
      </c>
      <c r="D15" s="491"/>
      <c r="E15" s="491">
        <v>102382.34081987418</v>
      </c>
      <c r="F15" s="491"/>
      <c r="G15" s="491">
        <v>0</v>
      </c>
      <c r="H15" s="491"/>
      <c r="I15" s="164">
        <f>SUM(C15:G15)</f>
        <v>102382.34081987418</v>
      </c>
      <c r="J15" s="401" t="s">
        <v>1020</v>
      </c>
      <c r="K15" s="247">
        <f t="shared" si="1"/>
        <v>4</v>
      </c>
    </row>
    <row r="16" spans="1:13" ht="16" thickBot="1">
      <c r="A16" s="247">
        <f t="shared" si="0"/>
        <v>5</v>
      </c>
      <c r="B16" s="466" t="s">
        <v>351</v>
      </c>
      <c r="C16" s="839">
        <f>SUM(C13:C15)</f>
        <v>1155.0862694845919</v>
      </c>
      <c r="D16" s="164"/>
      <c r="E16" s="839">
        <f>SUM(E13:E15)</f>
        <v>102382.34081987418</v>
      </c>
      <c r="F16" s="323"/>
      <c r="G16" s="839">
        <f>SUM(G13:G15)</f>
        <v>0</v>
      </c>
      <c r="H16" s="164"/>
      <c r="I16" s="839">
        <f>SUM(I13:I15)</f>
        <v>103537.42708935877</v>
      </c>
      <c r="J16" s="840" t="str">
        <f>"Sum Lines "&amp;A13&amp;" thru "&amp;A15</f>
        <v>Sum Lines 2 thru 4</v>
      </c>
      <c r="K16" s="247">
        <f t="shared" si="1"/>
        <v>5</v>
      </c>
    </row>
    <row r="17" spans="1:13" ht="16" thickTop="1">
      <c r="A17" s="247">
        <f t="shared" si="0"/>
        <v>6</v>
      </c>
      <c r="C17" s="841"/>
      <c r="D17" s="841"/>
      <c r="E17" s="841"/>
      <c r="F17" s="841"/>
      <c r="G17" s="841"/>
      <c r="H17" s="841"/>
      <c r="I17" s="841"/>
      <c r="J17" s="841"/>
      <c r="K17" s="247">
        <f t="shared" si="1"/>
        <v>6</v>
      </c>
    </row>
    <row r="18" spans="1:13">
      <c r="A18" s="247">
        <f t="shared" si="0"/>
        <v>7</v>
      </c>
      <c r="B18" s="420" t="s">
        <v>352</v>
      </c>
      <c r="C18" s="837"/>
      <c r="D18" s="837"/>
      <c r="E18" s="837"/>
      <c r="F18" s="837"/>
      <c r="G18" s="837"/>
      <c r="H18" s="837"/>
      <c r="I18" s="481"/>
      <c r="J18" s="481"/>
      <c r="K18" s="247">
        <f t="shared" si="1"/>
        <v>7</v>
      </c>
    </row>
    <row r="19" spans="1:13">
      <c r="A19" s="247">
        <f t="shared" si="0"/>
        <v>8</v>
      </c>
      <c r="B19" s="842" t="s">
        <v>353</v>
      </c>
      <c r="C19" s="376">
        <v>-872111.19599224033</v>
      </c>
      <c r="D19" s="376"/>
      <c r="E19" s="376">
        <v>-361227.02089163283</v>
      </c>
      <c r="F19" s="376"/>
      <c r="G19" s="376">
        <v>8733.5614222332879</v>
      </c>
      <c r="H19" s="376"/>
      <c r="I19" s="376">
        <f>SUM(C19:G19)</f>
        <v>-1224604.6554616399</v>
      </c>
      <c r="J19" s="1248" t="s">
        <v>1021</v>
      </c>
      <c r="K19" s="247">
        <f t="shared" si="1"/>
        <v>8</v>
      </c>
      <c r="M19" s="164"/>
    </row>
    <row r="20" spans="1:13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247">
        <f t="shared" si="1"/>
        <v>9</v>
      </c>
    </row>
    <row r="21" spans="1:13" ht="16" thickBot="1">
      <c r="A21" s="247">
        <f t="shared" si="0"/>
        <v>10</v>
      </c>
      <c r="B21" s="466" t="s">
        <v>354</v>
      </c>
      <c r="C21" s="839">
        <f>SUM(C19:C20)</f>
        <v>-872111.19599224033</v>
      </c>
      <c r="D21" s="164"/>
      <c r="E21" s="839">
        <f>SUM(E19:E20)</f>
        <v>-361227.02089163283</v>
      </c>
      <c r="F21" s="323"/>
      <c r="G21" s="839">
        <f>SUM(G19:G20)</f>
        <v>8733.5614222332879</v>
      </c>
      <c r="H21" s="164"/>
      <c r="I21" s="839">
        <f>SUM(I19:I20)</f>
        <v>-1224604.6554616399</v>
      </c>
      <c r="J21" s="840" t="str">
        <f>"Sum Lines "&amp;A19&amp;" thru "&amp;A20</f>
        <v>Sum Lines 8 thru 9</v>
      </c>
      <c r="K21" s="247">
        <f t="shared" si="1"/>
        <v>10</v>
      </c>
    </row>
    <row r="22" spans="1:13" ht="16" thickTop="1">
      <c r="A22" s="247">
        <f t="shared" si="0"/>
        <v>11</v>
      </c>
      <c r="K22" s="247">
        <f t="shared" si="1"/>
        <v>11</v>
      </c>
    </row>
    <row r="23" spans="1:13">
      <c r="A23" s="247">
        <f t="shared" si="0"/>
        <v>12</v>
      </c>
      <c r="B23" s="420" t="s">
        <v>355</v>
      </c>
      <c r="C23" s="837"/>
      <c r="D23" s="837"/>
      <c r="E23" s="837"/>
      <c r="F23" s="837"/>
      <c r="G23" s="837"/>
      <c r="H23" s="837"/>
      <c r="I23" s="481"/>
      <c r="J23" s="247"/>
      <c r="K23" s="247">
        <f t="shared" si="1"/>
        <v>12</v>
      </c>
    </row>
    <row r="24" spans="1:13">
      <c r="A24" s="247">
        <f t="shared" si="0"/>
        <v>13</v>
      </c>
      <c r="B24" s="420" t="s">
        <v>356</v>
      </c>
      <c r="C24" s="473">
        <v>-9530.1858252439943</v>
      </c>
      <c r="D24" s="473"/>
      <c r="E24" s="473">
        <v>0</v>
      </c>
      <c r="F24" s="473"/>
      <c r="G24" s="473">
        <v>0</v>
      </c>
      <c r="H24" s="838"/>
      <c r="I24" s="376">
        <f>SUM(C24:G24)</f>
        <v>-9530.1858252439943</v>
      </c>
      <c r="J24" s="401" t="s">
        <v>1022</v>
      </c>
      <c r="K24" s="247">
        <f t="shared" si="1"/>
        <v>13</v>
      </c>
    </row>
    <row r="25" spans="1:13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247">
        <f t="shared" si="1"/>
        <v>14</v>
      </c>
    </row>
    <row r="26" spans="1:13" ht="16" thickBot="1">
      <c r="A26" s="247">
        <f t="shared" si="0"/>
        <v>15</v>
      </c>
      <c r="B26" s="466" t="s">
        <v>357</v>
      </c>
      <c r="C26" s="839">
        <f>SUM(C24:C25)</f>
        <v>-9530.1858252439943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-9530.1858252439943</v>
      </c>
      <c r="J26" s="840" t="str">
        <f>"Sum Lines "&amp;A24&amp;" thru "&amp;A25</f>
        <v>Sum Lines 13 thru 14</v>
      </c>
      <c r="K26" s="247">
        <f t="shared" si="1"/>
        <v>15</v>
      </c>
    </row>
    <row r="27" spans="1:13" ht="16.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47">
        <f t="shared" si="1"/>
        <v>16</v>
      </c>
    </row>
    <row r="28" spans="1:13">
      <c r="A28" s="247">
        <f t="shared" si="0"/>
        <v>17</v>
      </c>
      <c r="K28" s="247">
        <f t="shared" si="1"/>
        <v>17</v>
      </c>
    </row>
    <row r="29" spans="1:13">
      <c r="A29" s="247">
        <f t="shared" si="0"/>
        <v>18</v>
      </c>
      <c r="B29" s="420" t="s">
        <v>900</v>
      </c>
      <c r="C29" s="837"/>
      <c r="D29" s="837"/>
      <c r="E29" s="837"/>
      <c r="F29" s="837"/>
      <c r="G29" s="837"/>
      <c r="H29" s="837"/>
      <c r="I29" s="481"/>
      <c r="J29" s="481"/>
      <c r="K29" s="247">
        <f t="shared" si="1"/>
        <v>18</v>
      </c>
    </row>
    <row r="30" spans="1:13">
      <c r="A30" s="247">
        <f t="shared" si="0"/>
        <v>19</v>
      </c>
      <c r="B30" s="420" t="s">
        <v>350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65" t="str">
        <f>"Not Applicable to "&amp;Automation!$B$3&amp;" Base Period"</f>
        <v>Not Applicable to 2023 Base Period</v>
      </c>
      <c r="K30" s="247">
        <f t="shared" si="1"/>
        <v>19</v>
      </c>
    </row>
    <row r="31" spans="1:13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247">
        <f t="shared" si="1"/>
        <v>20</v>
      </c>
    </row>
    <row r="32" spans="1:13" ht="16" thickBot="1">
      <c r="A32" s="247">
        <f t="shared" si="0"/>
        <v>21</v>
      </c>
      <c r="B32" s="466" t="s">
        <v>351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840" t="str">
        <f>"Sum Lines "&amp;A30&amp;" thru "&amp;A31</f>
        <v>Sum Lines 19 thru 20</v>
      </c>
      <c r="K32" s="247">
        <f t="shared" si="1"/>
        <v>21</v>
      </c>
    </row>
    <row r="33" spans="1:11" ht="16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247">
        <f t="shared" si="1"/>
        <v>22</v>
      </c>
    </row>
    <row r="34" spans="1:11">
      <c r="A34" s="247">
        <f t="shared" si="0"/>
        <v>23</v>
      </c>
      <c r="B34" s="420" t="s">
        <v>893</v>
      </c>
      <c r="C34" s="837"/>
      <c r="D34" s="837"/>
      <c r="E34" s="837"/>
      <c r="F34" s="837"/>
      <c r="G34" s="837"/>
      <c r="H34" s="837"/>
      <c r="I34" s="481"/>
      <c r="J34" s="481"/>
      <c r="K34" s="247">
        <f t="shared" si="1"/>
        <v>23</v>
      </c>
    </row>
    <row r="35" spans="1:11">
      <c r="A35" s="247">
        <f t="shared" si="0"/>
        <v>24</v>
      </c>
      <c r="B35" s="842" t="s">
        <v>353</v>
      </c>
      <c r="C35" s="376">
        <v>-3280.7507217513194</v>
      </c>
      <c r="D35" s="376"/>
      <c r="E35" s="376">
        <v>0</v>
      </c>
      <c r="F35" s="376"/>
      <c r="G35" s="376">
        <v>0</v>
      </c>
      <c r="H35" s="376"/>
      <c r="I35" s="376">
        <f>SUM(C35:G35)</f>
        <v>-3280.7507217513194</v>
      </c>
      <c r="J35" s="401" t="s">
        <v>1023</v>
      </c>
      <c r="K35" s="247">
        <f t="shared" si="1"/>
        <v>24</v>
      </c>
    </row>
    <row r="36" spans="1:11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247">
        <f t="shared" si="1"/>
        <v>25</v>
      </c>
    </row>
    <row r="37" spans="1:11" ht="16" thickBot="1">
      <c r="A37" s="247">
        <f t="shared" si="0"/>
        <v>26</v>
      </c>
      <c r="B37" s="466" t="s">
        <v>354</v>
      </c>
      <c r="C37" s="839">
        <f>SUM(C35:C36)</f>
        <v>-3280.7507217513194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-3280.7507217513194</v>
      </c>
      <c r="J37" s="840" t="str">
        <f>"Sum Lines "&amp;A35&amp;" thru "&amp;A36</f>
        <v>Sum Lines 24 thru 25</v>
      </c>
      <c r="K37" s="247">
        <f t="shared" si="1"/>
        <v>26</v>
      </c>
    </row>
    <row r="38" spans="1:11" ht="16" thickTop="1">
      <c r="A38" s="247">
        <f t="shared" si="0"/>
        <v>27</v>
      </c>
      <c r="K38" s="247">
        <f t="shared" si="1"/>
        <v>27</v>
      </c>
    </row>
    <row r="39" spans="1:11">
      <c r="A39" s="247">
        <f t="shared" si="0"/>
        <v>28</v>
      </c>
      <c r="B39" s="420" t="s">
        <v>901</v>
      </c>
      <c r="C39" s="837"/>
      <c r="D39" s="837"/>
      <c r="E39" s="837"/>
      <c r="F39" s="837"/>
      <c r="G39" s="837"/>
      <c r="H39" s="837"/>
      <c r="I39" s="481"/>
      <c r="J39" s="247"/>
      <c r="K39" s="247">
        <f t="shared" si="1"/>
        <v>28</v>
      </c>
    </row>
    <row r="40" spans="1:11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65" t="str">
        <f>"Not Applicable to "&amp;Automation!$B$3&amp;" Base Period"</f>
        <v>Not Applicable to 2023 Base Period</v>
      </c>
      <c r="K40" s="247">
        <f t="shared" si="1"/>
        <v>29</v>
      </c>
    </row>
    <row r="41" spans="1:11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247">
        <f t="shared" si="1"/>
        <v>30</v>
      </c>
    </row>
    <row r="42" spans="1:11" ht="16" thickBot="1">
      <c r="A42" s="247">
        <f t="shared" si="0"/>
        <v>31</v>
      </c>
      <c r="B42" s="466" t="s">
        <v>357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840" t="str">
        <f>"Sum Lines "&amp;A40&amp;" thru "&amp;A41</f>
        <v>Sum Lines 29 thru 30</v>
      </c>
      <c r="K42" s="247">
        <f t="shared" si="1"/>
        <v>31</v>
      </c>
    </row>
    <row r="43" spans="1:11" ht="16.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2"/>
      <c r="K43" s="247">
        <f t="shared" si="1"/>
        <v>32</v>
      </c>
    </row>
    <row r="44" spans="1:11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840"/>
      <c r="K44" s="247">
        <f t="shared" si="1"/>
        <v>33</v>
      </c>
    </row>
    <row r="45" spans="1:11">
      <c r="A45" s="247">
        <f t="shared" si="0"/>
        <v>34</v>
      </c>
      <c r="B45" s="64" t="s">
        <v>335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65" t="str">
        <f>"Not Applicable to "&amp;Automation!$B$3&amp;" Base Period"</f>
        <v>Not Applicable to 2023 Base Period</v>
      </c>
      <c r="K45" s="247">
        <f t="shared" si="1"/>
        <v>34</v>
      </c>
    </row>
    <row r="46" spans="1:11">
      <c r="B46" s="466"/>
      <c r="C46" s="323"/>
      <c r="D46" s="164"/>
      <c r="E46" s="323"/>
      <c r="F46" s="323"/>
      <c r="G46" s="323"/>
      <c r="H46" s="164"/>
      <c r="I46" s="323"/>
      <c r="J46" s="840"/>
    </row>
    <row r="47" spans="1:11">
      <c r="I47" s="908"/>
    </row>
    <row r="48" spans="1:11" ht="18">
      <c r="A48" s="577"/>
      <c r="B48" s="6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/>
  </sheetViews>
  <sheetFormatPr defaultColWidth="8.6328125" defaultRowHeight="15.5"/>
  <cols>
    <col min="1" max="1" width="5.08984375" style="247" bestFit="1" customWidth="1"/>
    <col min="2" max="2" width="45.6328125" style="3" customWidth="1"/>
    <col min="3" max="5" width="18.54296875" style="3" customWidth="1"/>
    <col min="6" max="6" width="25.08984375" style="4" customWidth="1"/>
    <col min="7" max="7" width="5.08984375" style="247" bestFit="1" customWidth="1"/>
    <col min="8" max="8" width="8.6328125" style="3"/>
    <col min="9" max="9" width="17.6328125" style="3" bestFit="1" customWidth="1"/>
    <col min="10" max="16384" width="8.6328125" style="3"/>
  </cols>
  <sheetData>
    <row r="2" spans="1:11">
      <c r="A2" s="578"/>
      <c r="B2" s="1303" t="str">
        <f>'Summary of Cost Components'!B3:D3</f>
        <v>CITIZENS' SHARE OF THE SX-PQ UNDERGROUND LINE SEGMENT</v>
      </c>
      <c r="C2" s="1303"/>
      <c r="D2" s="1303"/>
      <c r="E2" s="1303"/>
      <c r="F2" s="1303"/>
      <c r="G2" s="578"/>
      <c r="H2" s="103"/>
      <c r="I2" s="103"/>
      <c r="J2" s="103"/>
      <c r="K2" s="103"/>
    </row>
    <row r="3" spans="1:11">
      <c r="A3" s="578"/>
      <c r="B3" s="1303" t="s">
        <v>358</v>
      </c>
      <c r="C3" s="1303"/>
      <c r="D3" s="1303"/>
      <c r="E3" s="1303"/>
      <c r="F3" s="1303"/>
      <c r="G3" s="578"/>
      <c r="H3" s="103"/>
      <c r="I3" s="103"/>
      <c r="J3" s="103"/>
      <c r="K3" s="103"/>
    </row>
    <row r="4" spans="1:11">
      <c r="A4" s="578"/>
      <c r="B4" s="1303" t="str">
        <f>"Base Period &amp; True-Up Period 12 - Months Ending December 31, "&amp;Automation!B3</f>
        <v>Base Period &amp; True-Up Period 12 - Months Ending December 31, 2023</v>
      </c>
      <c r="C4" s="1303"/>
      <c r="D4" s="1303"/>
      <c r="E4" s="1303"/>
      <c r="F4" s="1303"/>
      <c r="G4" s="578"/>
      <c r="H4" s="103"/>
      <c r="I4" s="103"/>
      <c r="J4" s="103"/>
      <c r="K4" s="103"/>
    </row>
    <row r="5" spans="1:11">
      <c r="A5" s="578"/>
      <c r="B5" s="1304" t="s">
        <v>3</v>
      </c>
      <c r="C5" s="1304"/>
      <c r="D5" s="1304"/>
      <c r="E5" s="1304"/>
      <c r="F5" s="1304"/>
      <c r="G5" s="109"/>
      <c r="H5" s="63"/>
      <c r="I5" s="63"/>
      <c r="J5" s="63"/>
      <c r="K5" s="63"/>
    </row>
    <row r="7" spans="1:11">
      <c r="A7" s="730"/>
      <c r="B7" s="973"/>
      <c r="C7" s="1191" t="str">
        <f>"12/31/"&amp;Automation!B3-1</f>
        <v>12/31/2022</v>
      </c>
      <c r="D7" s="1191" t="str">
        <f>"12/31/"&amp;Automation!B3</f>
        <v>12/31/2023</v>
      </c>
      <c r="E7" s="804"/>
      <c r="F7" s="974"/>
      <c r="G7" s="731"/>
      <c r="H7" s="103"/>
      <c r="I7" s="103"/>
      <c r="J7" s="103"/>
      <c r="K7" s="103"/>
    </row>
    <row r="8" spans="1:11">
      <c r="A8" s="730" t="s">
        <v>4</v>
      </c>
      <c r="B8" s="732"/>
      <c r="C8" s="975"/>
      <c r="D8" s="974"/>
      <c r="E8" s="733"/>
      <c r="F8" s="734"/>
      <c r="G8" s="731" t="s">
        <v>4</v>
      </c>
      <c r="H8" s="103"/>
      <c r="I8" s="103"/>
      <c r="J8" s="103"/>
      <c r="K8" s="103"/>
    </row>
    <row r="9" spans="1:11">
      <c r="A9" s="730" t="s">
        <v>5</v>
      </c>
      <c r="B9" s="1147" t="s">
        <v>262</v>
      </c>
      <c r="C9" s="1148" t="s">
        <v>359</v>
      </c>
      <c r="D9" s="1148" t="s">
        <v>359</v>
      </c>
      <c r="E9" s="1149" t="s">
        <v>360</v>
      </c>
      <c r="F9" s="1148" t="s">
        <v>8</v>
      </c>
      <c r="G9" s="731" t="s">
        <v>5</v>
      </c>
      <c r="H9" s="103"/>
      <c r="I9" s="103"/>
      <c r="J9" s="103"/>
      <c r="K9" s="103"/>
    </row>
    <row r="10" spans="1:11">
      <c r="A10" s="730"/>
      <c r="B10" s="103"/>
      <c r="C10" s="637"/>
      <c r="D10" s="634"/>
      <c r="E10" s="635"/>
      <c r="F10" s="422"/>
      <c r="G10" s="731"/>
      <c r="H10" s="103"/>
      <c r="I10" s="103"/>
      <c r="J10" s="103"/>
      <c r="K10" s="103"/>
    </row>
    <row r="11" spans="1:11">
      <c r="A11" s="730">
        <f t="shared" ref="A11:A16" si="0">A10+1</f>
        <v>1</v>
      </c>
      <c r="B11" s="735" t="s">
        <v>361</v>
      </c>
      <c r="C11" s="868">
        <v>-3228.1022393790395</v>
      </c>
      <c r="D11" s="868">
        <v>-3280.7507217513194</v>
      </c>
      <c r="E11" s="638">
        <f>AVERAGE(C11,D11)</f>
        <v>-3254.4264805651792</v>
      </c>
      <c r="F11" s="423" t="s">
        <v>362</v>
      </c>
      <c r="G11" s="731">
        <f t="shared" ref="G11:G16" si="1">G10+1</f>
        <v>1</v>
      </c>
      <c r="I11" s="736"/>
    </row>
    <row r="12" spans="1:11">
      <c r="A12" s="730">
        <f t="shared" si="0"/>
        <v>2</v>
      </c>
      <c r="B12" s="103"/>
      <c r="C12" s="869"/>
      <c r="D12" s="869"/>
      <c r="E12" s="638"/>
      <c r="F12" s="423"/>
      <c r="G12" s="731">
        <f t="shared" si="1"/>
        <v>2</v>
      </c>
    </row>
    <row r="13" spans="1:11">
      <c r="A13" s="730">
        <f t="shared" si="0"/>
        <v>3</v>
      </c>
      <c r="B13" s="735" t="s">
        <v>363</v>
      </c>
      <c r="C13" s="1150">
        <v>-1814.5939193790405</v>
      </c>
      <c r="D13" s="1150">
        <v>-2008.6068417513202</v>
      </c>
      <c r="E13" s="992">
        <f>AVERAGE(C13,D13)</f>
        <v>-1911.6003805651803</v>
      </c>
      <c r="F13" s="423" t="s">
        <v>216</v>
      </c>
      <c r="G13" s="731">
        <f t="shared" si="1"/>
        <v>3</v>
      </c>
    </row>
    <row r="14" spans="1:11">
      <c r="A14" s="730">
        <f t="shared" si="0"/>
        <v>4</v>
      </c>
      <c r="B14" s="103"/>
      <c r="C14" s="637"/>
      <c r="D14" s="634"/>
      <c r="E14" s="635"/>
      <c r="F14" s="422"/>
      <c r="G14" s="731">
        <f t="shared" si="1"/>
        <v>4</v>
      </c>
    </row>
    <row r="15" spans="1:11" ht="19" thickBot="1">
      <c r="A15" s="730">
        <f t="shared" si="0"/>
        <v>5</v>
      </c>
      <c r="B15" s="735" t="s">
        <v>364</v>
      </c>
      <c r="C15" s="636">
        <f>SUM(C11-C13)</f>
        <v>-1413.508319999999</v>
      </c>
      <c r="D15" s="636">
        <f t="shared" ref="D15:E15" si="2">SUM(D11-D13)</f>
        <v>-1272.1438799999992</v>
      </c>
      <c r="E15" s="636">
        <f t="shared" si="2"/>
        <v>-1342.8260999999989</v>
      </c>
      <c r="F15" s="421" t="str">
        <f>"Line "&amp;A11&amp;" Minus Line "&amp;A13</f>
        <v>Line 1 Minus Line 3</v>
      </c>
      <c r="G15" s="731">
        <f t="shared" si="1"/>
        <v>5</v>
      </c>
    </row>
    <row r="16" spans="1:11" ht="16" thickTop="1">
      <c r="A16" s="730">
        <f t="shared" si="0"/>
        <v>6</v>
      </c>
      <c r="B16" s="1151"/>
      <c r="C16" s="1152"/>
      <c r="D16" s="1152"/>
      <c r="E16" s="1151"/>
      <c r="F16" s="1153"/>
      <c r="G16" s="731">
        <f t="shared" si="1"/>
        <v>6</v>
      </c>
    </row>
    <row r="17" spans="1:9">
      <c r="A17" s="737"/>
      <c r="B17" s="103"/>
      <c r="C17" s="103"/>
      <c r="D17" s="103"/>
      <c r="E17" s="103"/>
      <c r="F17" s="102"/>
      <c r="G17" s="737"/>
    </row>
    <row r="18" spans="1:9">
      <c r="A18" s="737"/>
      <c r="B18" s="103"/>
      <c r="C18" s="103"/>
      <c r="D18" s="103"/>
      <c r="E18" s="103"/>
      <c r="F18" s="102"/>
      <c r="G18" s="737"/>
    </row>
    <row r="19" spans="1:9" ht="18">
      <c r="A19" s="738">
        <v>1</v>
      </c>
      <c r="B19" s="735" t="s">
        <v>365</v>
      </c>
      <c r="C19" s="103"/>
      <c r="D19" s="103"/>
      <c r="E19" s="103"/>
      <c r="F19" s="102"/>
      <c r="G19" s="737"/>
    </row>
    <row r="20" spans="1:9" ht="18">
      <c r="A20" s="579"/>
      <c r="B20" s="909"/>
      <c r="C20" s="103"/>
      <c r="D20" s="103"/>
      <c r="E20" s="103"/>
      <c r="F20" s="102"/>
      <c r="G20" s="578"/>
    </row>
    <row r="21" spans="1:9">
      <c r="A21" s="578"/>
      <c r="B21" s="909"/>
      <c r="C21" s="103"/>
      <c r="D21" s="103"/>
      <c r="E21" s="103"/>
      <c r="F21" s="102"/>
      <c r="G21" s="578"/>
    </row>
    <row r="22" spans="1:9">
      <c r="A22" s="578"/>
      <c r="B22" s="735"/>
      <c r="C22" s="103"/>
      <c r="D22" s="103"/>
      <c r="E22" s="103"/>
      <c r="F22" s="102"/>
      <c r="G22" s="578"/>
    </row>
    <row r="23" spans="1:9">
      <c r="A23" s="578"/>
      <c r="B23" s="735"/>
      <c r="C23" s="103"/>
      <c r="D23" s="103"/>
      <c r="E23" s="103"/>
      <c r="F23" s="102"/>
      <c r="G23" s="578"/>
    </row>
    <row r="26" spans="1:9">
      <c r="C26" s="736"/>
    </row>
    <row r="27" spans="1:9">
      <c r="I27" s="103"/>
    </row>
    <row r="28" spans="1:9">
      <c r="I28" s="103"/>
    </row>
    <row r="29" spans="1:9">
      <c r="I29" s="103"/>
    </row>
    <row r="30" spans="1:9">
      <c r="I30" s="103"/>
    </row>
    <row r="31" spans="1:9">
      <c r="I31" s="103"/>
    </row>
    <row r="32" spans="1:9">
      <c r="I32" s="103"/>
    </row>
    <row r="33" spans="9:9">
      <c r="I33" s="103"/>
    </row>
    <row r="34" spans="9:9">
      <c r="I34" s="103"/>
    </row>
    <row r="35" spans="9:9">
      <c r="I35" s="103"/>
    </row>
    <row r="36" spans="9:9">
      <c r="I36" s="103"/>
    </row>
    <row r="37" spans="9:9">
      <c r="I37" s="103"/>
    </row>
    <row r="38" spans="9:9">
      <c r="I38" s="103"/>
    </row>
    <row r="39" spans="9:9">
      <c r="I39" s="103"/>
    </row>
    <row r="40" spans="9:9">
      <c r="I40" s="103"/>
    </row>
    <row r="41" spans="9:9">
      <c r="I41" s="103"/>
    </row>
    <row r="42" spans="9:9">
      <c r="I42" s="739"/>
    </row>
    <row r="43" spans="9:9">
      <c r="I43" s="739"/>
    </row>
    <row r="44" spans="9:9">
      <c r="I44" s="739"/>
    </row>
    <row r="45" spans="9:9">
      <c r="I45" s="739"/>
    </row>
    <row r="46" spans="9:9">
      <c r="I46" s="739"/>
    </row>
    <row r="47" spans="9:9">
      <c r="I47" s="739"/>
    </row>
    <row r="48" spans="9:9">
      <c r="I48" s="103"/>
    </row>
    <row r="49" spans="9:9">
      <c r="I49" s="103"/>
    </row>
    <row r="50" spans="9:9">
      <c r="I50" s="103"/>
    </row>
    <row r="51" spans="9:9">
      <c r="I51" s="103"/>
    </row>
    <row r="52" spans="9:9">
      <c r="I52" s="103"/>
    </row>
    <row r="53" spans="9:9">
      <c r="I53" s="103"/>
    </row>
    <row r="54" spans="9:9">
      <c r="I54" s="103"/>
    </row>
    <row r="55" spans="9:9">
      <c r="I55" s="103"/>
    </row>
    <row r="56" spans="9:9">
      <c r="I56" s="103"/>
    </row>
    <row r="57" spans="9:9">
      <c r="I57" s="103"/>
    </row>
    <row r="58" spans="9:9">
      <c r="I58" s="103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/>
  </sheetViews>
  <sheetFormatPr defaultColWidth="9.08984375" defaultRowHeight="15.5"/>
  <cols>
    <col min="1" max="1" width="5.08984375" style="247" customWidth="1"/>
    <col min="2" max="2" width="56" style="216" customWidth="1"/>
    <col min="3" max="3" width="24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34.54296875" style="216" customWidth="1"/>
    <col min="8" max="8" width="5.08984375" style="216" customWidth="1"/>
    <col min="9" max="9" width="9.08984375" style="216"/>
    <col min="10" max="10" width="20.36328125" style="216" bestFit="1" customWidth="1"/>
    <col min="11" max="16384" width="9.08984375" style="216"/>
  </cols>
  <sheetData>
    <row r="1" spans="1:9">
      <c r="E1" s="247"/>
      <c r="F1" s="247"/>
      <c r="G1" s="247"/>
      <c r="H1" s="247"/>
    </row>
    <row r="2" spans="1:9">
      <c r="B2" s="1290" t="s">
        <v>0</v>
      </c>
      <c r="C2" s="1290"/>
      <c r="D2" s="1290"/>
      <c r="E2" s="1290"/>
      <c r="F2" s="1290"/>
      <c r="G2" s="1290"/>
      <c r="H2" s="247"/>
    </row>
    <row r="3" spans="1:9">
      <c r="B3" s="1290" t="s">
        <v>366</v>
      </c>
      <c r="C3" s="1290"/>
      <c r="D3" s="1290"/>
      <c r="E3" s="1290"/>
      <c r="F3" s="1290"/>
      <c r="G3" s="1290"/>
      <c r="H3" s="247"/>
    </row>
    <row r="4" spans="1:9">
      <c r="B4" s="1290" t="s">
        <v>367</v>
      </c>
      <c r="C4" s="1290"/>
      <c r="D4" s="1290"/>
      <c r="E4" s="1290"/>
      <c r="F4" s="1290"/>
      <c r="G4" s="1290"/>
      <c r="H4" s="247"/>
    </row>
    <row r="5" spans="1:9">
      <c r="B5" s="1292" t="str">
        <f>'A. Sec.1 - Direct Maintenance'!B5</f>
        <v>Base Period &amp; True-Up Period 12 - Months Ending December 31, 2023</v>
      </c>
      <c r="C5" s="1292"/>
      <c r="D5" s="1292"/>
      <c r="E5" s="1292"/>
      <c r="F5" s="1292"/>
      <c r="G5" s="1292"/>
      <c r="H5" s="247"/>
    </row>
    <row r="6" spans="1:9">
      <c r="B6" s="1288" t="s">
        <v>3</v>
      </c>
      <c r="C6" s="1302"/>
      <c r="D6" s="1302"/>
      <c r="E6" s="1302"/>
      <c r="F6" s="1302"/>
      <c r="G6" s="1302"/>
      <c r="H6" s="247"/>
    </row>
    <row r="7" spans="1:9">
      <c r="B7" s="247"/>
      <c r="C7" s="247"/>
      <c r="D7" s="247"/>
      <c r="E7" s="247"/>
      <c r="F7" s="247"/>
      <c r="G7" s="247"/>
      <c r="H7" s="247"/>
    </row>
    <row r="8" spans="1:9">
      <c r="A8" s="247" t="s">
        <v>4</v>
      </c>
      <c r="B8" s="551"/>
      <c r="C8" s="247" t="s">
        <v>189</v>
      </c>
      <c r="D8" s="551"/>
      <c r="E8" s="412"/>
      <c r="F8" s="247"/>
      <c r="G8" s="247"/>
      <c r="H8" s="247" t="s">
        <v>4</v>
      </c>
    </row>
    <row r="9" spans="1:9">
      <c r="A9" s="247" t="s">
        <v>5</v>
      </c>
      <c r="C9" s="997" t="s">
        <v>191</v>
      </c>
      <c r="E9" s="998" t="s">
        <v>192</v>
      </c>
      <c r="F9" s="551"/>
      <c r="G9" s="997" t="s">
        <v>8</v>
      </c>
      <c r="H9" s="247" t="s">
        <v>5</v>
      </c>
    </row>
    <row r="10" spans="1:9">
      <c r="E10" s="247"/>
      <c r="F10" s="247"/>
      <c r="G10" s="247"/>
      <c r="H10" s="247"/>
    </row>
    <row r="11" spans="1:9" s="413" customFormat="1" ht="19" thickBot="1">
      <c r="A11" s="247">
        <v>1</v>
      </c>
      <c r="B11" s="17" t="s">
        <v>368</v>
      </c>
      <c r="C11" s="247">
        <v>214</v>
      </c>
      <c r="D11" s="216"/>
      <c r="E11" s="533">
        <f>'AG-1'!C31</f>
        <v>0</v>
      </c>
      <c r="F11" s="247"/>
      <c r="G11" s="247" t="str">
        <f>"AG-1; Line "&amp;'AG-1'!A31</f>
        <v>AG-1; Line 18</v>
      </c>
      <c r="H11" s="247">
        <f>A11</f>
        <v>1</v>
      </c>
      <c r="I11" s="216"/>
    </row>
    <row r="12" spans="1:9" s="413" customFormat="1" ht="16" thickTop="1">
      <c r="A12" s="247"/>
      <c r="B12" s="216"/>
      <c r="C12" s="247"/>
      <c r="D12" s="216"/>
      <c r="E12" s="370"/>
      <c r="F12" s="247"/>
      <c r="G12" s="247"/>
      <c r="H12" s="247"/>
      <c r="I12" s="216"/>
    </row>
    <row r="14" spans="1:9" ht="18">
      <c r="A14" s="372">
        <v>1</v>
      </c>
      <c r="B14" s="136" t="s">
        <v>932</v>
      </c>
    </row>
    <row r="15" spans="1:9" ht="18">
      <c r="A15" s="419"/>
      <c r="B15" s="216" t="s">
        <v>1028</v>
      </c>
    </row>
    <row r="16" spans="1:9">
      <c r="A16" s="216"/>
      <c r="B16" s="136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Roman,Regular"&amp;10AG</oddFooter>
  </headerFooter>
  <customProperties>
    <customPr name="_pios_id" r:id="rId2"/>
  </customPropertie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M32"/>
  <sheetViews>
    <sheetView zoomScale="80" zoomScaleNormal="80" workbookViewId="0"/>
  </sheetViews>
  <sheetFormatPr defaultColWidth="8.6328125" defaultRowHeight="15.5"/>
  <cols>
    <col min="1" max="1" width="5.08984375" style="119" customWidth="1"/>
    <col min="2" max="2" width="35.08984375" style="136" customWidth="1"/>
    <col min="3" max="3" width="18.54296875" style="136" customWidth="1"/>
    <col min="4" max="4" width="62.54296875" style="136" customWidth="1"/>
    <col min="5" max="5" width="5.08984375" style="119" customWidth="1"/>
    <col min="6" max="9" width="8.6328125" style="136"/>
    <col min="10" max="10" width="12.6328125" style="136" bestFit="1" customWidth="1"/>
    <col min="11" max="11" width="8.6328125" style="136"/>
    <col min="12" max="12" width="14" style="136" bestFit="1" customWidth="1"/>
    <col min="13" max="16384" width="8.6328125" style="136"/>
  </cols>
  <sheetData>
    <row r="2" spans="1:13" s="110" customFormat="1" ht="15">
      <c r="A2" s="109"/>
      <c r="B2" s="1296" t="s">
        <v>0</v>
      </c>
      <c r="C2" s="1296"/>
      <c r="D2" s="1296"/>
      <c r="E2" s="109"/>
    </row>
    <row r="3" spans="1:13" s="110" customFormat="1" ht="15">
      <c r="A3" s="109"/>
      <c r="B3" s="1296" t="s">
        <v>369</v>
      </c>
      <c r="C3" s="1296"/>
      <c r="D3" s="1296"/>
      <c r="E3" s="109"/>
    </row>
    <row r="4" spans="1:13" s="110" customFormat="1" ht="15">
      <c r="A4" s="109"/>
      <c r="B4" s="1296" t="s">
        <v>370</v>
      </c>
      <c r="C4" s="1296"/>
      <c r="D4" s="1296"/>
      <c r="E4" s="109"/>
    </row>
    <row r="5" spans="1:13" s="110" customFormat="1" ht="15">
      <c r="A5" s="109"/>
      <c r="B5" s="1296" t="s">
        <v>371</v>
      </c>
      <c r="C5" s="1296"/>
      <c r="D5" s="1296"/>
      <c r="E5" s="109"/>
    </row>
    <row r="6" spans="1:13" s="110" customFormat="1" ht="15">
      <c r="A6" s="109"/>
      <c r="B6" s="1296" t="str">
        <f>"BASE PERIOD / TRUE UP PERIOD - 12/31/"&amp;Automation!$B$3</f>
        <v>BASE PERIOD / TRUE UP PERIOD - 12/31/2023</v>
      </c>
      <c r="C6" s="1296"/>
      <c r="D6" s="1296"/>
      <c r="E6" s="109"/>
    </row>
    <row r="7" spans="1:13" s="110" customFormat="1" ht="15">
      <c r="A7" s="109"/>
      <c r="B7" s="1300" t="s">
        <v>3</v>
      </c>
      <c r="C7" s="1300"/>
      <c r="D7" s="1300"/>
      <c r="E7" s="109"/>
    </row>
    <row r="8" spans="1:13" s="110" customFormat="1" ht="15">
      <c r="A8" s="109"/>
      <c r="B8" s="111"/>
      <c r="C8" s="111"/>
      <c r="D8" s="111"/>
      <c r="E8" s="109"/>
    </row>
    <row r="9" spans="1:13" s="110" customFormat="1" ht="15">
      <c r="A9" s="109"/>
      <c r="B9" s="1296" t="s">
        <v>240</v>
      </c>
      <c r="C9" s="1296"/>
      <c r="D9" s="1296"/>
      <c r="E9" s="109"/>
    </row>
    <row r="10" spans="1:13">
      <c r="B10" s="220"/>
      <c r="C10" s="221"/>
      <c r="D10" s="221"/>
    </row>
    <row r="11" spans="1:13">
      <c r="B11" s="857"/>
      <c r="C11" s="958" t="s">
        <v>241</v>
      </c>
      <c r="D11" s="859"/>
    </row>
    <row r="12" spans="1:13">
      <c r="A12" s="119" t="s">
        <v>4</v>
      </c>
      <c r="B12" s="130"/>
      <c r="C12" s="116" t="s">
        <v>372</v>
      </c>
      <c r="D12" s="166"/>
      <c r="E12" s="119" t="s">
        <v>4</v>
      </c>
      <c r="H12" s="111"/>
      <c r="I12" s="111"/>
      <c r="J12" s="111"/>
      <c r="K12" s="111"/>
      <c r="L12" s="111"/>
      <c r="M12" s="111"/>
    </row>
    <row r="13" spans="1:13">
      <c r="A13" s="119" t="s">
        <v>5</v>
      </c>
      <c r="B13" s="1015" t="s">
        <v>124</v>
      </c>
      <c r="C13" s="1154" t="s">
        <v>373</v>
      </c>
      <c r="D13" s="1015" t="s">
        <v>8</v>
      </c>
      <c r="E13" s="119" t="s">
        <v>5</v>
      </c>
      <c r="H13" s="111"/>
      <c r="I13" s="110"/>
      <c r="J13" s="110"/>
      <c r="K13" s="109"/>
      <c r="L13" s="110"/>
      <c r="M13" s="111"/>
    </row>
    <row r="14" spans="1:13">
      <c r="A14" s="119">
        <v>1</v>
      </c>
      <c r="B14" s="122" t="str">
        <f>"Dec-"&amp;RIGHT(Automation!$B$3-1,2)</f>
        <v>Dec-22</v>
      </c>
      <c r="C14" s="222">
        <v>0</v>
      </c>
      <c r="D14" s="526" t="s">
        <v>216</v>
      </c>
      <c r="E14" s="119">
        <f>A14</f>
        <v>1</v>
      </c>
      <c r="G14" s="223"/>
      <c r="H14" s="111"/>
      <c r="I14" s="109"/>
      <c r="J14" s="109"/>
      <c r="K14" s="109"/>
      <c r="L14" s="111"/>
      <c r="M14" s="111"/>
    </row>
    <row r="15" spans="1:13">
      <c r="A15" s="119">
        <f>A14+1</f>
        <v>2</v>
      </c>
      <c r="B15" s="122" t="str">
        <f>"Jan-"&amp;RIGHT(Automation!$B$3,2)</f>
        <v>Jan-23</v>
      </c>
      <c r="C15" s="179">
        <v>0</v>
      </c>
      <c r="D15" s="179"/>
      <c r="E15" s="119">
        <f>E14+1</f>
        <v>2</v>
      </c>
      <c r="G15" s="223"/>
      <c r="H15" s="111"/>
      <c r="I15" s="109"/>
      <c r="J15" s="109"/>
      <c r="K15" s="109"/>
      <c r="L15" s="111"/>
      <c r="M15" s="111"/>
    </row>
    <row r="16" spans="1:13">
      <c r="A16" s="119">
        <f t="shared" ref="A16:A32" si="0">A15+1</f>
        <v>3</v>
      </c>
      <c r="B16" s="122" t="s">
        <v>217</v>
      </c>
      <c r="C16" s="179">
        <v>0</v>
      </c>
      <c r="D16" s="179"/>
      <c r="E16" s="119">
        <f t="shared" ref="E16:E32" si="1">E15+1</f>
        <v>3</v>
      </c>
      <c r="G16" s="223"/>
      <c r="H16" s="111"/>
      <c r="I16" s="109"/>
      <c r="J16" s="109"/>
      <c r="K16" s="109"/>
      <c r="L16" s="111"/>
      <c r="M16" s="111"/>
    </row>
    <row r="17" spans="1:13">
      <c r="A17" s="119">
        <f t="shared" si="0"/>
        <v>4</v>
      </c>
      <c r="B17" s="122" t="s">
        <v>218</v>
      </c>
      <c r="C17" s="179">
        <v>0</v>
      </c>
      <c r="D17" s="179"/>
      <c r="E17" s="119">
        <f t="shared" si="1"/>
        <v>4</v>
      </c>
      <c r="H17" s="111"/>
      <c r="I17" s="109"/>
      <c r="J17" s="224"/>
      <c r="K17" s="109"/>
      <c r="L17" s="111"/>
      <c r="M17" s="111"/>
    </row>
    <row r="18" spans="1:13">
      <c r="A18" s="119">
        <f t="shared" si="0"/>
        <v>5</v>
      </c>
      <c r="B18" s="122" t="s">
        <v>219</v>
      </c>
      <c r="C18" s="179">
        <v>0</v>
      </c>
      <c r="D18" s="179"/>
      <c r="E18" s="119">
        <f t="shared" si="1"/>
        <v>5</v>
      </c>
      <c r="H18" s="111"/>
      <c r="I18" s="109"/>
      <c r="J18" s="224"/>
      <c r="K18" s="109"/>
      <c r="L18" s="111"/>
      <c r="M18" s="111"/>
    </row>
    <row r="19" spans="1:13">
      <c r="A19" s="119">
        <f t="shared" si="0"/>
        <v>6</v>
      </c>
      <c r="B19" s="122" t="s">
        <v>161</v>
      </c>
      <c r="C19" s="179">
        <v>0</v>
      </c>
      <c r="D19" s="179"/>
      <c r="E19" s="119">
        <f t="shared" si="1"/>
        <v>6</v>
      </c>
      <c r="H19" s="111"/>
      <c r="I19" s="224"/>
      <c r="J19" s="224"/>
      <c r="K19" s="225"/>
      <c r="L19" s="226"/>
      <c r="M19" s="111"/>
    </row>
    <row r="20" spans="1:13">
      <c r="A20" s="119">
        <f>A19+1</f>
        <v>7</v>
      </c>
      <c r="B20" s="122" t="s">
        <v>220</v>
      </c>
      <c r="C20" s="179">
        <v>0</v>
      </c>
      <c r="D20" s="179"/>
      <c r="E20" s="119">
        <f>E19+1</f>
        <v>7</v>
      </c>
      <c r="H20" s="111"/>
      <c r="I20" s="227"/>
      <c r="J20" s="228"/>
      <c r="K20" s="229"/>
      <c r="L20" s="230"/>
      <c r="M20" s="111"/>
    </row>
    <row r="21" spans="1:13">
      <c r="A21" s="119">
        <f t="shared" si="0"/>
        <v>8</v>
      </c>
      <c r="B21" s="122" t="s">
        <v>221</v>
      </c>
      <c r="C21" s="179">
        <v>0</v>
      </c>
      <c r="D21" s="179"/>
      <c r="E21" s="119">
        <f t="shared" si="1"/>
        <v>8</v>
      </c>
      <c r="H21" s="111"/>
      <c r="I21" s="231"/>
      <c r="J21" s="231"/>
      <c r="K21" s="226"/>
      <c r="L21" s="226"/>
      <c r="M21" s="111"/>
    </row>
    <row r="22" spans="1:13">
      <c r="A22" s="119">
        <f t="shared" si="0"/>
        <v>9</v>
      </c>
      <c r="B22" s="122" t="s">
        <v>222</v>
      </c>
      <c r="C22" s="179">
        <v>0</v>
      </c>
      <c r="D22" s="179"/>
      <c r="E22" s="119">
        <f t="shared" si="1"/>
        <v>9</v>
      </c>
      <c r="H22" s="111"/>
      <c r="I22" s="227"/>
      <c r="J22" s="228"/>
      <c r="K22" s="232"/>
      <c r="L22" s="230"/>
      <c r="M22" s="111"/>
    </row>
    <row r="23" spans="1:13">
      <c r="A23" s="119">
        <f t="shared" si="0"/>
        <v>10</v>
      </c>
      <c r="B23" s="122" t="s">
        <v>223</v>
      </c>
      <c r="C23" s="179">
        <v>0</v>
      </c>
      <c r="D23" s="179"/>
      <c r="E23" s="119">
        <f t="shared" si="1"/>
        <v>10</v>
      </c>
      <c r="H23" s="111"/>
      <c r="I23" s="110"/>
      <c r="J23" s="110"/>
      <c r="K23" s="226"/>
      <c r="L23" s="226"/>
      <c r="M23" s="111"/>
    </row>
    <row r="24" spans="1:13">
      <c r="A24" s="119">
        <f t="shared" si="0"/>
        <v>11</v>
      </c>
      <c r="B24" s="122" t="s">
        <v>224</v>
      </c>
      <c r="C24" s="179">
        <v>0</v>
      </c>
      <c r="D24" s="179"/>
      <c r="E24" s="119">
        <f t="shared" si="1"/>
        <v>11</v>
      </c>
      <c r="H24" s="111"/>
      <c r="I24" s="110"/>
      <c r="J24" s="110"/>
      <c r="K24" s="225"/>
      <c r="L24" s="226"/>
      <c r="M24" s="111"/>
    </row>
    <row r="25" spans="1:13">
      <c r="A25" s="119">
        <f t="shared" si="0"/>
        <v>12</v>
      </c>
      <c r="B25" s="122" t="s">
        <v>225</v>
      </c>
      <c r="C25" s="179">
        <v>0</v>
      </c>
      <c r="D25" s="179"/>
      <c r="E25" s="119">
        <f t="shared" si="1"/>
        <v>12</v>
      </c>
      <c r="H25" s="111"/>
      <c r="I25" s="110"/>
      <c r="J25" s="110"/>
      <c r="K25" s="225"/>
      <c r="L25" s="226"/>
      <c r="M25" s="111"/>
    </row>
    <row r="26" spans="1:13">
      <c r="A26" s="119">
        <f t="shared" si="0"/>
        <v>13</v>
      </c>
      <c r="B26" s="1032" t="str">
        <f>"Dec-"&amp;RIGHT(Automation!$B$3,2)</f>
        <v>Dec-23</v>
      </c>
      <c r="C26" s="1118">
        <v>0</v>
      </c>
      <c r="D26" s="1133" t="s">
        <v>216</v>
      </c>
      <c r="E26" s="119">
        <f t="shared" si="1"/>
        <v>13</v>
      </c>
      <c r="H26" s="111"/>
      <c r="I26" s="110"/>
      <c r="J26" s="110"/>
      <c r="K26" s="233"/>
      <c r="L26" s="155"/>
      <c r="M26" s="111"/>
    </row>
    <row r="27" spans="1:13">
      <c r="A27" s="119">
        <f t="shared" si="0"/>
        <v>14</v>
      </c>
      <c r="B27" s="130"/>
      <c r="C27" s="976"/>
      <c r="D27" s="976"/>
      <c r="E27" s="119">
        <f t="shared" si="1"/>
        <v>14</v>
      </c>
    </row>
    <row r="28" spans="1:13">
      <c r="A28" s="119">
        <f t="shared" si="0"/>
        <v>15</v>
      </c>
      <c r="B28" s="130" t="s">
        <v>226</v>
      </c>
      <c r="C28" s="234">
        <f>SUM(C14:C26)</f>
        <v>0</v>
      </c>
      <c r="D28" s="521" t="str">
        <f>"Sum Lines "&amp;A14&amp;" thru "&amp;A26</f>
        <v>Sum Lines 1 thru 13</v>
      </c>
      <c r="E28" s="119">
        <f t="shared" si="1"/>
        <v>15</v>
      </c>
    </row>
    <row r="29" spans="1:13">
      <c r="A29" s="119">
        <f t="shared" si="0"/>
        <v>16</v>
      </c>
      <c r="B29" s="1016"/>
      <c r="C29" s="1155"/>
      <c r="D29" s="1118"/>
      <c r="E29" s="119">
        <f t="shared" si="1"/>
        <v>16</v>
      </c>
    </row>
    <row r="30" spans="1:13">
      <c r="A30" s="119">
        <f t="shared" si="0"/>
        <v>17</v>
      </c>
      <c r="B30" s="130"/>
      <c r="C30" s="977"/>
      <c r="D30" s="978"/>
      <c r="E30" s="119">
        <f t="shared" si="1"/>
        <v>17</v>
      </c>
    </row>
    <row r="31" spans="1:13">
      <c r="A31" s="119">
        <f t="shared" si="0"/>
        <v>18</v>
      </c>
      <c r="B31" s="130" t="s">
        <v>374</v>
      </c>
      <c r="C31" s="202">
        <f>C28/13</f>
        <v>0</v>
      </c>
      <c r="D31" s="1235"/>
      <c r="E31" s="119">
        <f t="shared" si="1"/>
        <v>18</v>
      </c>
    </row>
    <row r="32" spans="1:13">
      <c r="A32" s="119">
        <f t="shared" si="0"/>
        <v>19</v>
      </c>
      <c r="B32" s="1016"/>
      <c r="C32" s="1041"/>
      <c r="D32" s="1041"/>
      <c r="E32" s="119">
        <f t="shared" si="1"/>
        <v>19</v>
      </c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/>
  </sheetViews>
  <sheetFormatPr defaultColWidth="9.08984375" defaultRowHeight="15"/>
  <cols>
    <col min="1" max="1" width="5.08984375" style="109" customWidth="1"/>
    <col min="2" max="2" width="35.08984375" style="110" customWidth="1"/>
    <col min="3" max="4" width="18.54296875" style="114" customWidth="1"/>
    <col min="5" max="5" width="18.54296875" style="110" customWidth="1"/>
    <col min="6" max="6" width="55" style="110" customWidth="1"/>
    <col min="7" max="7" width="5.08984375" style="109" customWidth="1"/>
    <col min="8" max="8" width="24" style="110" customWidth="1"/>
    <col min="9" max="9" width="11" style="110" customWidth="1"/>
    <col min="10" max="10" width="7.08984375" style="110" customWidth="1"/>
    <col min="11" max="11" width="9.08984375" style="110" customWidth="1"/>
    <col min="12" max="12" width="14" style="110" customWidth="1"/>
    <col min="13" max="13" width="13.36328125" style="110" customWidth="1"/>
    <col min="14" max="16384" width="9.08984375" style="110"/>
  </cols>
  <sheetData>
    <row r="2" spans="1:8">
      <c r="B2" s="1296" t="s">
        <v>0</v>
      </c>
      <c r="C2" s="1296"/>
      <c r="D2" s="1296"/>
      <c r="E2" s="1296"/>
      <c r="F2" s="1296"/>
    </row>
    <row r="3" spans="1:8">
      <c r="B3" s="1296" t="s">
        <v>369</v>
      </c>
      <c r="C3" s="1296"/>
      <c r="D3" s="1296"/>
      <c r="E3" s="1296"/>
      <c r="F3" s="1296"/>
    </row>
    <row r="4" spans="1:8">
      <c r="B4" s="1296" t="s">
        <v>370</v>
      </c>
      <c r="C4" s="1296"/>
      <c r="D4" s="1296"/>
      <c r="E4" s="1296"/>
      <c r="F4" s="1296"/>
    </row>
    <row r="5" spans="1:8">
      <c r="B5" s="1296" t="str">
        <f>"BASE PERIOD / TRUE UP PERIOD - 12/31/"&amp;Automation!$B$3</f>
        <v>BASE PERIOD / TRUE UP PERIOD - 12/31/2023</v>
      </c>
      <c r="C5" s="1296"/>
      <c r="D5" s="1296"/>
      <c r="E5" s="1296"/>
      <c r="F5" s="1296"/>
    </row>
    <row r="6" spans="1:8">
      <c r="B6" s="1300" t="s">
        <v>3</v>
      </c>
      <c r="C6" s="1300"/>
      <c r="D6" s="1300"/>
      <c r="E6" s="1300"/>
      <c r="F6" s="1300"/>
    </row>
    <row r="8" spans="1:8">
      <c r="B8" s="857"/>
      <c r="C8" s="805" t="s">
        <v>77</v>
      </c>
      <c r="D8" s="525" t="s">
        <v>78</v>
      </c>
      <c r="E8" s="525" t="s">
        <v>375</v>
      </c>
      <c r="F8" s="859"/>
    </row>
    <row r="9" spans="1:8" ht="15.5">
      <c r="A9" s="119"/>
      <c r="B9" s="116"/>
      <c r="C9" s="121" t="s">
        <v>376</v>
      </c>
      <c r="D9" s="121" t="s">
        <v>377</v>
      </c>
      <c r="E9" s="121" t="s">
        <v>378</v>
      </c>
      <c r="F9" s="158"/>
      <c r="G9" s="119"/>
    </row>
    <row r="10" spans="1:8" ht="15.5">
      <c r="A10" s="119" t="s">
        <v>4</v>
      </c>
      <c r="B10" s="116" t="s">
        <v>379</v>
      </c>
      <c r="C10" s="121" t="s">
        <v>7</v>
      </c>
      <c r="D10" s="121" t="s">
        <v>7</v>
      </c>
      <c r="E10" s="121" t="s">
        <v>7</v>
      </c>
      <c r="F10" s="116"/>
      <c r="G10" s="119" t="s">
        <v>4</v>
      </c>
    </row>
    <row r="11" spans="1:8" ht="15.5">
      <c r="A11" s="119" t="s">
        <v>5</v>
      </c>
      <c r="B11" s="1015" t="s">
        <v>262</v>
      </c>
      <c r="C11" s="1113" t="s">
        <v>380</v>
      </c>
      <c r="D11" s="1015" t="s">
        <v>380</v>
      </c>
      <c r="E11" s="1113" t="s">
        <v>380</v>
      </c>
      <c r="F11" s="1015" t="s">
        <v>8</v>
      </c>
      <c r="G11" s="119" t="s">
        <v>5</v>
      </c>
    </row>
    <row r="12" spans="1:8" ht="15.5">
      <c r="A12" s="119">
        <v>1</v>
      </c>
      <c r="B12" s="979"/>
      <c r="C12" s="980">
        <v>0</v>
      </c>
      <c r="D12" s="980">
        <f>E12-C12</f>
        <v>0</v>
      </c>
      <c r="E12" s="981">
        <v>0</v>
      </c>
      <c r="F12" s="982"/>
      <c r="G12" s="119">
        <f>A12</f>
        <v>1</v>
      </c>
    </row>
    <row r="13" spans="1:8" ht="15.5">
      <c r="A13" s="119">
        <f>A12+1</f>
        <v>2</v>
      </c>
      <c r="B13" s="122"/>
      <c r="C13" s="178">
        <v>0</v>
      </c>
      <c r="D13" s="178">
        <v>0</v>
      </c>
      <c r="E13" s="179">
        <v>0</v>
      </c>
      <c r="F13" s="529"/>
      <c r="G13" s="119">
        <f>G12+1</f>
        <v>2</v>
      </c>
      <c r="H13" s="140"/>
    </row>
    <row r="14" spans="1:8" ht="15.5">
      <c r="A14" s="119">
        <f t="shared" ref="A14:A17" si="0">A13+1</f>
        <v>3</v>
      </c>
      <c r="B14" s="1122"/>
      <c r="C14" s="1118">
        <v>0</v>
      </c>
      <c r="D14" s="1118">
        <v>0</v>
      </c>
      <c r="E14" s="1118">
        <v>0</v>
      </c>
      <c r="F14" s="1122"/>
      <c r="G14" s="119">
        <f t="shared" ref="G14:G17" si="1">G13+1</f>
        <v>3</v>
      </c>
    </row>
    <row r="15" spans="1:8" ht="15.5">
      <c r="A15" s="119">
        <f t="shared" si="0"/>
        <v>4</v>
      </c>
      <c r="B15" s="130"/>
      <c r="C15" s="143"/>
      <c r="D15" s="143"/>
      <c r="E15" s="143"/>
      <c r="F15" s="148"/>
      <c r="G15" s="119">
        <f t="shared" si="1"/>
        <v>4</v>
      </c>
    </row>
    <row r="16" spans="1:8" ht="15.5">
      <c r="A16" s="119">
        <f t="shared" si="0"/>
        <v>5</v>
      </c>
      <c r="B16" s="130" t="s">
        <v>80</v>
      </c>
      <c r="C16" s="132">
        <f>SUM(C12:C14)</f>
        <v>0</v>
      </c>
      <c r="D16" s="132">
        <f>SUM(D12:D14)</f>
        <v>0</v>
      </c>
      <c r="E16" s="132">
        <f>SUM(E12:E14)</f>
        <v>0</v>
      </c>
      <c r="F16" s="526" t="str">
        <f>"Sum Lines "&amp;A12&amp;" thru "&amp;A14</f>
        <v>Sum Lines 1 thru 3</v>
      </c>
      <c r="G16" s="119">
        <f t="shared" si="1"/>
        <v>5</v>
      </c>
    </row>
    <row r="17" spans="1:7" ht="15.5">
      <c r="A17" s="119">
        <f t="shared" si="0"/>
        <v>6</v>
      </c>
      <c r="B17" s="1016"/>
      <c r="C17" s="1115"/>
      <c r="D17" s="1115"/>
      <c r="E17" s="1115"/>
      <c r="F17" s="1041"/>
      <c r="G17" s="119">
        <f t="shared" si="1"/>
        <v>6</v>
      </c>
    </row>
    <row r="18" spans="1:7" ht="15.5">
      <c r="A18" s="119"/>
      <c r="C18" s="441"/>
      <c r="D18" s="441"/>
      <c r="E18" s="441"/>
      <c r="F18" s="441"/>
      <c r="G18" s="119"/>
    </row>
    <row r="19" spans="1:7" ht="15.5">
      <c r="A19" s="119"/>
      <c r="C19" s="441"/>
      <c r="D19" s="441"/>
      <c r="E19" s="441"/>
      <c r="F19" s="441"/>
    </row>
    <row r="20" spans="1:7" ht="18">
      <c r="A20" s="135"/>
      <c r="B20" s="806"/>
      <c r="C20" s="441"/>
      <c r="D20" s="441"/>
      <c r="E20" s="441"/>
      <c r="F20" s="441"/>
    </row>
    <row r="21" spans="1:7">
      <c r="C21" s="441"/>
      <c r="D21" s="441"/>
      <c r="E21" s="441"/>
      <c r="F21" s="441"/>
    </row>
    <row r="22" spans="1:7" ht="15.5">
      <c r="B22" s="161"/>
      <c r="C22" s="807"/>
      <c r="D22" s="807"/>
      <c r="E22" s="807"/>
      <c r="F22" s="146"/>
      <c r="G22" s="575"/>
    </row>
    <row r="23" spans="1:7" ht="15.5">
      <c r="B23" s="136"/>
      <c r="C23" s="146"/>
      <c r="D23" s="110"/>
      <c r="F23" s="146"/>
      <c r="G23" s="575"/>
    </row>
    <row r="24" spans="1:7" ht="15.5">
      <c r="C24" s="146"/>
      <c r="D24" s="146"/>
      <c r="E24" s="146"/>
      <c r="F24" s="146"/>
      <c r="G24" s="575"/>
    </row>
    <row r="25" spans="1:7">
      <c r="C25" s="147"/>
      <c r="D25" s="147"/>
      <c r="E25" s="140"/>
      <c r="F25" s="140"/>
      <c r="G25" s="575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81" orientation="landscape" r:id="rId1"/>
  <headerFooter scaleWithDoc="0">
    <oddFooter>&amp;C&amp;"Times New Roman,Regular"&amp;10&amp;A</oddFooter>
  </headerFooter>
  <colBreaks count="1" manualBreakCount="1">
    <brk id="7" max="1048575" man="1"/>
  </colBreaks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zoomScale="80" zoomScaleNormal="80" zoomScaleSheetLayoutView="80" zoomScalePageLayoutView="50" workbookViewId="0"/>
  </sheetViews>
  <sheetFormatPr defaultColWidth="8.6328125" defaultRowHeight="15.5"/>
  <cols>
    <col min="1" max="1" width="5.08984375" style="247" customWidth="1"/>
    <col min="2" max="2" width="78.08984375" style="3" bestFit="1" customWidth="1"/>
    <col min="3" max="3" width="16.6328125" style="3" customWidth="1"/>
    <col min="4" max="4" width="1.6328125" style="3" customWidth="1"/>
    <col min="5" max="5" width="16.6328125" style="3" customWidth="1"/>
    <col min="6" max="6" width="1.6328125" style="3" customWidth="1"/>
    <col min="7" max="7" width="16.6328125" style="3" customWidth="1"/>
    <col min="8" max="8" width="1.54296875" style="3" customWidth="1"/>
    <col min="9" max="9" width="46.08984375" style="3" customWidth="1"/>
    <col min="10" max="10" width="5.08984375" style="247" customWidth="1"/>
    <col min="11" max="16384" width="8.6328125" style="3"/>
  </cols>
  <sheetData>
    <row r="1" spans="1:10">
      <c r="A1" s="562"/>
      <c r="B1" s="59"/>
      <c r="C1" s="59"/>
      <c r="D1" s="59"/>
      <c r="E1" s="59"/>
      <c r="F1" s="59"/>
      <c r="G1" s="59"/>
      <c r="H1" s="59"/>
      <c r="I1" s="48"/>
      <c r="J1" s="562"/>
    </row>
    <row r="2" spans="1:10">
      <c r="A2" s="562"/>
      <c r="B2" s="1280" t="str">
        <f>'Summary of Cost Components'!B2:D2</f>
        <v>SAN DIEGO GAS &amp; ELECTRIC COMPANY</v>
      </c>
      <c r="C2" s="1280"/>
      <c r="D2" s="1280"/>
      <c r="E2" s="1280"/>
      <c r="F2" s="1280"/>
      <c r="G2" s="1280"/>
      <c r="H2" s="1280"/>
      <c r="I2" s="1280"/>
      <c r="J2" s="562"/>
    </row>
    <row r="3" spans="1:10">
      <c r="B3" s="1280" t="str">
        <f>'Summary of Cost Components'!B3:D3</f>
        <v>CITIZENS' SHARE OF THE SX-PQ UNDERGROUND LINE SEGMENT</v>
      </c>
      <c r="C3" s="1280"/>
      <c r="D3" s="1280"/>
      <c r="E3" s="1280"/>
      <c r="F3" s="1280"/>
      <c r="G3" s="1280"/>
      <c r="H3" s="1280"/>
      <c r="I3" s="1280"/>
      <c r="J3" s="565"/>
    </row>
    <row r="4" spans="1:10">
      <c r="B4" s="1280" t="s">
        <v>11</v>
      </c>
      <c r="C4" s="1280"/>
      <c r="D4" s="1280"/>
      <c r="E4" s="1280"/>
      <c r="F4" s="1280"/>
      <c r="G4" s="1280"/>
      <c r="H4" s="1280"/>
      <c r="I4" s="1280"/>
      <c r="J4" s="565"/>
    </row>
    <row r="5" spans="1:10">
      <c r="B5" s="1287" t="str">
        <f>'A. Sec.1 - Direct Maintenance'!B5</f>
        <v>Base Period &amp; True-Up Period 12 - Months Ending December 31, 2023</v>
      </c>
      <c r="C5" s="1287"/>
      <c r="D5" s="1287"/>
      <c r="E5" s="1287"/>
      <c r="F5" s="1287"/>
      <c r="G5" s="1287"/>
      <c r="H5" s="1287"/>
      <c r="I5" s="1287"/>
      <c r="J5" s="565"/>
    </row>
    <row r="6" spans="1:10">
      <c r="B6" s="1282" t="s">
        <v>3</v>
      </c>
      <c r="C6" s="1282"/>
      <c r="D6" s="1282"/>
      <c r="E6" s="1282"/>
      <c r="F6" s="1282"/>
      <c r="G6" s="1282"/>
      <c r="H6" s="1282"/>
      <c r="I6" s="1282"/>
      <c r="J6" s="567"/>
    </row>
    <row r="7" spans="1:10">
      <c r="B7" s="1087"/>
      <c r="C7" s="1087"/>
      <c r="D7" s="1087"/>
      <c r="E7" s="1087"/>
      <c r="F7" s="1087"/>
      <c r="G7" s="1087"/>
      <c r="H7" s="1087"/>
      <c r="I7" s="1087"/>
      <c r="J7" s="567"/>
    </row>
    <row r="8" spans="1:10">
      <c r="A8" s="562"/>
      <c r="B8" s="59"/>
      <c r="C8" s="341" t="s">
        <v>77</v>
      </c>
      <c r="D8" s="59"/>
      <c r="E8" s="341" t="s">
        <v>78</v>
      </c>
      <c r="F8" s="48"/>
      <c r="G8" s="341" t="s">
        <v>79</v>
      </c>
      <c r="H8" s="59"/>
      <c r="I8" s="59"/>
      <c r="J8" s="562"/>
    </row>
    <row r="9" spans="1:10">
      <c r="A9" s="562" t="s">
        <v>4</v>
      </c>
      <c r="B9" s="59"/>
      <c r="C9" s="21" t="s">
        <v>80</v>
      </c>
      <c r="D9" s="59"/>
      <c r="E9" s="21" t="s">
        <v>81</v>
      </c>
      <c r="F9" s="59"/>
      <c r="G9" s="59"/>
      <c r="H9" s="59"/>
      <c r="I9" s="59"/>
      <c r="J9" s="562" t="s">
        <v>4</v>
      </c>
    </row>
    <row r="10" spans="1:10">
      <c r="A10" s="562" t="s">
        <v>5</v>
      </c>
      <c r="B10" s="59"/>
      <c r="C10" s="945" t="s">
        <v>82</v>
      </c>
      <c r="D10" s="59"/>
      <c r="E10" s="945" t="s">
        <v>83</v>
      </c>
      <c r="F10" s="59"/>
      <c r="G10" s="945" t="s">
        <v>7</v>
      </c>
      <c r="H10" s="59"/>
      <c r="I10" s="945" t="s">
        <v>8</v>
      </c>
      <c r="J10" s="562" t="s">
        <v>5</v>
      </c>
    </row>
    <row r="11" spans="1:10">
      <c r="A11" s="562"/>
      <c r="B11" s="59"/>
      <c r="C11" s="59"/>
      <c r="D11" s="59"/>
      <c r="E11" s="59"/>
      <c r="F11" s="59"/>
      <c r="G11" s="48"/>
      <c r="H11" s="59"/>
      <c r="I11" s="48"/>
      <c r="J11" s="562"/>
    </row>
    <row r="12" spans="1:10">
      <c r="A12" s="562">
        <v>1</v>
      </c>
      <c r="B12" s="15" t="s">
        <v>84</v>
      </c>
      <c r="C12" s="59"/>
      <c r="D12" s="59"/>
      <c r="E12" s="59"/>
      <c r="F12" s="59"/>
      <c r="G12" s="59"/>
      <c r="H12" s="59"/>
      <c r="I12" s="48"/>
      <c r="J12" s="562">
        <f>A12</f>
        <v>1</v>
      </c>
    </row>
    <row r="13" spans="1:10">
      <c r="A13" s="562">
        <f>A12+1</f>
        <v>2</v>
      </c>
      <c r="B13" s="59"/>
      <c r="C13" s="59"/>
      <c r="D13" s="59"/>
      <c r="E13" s="59"/>
      <c r="F13" s="59"/>
      <c r="G13" s="59"/>
      <c r="H13" s="59"/>
      <c r="I13" s="59"/>
      <c r="J13" s="562">
        <f>J12+1</f>
        <v>2</v>
      </c>
    </row>
    <row r="14" spans="1:10">
      <c r="A14" s="562">
        <f t="shared" ref="A14:A42" si="0">A13+1</f>
        <v>3</v>
      </c>
      <c r="B14" s="383" t="s">
        <v>85</v>
      </c>
      <c r="C14" s="59"/>
      <c r="D14" s="59"/>
      <c r="E14" s="59"/>
      <c r="F14" s="59"/>
      <c r="G14" s="845">
        <f>'AF-3'!E15</f>
        <v>-1342.8260999999989</v>
      </c>
      <c r="H14" s="545"/>
      <c r="I14" s="26" t="s">
        <v>86</v>
      </c>
      <c r="J14" s="562">
        <f t="shared" ref="J14:J42" si="1">J13+1</f>
        <v>3</v>
      </c>
    </row>
    <row r="15" spans="1:10">
      <c r="A15" s="562">
        <f t="shared" si="0"/>
        <v>4</v>
      </c>
      <c r="B15" s="383"/>
      <c r="C15" s="59"/>
      <c r="D15" s="59"/>
      <c r="E15" s="59"/>
      <c r="F15" s="59"/>
      <c r="G15" s="811"/>
      <c r="H15" s="59"/>
      <c r="I15" s="59"/>
      <c r="J15" s="562">
        <f t="shared" si="1"/>
        <v>4</v>
      </c>
    </row>
    <row r="16" spans="1:10">
      <c r="A16" s="562">
        <f t="shared" si="0"/>
        <v>5</v>
      </c>
      <c r="B16" s="383" t="s">
        <v>30</v>
      </c>
      <c r="C16" s="59"/>
      <c r="D16" s="59"/>
      <c r="E16" s="59"/>
      <c r="F16" s="59"/>
      <c r="G16" s="946">
        <f>'Stmt AV'!G110</f>
        <v>9.7709132427002521E-2</v>
      </c>
      <c r="H16" s="59"/>
      <c r="I16" s="26" t="str">
        <f>"Statement AV2; Line "&amp;'Stmt AV'!A110</f>
        <v>Statement AV2; Line 31</v>
      </c>
      <c r="J16" s="562">
        <f t="shared" si="1"/>
        <v>5</v>
      </c>
    </row>
    <row r="17" spans="1:12">
      <c r="A17" s="562">
        <f t="shared" si="0"/>
        <v>6</v>
      </c>
      <c r="B17" s="383"/>
      <c r="C17" s="59"/>
      <c r="D17" s="59"/>
      <c r="E17" s="59"/>
      <c r="F17" s="59"/>
      <c r="G17" s="625"/>
      <c r="H17" s="59"/>
      <c r="I17" s="21"/>
      <c r="J17" s="562">
        <f t="shared" si="1"/>
        <v>6</v>
      </c>
    </row>
    <row r="18" spans="1:12">
      <c r="A18" s="562">
        <f t="shared" si="0"/>
        <v>7</v>
      </c>
      <c r="B18" s="383" t="s">
        <v>87</v>
      </c>
      <c r="C18" s="59"/>
      <c r="D18" s="59"/>
      <c r="E18" s="59"/>
      <c r="F18" s="59"/>
      <c r="G18" s="824">
        <f>G14*G16</f>
        <v>-131.20637323133522</v>
      </c>
      <c r="H18" s="45"/>
      <c r="I18" s="21" t="str">
        <f>"Line "&amp;A14&amp;" x Line "&amp;A16</f>
        <v>Line 3 x Line 5</v>
      </c>
      <c r="J18" s="562">
        <f t="shared" si="1"/>
        <v>7</v>
      </c>
    </row>
    <row r="19" spans="1:12">
      <c r="A19" s="562">
        <f t="shared" si="0"/>
        <v>8</v>
      </c>
      <c r="B19" s="383"/>
      <c r="C19" s="59"/>
      <c r="D19" s="59"/>
      <c r="E19" s="59"/>
      <c r="F19" s="59"/>
      <c r="G19" s="825"/>
      <c r="H19" s="47"/>
      <c r="I19" s="59"/>
      <c r="J19" s="562">
        <f t="shared" si="1"/>
        <v>8</v>
      </c>
    </row>
    <row r="20" spans="1:12">
      <c r="A20" s="562">
        <f t="shared" si="0"/>
        <v>9</v>
      </c>
      <c r="B20" s="834" t="s">
        <v>88</v>
      </c>
      <c r="C20" s="59"/>
      <c r="D20" s="59"/>
      <c r="E20" s="59"/>
      <c r="F20" s="59"/>
      <c r="G20" s="826"/>
      <c r="H20" s="47"/>
      <c r="I20" s="21"/>
      <c r="J20" s="562">
        <f t="shared" si="1"/>
        <v>9</v>
      </c>
    </row>
    <row r="21" spans="1:12">
      <c r="A21" s="562">
        <f t="shared" si="0"/>
        <v>10</v>
      </c>
      <c r="B21" s="822" t="s">
        <v>89</v>
      </c>
      <c r="C21" s="59"/>
      <c r="D21" s="49"/>
      <c r="E21" s="823"/>
      <c r="F21" s="59"/>
      <c r="G21" s="901">
        <f>'AV-2B'!C27</f>
        <v>21.770731132631123</v>
      </c>
      <c r="H21" s="540"/>
      <c r="I21" s="827" t="str">
        <f>"AV-2B; Line "&amp;'AV-2B'!A27</f>
        <v>AV-2B; Line 17</v>
      </c>
      <c r="J21" s="562">
        <f t="shared" si="1"/>
        <v>10</v>
      </c>
    </row>
    <row r="22" spans="1:12">
      <c r="A22" s="562">
        <f t="shared" si="0"/>
        <v>11</v>
      </c>
      <c r="B22" s="59"/>
      <c r="C22" s="48"/>
      <c r="D22" s="59"/>
      <c r="E22" s="48"/>
      <c r="F22" s="59"/>
      <c r="G22" s="48"/>
      <c r="H22" s="48"/>
      <c r="I22" s="59"/>
      <c r="J22" s="562">
        <f t="shared" si="1"/>
        <v>11</v>
      </c>
    </row>
    <row r="23" spans="1:12">
      <c r="A23" s="562">
        <f t="shared" si="0"/>
        <v>12</v>
      </c>
      <c r="B23" s="15" t="s">
        <v>90</v>
      </c>
      <c r="C23" s="48"/>
      <c r="D23" s="59"/>
      <c r="E23" s="48"/>
      <c r="F23" s="59"/>
      <c r="G23" s="48"/>
      <c r="H23" s="48"/>
      <c r="I23" s="59"/>
      <c r="J23" s="562">
        <f t="shared" si="1"/>
        <v>12</v>
      </c>
    </row>
    <row r="24" spans="1:12">
      <c r="A24" s="562">
        <f t="shared" si="0"/>
        <v>13</v>
      </c>
      <c r="B24" s="50" t="s">
        <v>91</v>
      </c>
      <c r="C24" s="59"/>
      <c r="D24" s="59"/>
      <c r="E24" s="59"/>
      <c r="F24" s="59"/>
      <c r="G24" s="59"/>
      <c r="H24" s="59"/>
      <c r="I24" s="59"/>
      <c r="J24" s="562">
        <f t="shared" si="1"/>
        <v>13</v>
      </c>
    </row>
    <row r="25" spans="1:12">
      <c r="A25" s="562">
        <f t="shared" si="0"/>
        <v>14</v>
      </c>
      <c r="B25" s="59" t="s">
        <v>92</v>
      </c>
      <c r="C25" s="845">
        <v>11661.3</v>
      </c>
      <c r="D25" s="569"/>
      <c r="E25" s="700">
        <v>4.8999999999999998E-3</v>
      </c>
      <c r="F25" s="59"/>
      <c r="G25" s="626">
        <f>C25*E25</f>
        <v>57.140369999999997</v>
      </c>
      <c r="H25" s="46"/>
      <c r="I25" s="21" t="s">
        <v>93</v>
      </c>
      <c r="J25" s="562">
        <f t="shared" si="1"/>
        <v>14</v>
      </c>
      <c r="L25"/>
    </row>
    <row r="26" spans="1:12">
      <c r="A26" s="562">
        <f t="shared" si="0"/>
        <v>15</v>
      </c>
      <c r="B26" s="59"/>
      <c r="C26" s="626"/>
      <c r="D26" s="569"/>
      <c r="E26" s="627"/>
      <c r="F26" s="59"/>
      <c r="G26" s="626"/>
      <c r="H26" s="46"/>
      <c r="I26" s="21"/>
      <c r="J26" s="562">
        <f t="shared" si="1"/>
        <v>15</v>
      </c>
      <c r="L26"/>
    </row>
    <row r="27" spans="1:12">
      <c r="A27" s="562">
        <f t="shared" si="0"/>
        <v>16</v>
      </c>
      <c r="B27" s="59" t="s">
        <v>94</v>
      </c>
      <c r="C27" s="854">
        <v>15149.7</v>
      </c>
      <c r="D27" s="569"/>
      <c r="E27" s="700">
        <v>1.9E-3</v>
      </c>
      <c r="F27" s="59"/>
      <c r="G27" s="491">
        <f>C27*E27</f>
        <v>28.78443</v>
      </c>
      <c r="H27" s="523"/>
      <c r="I27" s="21" t="s">
        <v>93</v>
      </c>
      <c r="J27" s="562">
        <f t="shared" si="1"/>
        <v>16</v>
      </c>
      <c r="L27"/>
    </row>
    <row r="28" spans="1:12">
      <c r="A28" s="562">
        <f t="shared" si="0"/>
        <v>17</v>
      </c>
      <c r="B28" s="59"/>
      <c r="C28" s="491"/>
      <c r="D28" s="569"/>
      <c r="E28" s="627"/>
      <c r="F28" s="59"/>
      <c r="G28" s="491"/>
      <c r="H28" s="523"/>
      <c r="I28" s="59"/>
      <c r="J28" s="562">
        <f t="shared" si="1"/>
        <v>17</v>
      </c>
      <c r="L28"/>
    </row>
    <row r="29" spans="1:12">
      <c r="A29" s="562">
        <f t="shared" si="0"/>
        <v>18</v>
      </c>
      <c r="B29" s="59" t="s">
        <v>95</v>
      </c>
      <c r="C29" s="854">
        <v>186.3</v>
      </c>
      <c r="D29" s="569"/>
      <c r="E29" s="661">
        <v>0</v>
      </c>
      <c r="F29" s="59"/>
      <c r="G29" s="491">
        <f>C29*E29</f>
        <v>0</v>
      </c>
      <c r="H29" s="523"/>
      <c r="I29" s="21" t="s">
        <v>93</v>
      </c>
      <c r="J29" s="562">
        <f t="shared" si="1"/>
        <v>18</v>
      </c>
      <c r="L29"/>
    </row>
    <row r="30" spans="1:12">
      <c r="A30" s="562">
        <f t="shared" si="0"/>
        <v>19</v>
      </c>
      <c r="B30" s="59"/>
      <c r="C30" s="491"/>
      <c r="D30" s="569"/>
      <c r="E30" s="628"/>
      <c r="F30" s="59"/>
      <c r="G30" s="491"/>
      <c r="H30" s="523"/>
      <c r="I30" s="21"/>
      <c r="J30" s="562">
        <f t="shared" si="1"/>
        <v>19</v>
      </c>
      <c r="L30"/>
    </row>
    <row r="31" spans="1:12">
      <c r="A31" s="562">
        <f t="shared" si="0"/>
        <v>20</v>
      </c>
      <c r="B31" s="59" t="s">
        <v>96</v>
      </c>
      <c r="C31" s="854">
        <v>0</v>
      </c>
      <c r="D31" s="569"/>
      <c r="E31" s="661">
        <v>0</v>
      </c>
      <c r="F31" s="59"/>
      <c r="G31" s="491">
        <f>C31*E31</f>
        <v>0</v>
      </c>
      <c r="H31" s="523"/>
      <c r="I31" s="21" t="s">
        <v>93</v>
      </c>
      <c r="J31" s="562">
        <f t="shared" si="1"/>
        <v>20</v>
      </c>
      <c r="L31"/>
    </row>
    <row r="32" spans="1:12">
      <c r="A32" s="562">
        <f t="shared" si="0"/>
        <v>21</v>
      </c>
      <c r="B32" s="59"/>
      <c r="C32" s="629"/>
      <c r="D32" s="569"/>
      <c r="E32" s="628"/>
      <c r="F32" s="59"/>
      <c r="G32" s="491"/>
      <c r="H32" s="523"/>
      <c r="I32" s="21"/>
      <c r="J32" s="562">
        <f t="shared" si="1"/>
        <v>21</v>
      </c>
      <c r="L32"/>
    </row>
    <row r="33" spans="1:16">
      <c r="A33" s="562">
        <f t="shared" si="0"/>
        <v>22</v>
      </c>
      <c r="B33" s="59" t="s">
        <v>97</v>
      </c>
      <c r="C33" s="947">
        <v>2.7</v>
      </c>
      <c r="D33" s="569"/>
      <c r="E33" s="662">
        <v>0</v>
      </c>
      <c r="F33" s="59"/>
      <c r="G33" s="948">
        <f>C33*E33</f>
        <v>0</v>
      </c>
      <c r="H33" s="8"/>
      <c r="I33" s="21" t="s">
        <v>93</v>
      </c>
      <c r="J33" s="562">
        <f t="shared" si="1"/>
        <v>22</v>
      </c>
      <c r="L33"/>
    </row>
    <row r="34" spans="1:16">
      <c r="A34" s="562">
        <f t="shared" si="0"/>
        <v>23</v>
      </c>
      <c r="B34" s="59"/>
      <c r="C34" s="630">
        <f>SUM(C25:C33)</f>
        <v>27000</v>
      </c>
      <c r="D34" s="569"/>
      <c r="E34" s="569"/>
      <c r="F34" s="59"/>
      <c r="G34" s="632"/>
      <c r="H34" s="51"/>
      <c r="I34" s="21" t="str">
        <f>"Col. a = Sum Lines "&amp;A25&amp;" thru "&amp;A33</f>
        <v>Col. a = Sum Lines 14 thru 22</v>
      </c>
      <c r="J34" s="562">
        <f t="shared" si="1"/>
        <v>23</v>
      </c>
    </row>
    <row r="35" spans="1:16">
      <c r="A35" s="562">
        <f t="shared" si="0"/>
        <v>24</v>
      </c>
      <c r="B35" s="59"/>
      <c r="C35" s="630"/>
      <c r="D35" s="569"/>
      <c r="E35" s="569"/>
      <c r="F35" s="59"/>
      <c r="G35" s="569"/>
      <c r="H35" s="59"/>
      <c r="I35" s="59"/>
      <c r="J35" s="562">
        <f t="shared" si="1"/>
        <v>24</v>
      </c>
    </row>
    <row r="36" spans="1:16">
      <c r="A36" s="562">
        <f t="shared" si="0"/>
        <v>25</v>
      </c>
      <c r="B36" s="59" t="s">
        <v>98</v>
      </c>
      <c r="C36" s="569"/>
      <c r="D36" s="569"/>
      <c r="E36" s="569"/>
      <c r="F36" s="59"/>
      <c r="G36" s="630">
        <f>SUM(G25:G33)</f>
        <v>85.924800000000005</v>
      </c>
      <c r="H36" s="51"/>
      <c r="I36" s="21" t="str">
        <f>"Sum Lines "&amp;A25&amp;" thru "&amp;A33</f>
        <v>Sum Lines 14 thru 22</v>
      </c>
      <c r="J36" s="562">
        <f t="shared" si="1"/>
        <v>25</v>
      </c>
    </row>
    <row r="37" spans="1:16">
      <c r="A37" s="562">
        <f t="shared" si="0"/>
        <v>26</v>
      </c>
      <c r="B37" s="59"/>
      <c r="C37" s="569"/>
      <c r="D37" s="569"/>
      <c r="E37" s="569"/>
      <c r="F37" s="59"/>
      <c r="G37" s="632"/>
      <c r="H37" s="51"/>
      <c r="I37" s="59"/>
      <c r="J37" s="562">
        <f t="shared" si="1"/>
        <v>26</v>
      </c>
    </row>
    <row r="38" spans="1:16">
      <c r="A38" s="562">
        <f t="shared" si="0"/>
        <v>27</v>
      </c>
      <c r="B38" s="59" t="s">
        <v>33</v>
      </c>
      <c r="C38" s="569"/>
      <c r="D38" s="569"/>
      <c r="E38" s="631">
        <f>'A. Sec.1 - Direct Maintenance'!C25</f>
        <v>1.0207000000000001E-2</v>
      </c>
      <c r="F38" s="59"/>
      <c r="G38" s="949">
        <f>G36*E38</f>
        <v>0.87703443360000011</v>
      </c>
      <c r="H38" s="12"/>
      <c r="I38" s="21" t="str">
        <f>"Line "&amp;A36&amp;" x Franchise Fee Rate"</f>
        <v>Line 25 x Franchise Fee Rate</v>
      </c>
      <c r="J38" s="562">
        <f t="shared" si="1"/>
        <v>27</v>
      </c>
      <c r="L38"/>
      <c r="M38"/>
      <c r="N38"/>
      <c r="O38"/>
      <c r="P38"/>
    </row>
    <row r="39" spans="1:16">
      <c r="A39" s="562">
        <f t="shared" si="0"/>
        <v>28</v>
      </c>
      <c r="B39" s="59"/>
      <c r="C39" s="59"/>
      <c r="D39" s="59"/>
      <c r="E39" s="59"/>
      <c r="F39" s="59"/>
      <c r="G39" s="632"/>
      <c r="H39" s="51"/>
      <c r="I39" s="59"/>
      <c r="J39" s="562">
        <f t="shared" si="1"/>
        <v>28</v>
      </c>
    </row>
    <row r="40" spans="1:16">
      <c r="A40" s="562">
        <f t="shared" si="0"/>
        <v>29</v>
      </c>
      <c r="B40" s="59" t="s">
        <v>99</v>
      </c>
      <c r="C40" s="59"/>
      <c r="D40" s="59"/>
      <c r="E40" s="59"/>
      <c r="F40" s="59"/>
      <c r="G40" s="370">
        <f>G36+G38</f>
        <v>86.801834433600007</v>
      </c>
      <c r="H40" s="541"/>
      <c r="I40" s="21" t="str">
        <f>"Line "&amp;A36&amp;" + Line "&amp;A38</f>
        <v>Line 25 + Line 27</v>
      </c>
      <c r="J40" s="562">
        <f t="shared" si="1"/>
        <v>29</v>
      </c>
    </row>
    <row r="41" spans="1:16">
      <c r="A41" s="562">
        <f t="shared" si="0"/>
        <v>30</v>
      </c>
      <c r="B41" s="59"/>
      <c r="C41" s="59"/>
      <c r="D41" s="59"/>
      <c r="E41" s="59"/>
      <c r="F41" s="59"/>
      <c r="G41" s="569"/>
      <c r="H41" s="59"/>
      <c r="I41" s="59"/>
      <c r="J41" s="562">
        <f t="shared" si="1"/>
        <v>30</v>
      </c>
    </row>
    <row r="42" spans="1:16" ht="16" thickBot="1">
      <c r="A42" s="562">
        <f t="shared" si="0"/>
        <v>31</v>
      </c>
      <c r="B42" s="44" t="s">
        <v>100</v>
      </c>
      <c r="C42" s="59"/>
      <c r="D42" s="59"/>
      <c r="E42" s="59"/>
      <c r="F42" s="59"/>
      <c r="G42" s="832">
        <f>G18+G21+G40</f>
        <v>-22.633807665104086</v>
      </c>
      <c r="H42" s="550"/>
      <c r="I42" s="21" t="str">
        <f>"Line "&amp;A18&amp;" + Line "&amp;A21&amp;" + Line "&amp;A40&amp;""</f>
        <v>Line 7 + Line 10 + Line 29</v>
      </c>
      <c r="J42" s="562">
        <f t="shared" si="1"/>
        <v>31</v>
      </c>
    </row>
    <row r="43" spans="1:16" ht="16" thickTop="1">
      <c r="A43" s="562"/>
      <c r="B43" s="59"/>
      <c r="C43" s="59"/>
      <c r="D43" s="59"/>
      <c r="E43" s="59"/>
      <c r="F43" s="59"/>
      <c r="G43" s="52"/>
      <c r="H43" s="52"/>
      <c r="I43" s="21"/>
      <c r="J43" s="562"/>
    </row>
    <row r="44" spans="1:16">
      <c r="A44" s="562"/>
      <c r="B44" s="44"/>
      <c r="C44" s="44"/>
      <c r="D44" s="44"/>
      <c r="E44" s="44"/>
      <c r="F44" s="44"/>
      <c r="G44" s="44"/>
      <c r="H44" s="44"/>
      <c r="I44" s="44"/>
      <c r="J44" s="562"/>
    </row>
    <row r="45" spans="1:16" ht="18">
      <c r="A45" s="923"/>
      <c r="B45" s="924"/>
      <c r="C45" s="44"/>
      <c r="D45" s="44"/>
      <c r="E45" s="44"/>
      <c r="F45" s="44"/>
      <c r="G45" s="44"/>
      <c r="H45" s="44"/>
      <c r="I45" s="44"/>
      <c r="J45" s="562"/>
    </row>
    <row r="46" spans="1:16">
      <c r="A46" s="925"/>
      <c r="B46" s="924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 xml:space="preserve">&amp;C&amp;"Times New Roman,Regular"&amp;10Section 3
Other Costs
</oddFooter>
  </headerFooter>
  <customProperties>
    <customPr name="_pios_id" r:id="rId2"/>
  </customPropertie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/>
  </sheetViews>
  <sheetFormatPr defaultColWidth="8.6328125" defaultRowHeight="15.5"/>
  <cols>
    <col min="1" max="1" width="5.08984375" style="247" bestFit="1" customWidth="1"/>
    <col min="2" max="2" width="80.54296875" style="216" customWidth="1"/>
    <col min="3" max="3" width="21.08984375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47.6328125" style="216" customWidth="1"/>
    <col min="8" max="8" width="5.08984375" style="216" customWidth="1"/>
    <col min="9" max="9" width="8.6328125" style="216"/>
    <col min="10" max="10" width="20.36328125" style="216" bestFit="1" customWidth="1"/>
    <col min="11" max="16384" width="8.6328125" style="216"/>
  </cols>
  <sheetData>
    <row r="1" spans="1:8">
      <c r="G1" s="247"/>
      <c r="H1" s="247"/>
    </row>
    <row r="2" spans="1:8">
      <c r="B2" s="1290" t="s">
        <v>0</v>
      </c>
      <c r="C2" s="1290"/>
      <c r="D2" s="1290"/>
      <c r="E2" s="1290"/>
      <c r="F2" s="1290"/>
      <c r="G2" s="1290"/>
      <c r="H2" s="247"/>
    </row>
    <row r="3" spans="1:8">
      <c r="B3" s="1290" t="s">
        <v>381</v>
      </c>
      <c r="C3" s="1290"/>
      <c r="D3" s="1290"/>
      <c r="E3" s="1290"/>
      <c r="F3" s="1290"/>
      <c r="G3" s="1290"/>
      <c r="H3" s="247"/>
    </row>
    <row r="4" spans="1:8">
      <c r="B4" s="1290" t="s">
        <v>382</v>
      </c>
      <c r="C4" s="1290"/>
      <c r="D4" s="1290"/>
      <c r="E4" s="1290"/>
      <c r="F4" s="1290"/>
      <c r="G4" s="1290"/>
      <c r="H4" s="247"/>
    </row>
    <row r="5" spans="1:8">
      <c r="B5" s="1292" t="str">
        <f>'A. Sec.1 - Direct Maintenance'!B5</f>
        <v>Base Period &amp; True-Up Period 12 - Months Ending December 31, 2023</v>
      </c>
      <c r="C5" s="1292"/>
      <c r="D5" s="1292"/>
      <c r="E5" s="1292"/>
      <c r="F5" s="1292"/>
      <c r="G5" s="1292"/>
      <c r="H5" s="247"/>
    </row>
    <row r="6" spans="1:8">
      <c r="B6" s="1288" t="s">
        <v>3</v>
      </c>
      <c r="C6" s="1302"/>
      <c r="D6" s="1302"/>
      <c r="E6" s="1302"/>
      <c r="F6" s="1302"/>
      <c r="G6" s="1302"/>
      <c r="H6" s="247"/>
    </row>
    <row r="7" spans="1:8">
      <c r="B7" s="247"/>
      <c r="C7" s="247"/>
      <c r="D7" s="247"/>
      <c r="E7" s="459"/>
      <c r="F7" s="459"/>
      <c r="G7" s="247"/>
      <c r="H7" s="247"/>
    </row>
    <row r="8" spans="1:8">
      <c r="A8" s="247" t="s">
        <v>4</v>
      </c>
      <c r="B8" s="551"/>
      <c r="C8" s="247" t="s">
        <v>189</v>
      </c>
      <c r="D8" s="551"/>
      <c r="E8" s="460"/>
      <c r="F8" s="460"/>
      <c r="G8" s="247"/>
      <c r="H8" s="247" t="s">
        <v>4</v>
      </c>
    </row>
    <row r="9" spans="1:8">
      <c r="A9" s="247" t="s">
        <v>5</v>
      </c>
      <c r="C9" s="997" t="s">
        <v>191</v>
      </c>
      <c r="D9" s="551"/>
      <c r="E9" s="998" t="s">
        <v>7</v>
      </c>
      <c r="F9" s="460"/>
      <c r="G9" s="997" t="s">
        <v>8</v>
      </c>
      <c r="H9" s="247" t="s">
        <v>5</v>
      </c>
    </row>
    <row r="10" spans="1:8">
      <c r="C10" s="551"/>
      <c r="D10" s="551"/>
      <c r="E10" s="460"/>
      <c r="F10" s="460"/>
      <c r="G10" s="247"/>
      <c r="H10" s="247"/>
    </row>
    <row r="11" spans="1:8">
      <c r="A11" s="247">
        <v>1</v>
      </c>
      <c r="B11" s="19" t="s">
        <v>383</v>
      </c>
      <c r="C11" s="551"/>
      <c r="D11" s="551"/>
      <c r="E11" s="460"/>
      <c r="F11" s="460"/>
      <c r="G11" s="247"/>
      <c r="H11" s="247">
        <f>A11</f>
        <v>1</v>
      </c>
    </row>
    <row r="12" spans="1:8">
      <c r="A12" s="247">
        <f>+A11+1</f>
        <v>2</v>
      </c>
      <c r="B12" s="16" t="s">
        <v>384</v>
      </c>
      <c r="C12" s="551"/>
      <c r="D12" s="551"/>
      <c r="E12" s="429">
        <f>'AH-1'!D56</f>
        <v>0</v>
      </c>
      <c r="F12" s="460"/>
      <c r="G12" s="247" t="str">
        <f>"AH-1; Line "&amp;'AH-1'!A56</f>
        <v>AH-1; Line 48</v>
      </c>
      <c r="H12" s="247">
        <f>H11+1</f>
        <v>2</v>
      </c>
    </row>
    <row r="13" spans="1:8">
      <c r="A13" s="247">
        <f t="shared" ref="A13:A68" si="0">+A12+1</f>
        <v>3</v>
      </c>
      <c r="C13" s="551"/>
      <c r="D13" s="551"/>
      <c r="E13" s="460"/>
      <c r="F13" s="460"/>
      <c r="G13" s="247"/>
      <c r="H13" s="247">
        <f t="shared" ref="H13:H68" si="1">H12+1</f>
        <v>3</v>
      </c>
    </row>
    <row r="14" spans="1:8">
      <c r="A14" s="247">
        <f t="shared" si="0"/>
        <v>4</v>
      </c>
      <c r="B14" s="19" t="s">
        <v>385</v>
      </c>
      <c r="G14" s="247"/>
      <c r="H14" s="247">
        <f t="shared" si="1"/>
        <v>4</v>
      </c>
    </row>
    <row r="15" spans="1:8">
      <c r="A15" s="247">
        <f t="shared" si="0"/>
        <v>5</v>
      </c>
      <c r="B15" s="3" t="s">
        <v>386</v>
      </c>
      <c r="C15" s="247"/>
      <c r="E15" s="429">
        <f>'AH-2'!D47</f>
        <v>124645.76304000001</v>
      </c>
      <c r="G15" s="247" t="str">
        <f>"AH-2; Line "&amp;'AH-2'!A47&amp;"; Col. a"</f>
        <v>AH-2; Line 37; Col. a</v>
      </c>
      <c r="H15" s="247">
        <f t="shared" si="1"/>
        <v>5</v>
      </c>
    </row>
    <row r="16" spans="1:8">
      <c r="A16" s="247">
        <f t="shared" si="0"/>
        <v>6</v>
      </c>
      <c r="B16" s="6" t="s">
        <v>387</v>
      </c>
      <c r="E16" s="369"/>
      <c r="G16" s="247"/>
      <c r="H16" s="247">
        <f t="shared" si="1"/>
        <v>6</v>
      </c>
    </row>
    <row r="17" spans="1:10">
      <c r="A17" s="247">
        <f t="shared" si="0"/>
        <v>7</v>
      </c>
      <c r="B17" s="3" t="s">
        <v>388</v>
      </c>
      <c r="C17" s="247"/>
      <c r="E17" s="345">
        <f>-'AH-2'!E52</f>
        <v>-2767.4720000000002</v>
      </c>
      <c r="G17" s="247" t="str">
        <f>"Negative of AH-2; Line "&amp;'AH-2'!A52&amp;"; Col. b"</f>
        <v>Negative of AH-2; Line 42; Col. b</v>
      </c>
      <c r="H17" s="247">
        <f t="shared" si="1"/>
        <v>7</v>
      </c>
    </row>
    <row r="18" spans="1:10">
      <c r="A18" s="247">
        <f t="shared" si="0"/>
        <v>8</v>
      </c>
      <c r="B18" s="3" t="s">
        <v>389</v>
      </c>
      <c r="E18" s="345">
        <f>-'AH-2'!E53</f>
        <v>-1440.5550000000001</v>
      </c>
      <c r="G18" s="247" t="str">
        <f>"Negative of AH-2; Line "&amp;'AH-2'!A53&amp;"; Col. b"</f>
        <v>Negative of AH-2; Line 43; Col. b</v>
      </c>
      <c r="H18" s="247">
        <f t="shared" si="1"/>
        <v>8</v>
      </c>
    </row>
    <row r="19" spans="1:10">
      <c r="A19" s="247">
        <f t="shared" si="0"/>
        <v>9</v>
      </c>
      <c r="B19" s="16" t="s">
        <v>390</v>
      </c>
      <c r="E19" s="345">
        <f>-'AH-2'!E54</f>
        <v>-12718.573</v>
      </c>
      <c r="G19" s="247" t="str">
        <f>"Negative of AH-2; Line "&amp;'AH-2'!A54&amp;"; Col. b"</f>
        <v>Negative of AH-2; Line 44; Col. b</v>
      </c>
      <c r="H19" s="247">
        <f t="shared" si="1"/>
        <v>9</v>
      </c>
    </row>
    <row r="20" spans="1:10">
      <c r="A20" s="247">
        <f t="shared" si="0"/>
        <v>10</v>
      </c>
      <c r="B20" s="16" t="s">
        <v>391</v>
      </c>
      <c r="E20" s="345">
        <f>-'AH-2'!E55</f>
        <v>-10371.396000000001</v>
      </c>
      <c r="G20" s="247" t="str">
        <f>"Negative of AH-2; Line "&amp;'AH-2'!A55&amp;"; Col. b"</f>
        <v>Negative of AH-2; Line 45; Col. b</v>
      </c>
      <c r="H20" s="247">
        <f t="shared" si="1"/>
        <v>10</v>
      </c>
    </row>
    <row r="21" spans="1:10">
      <c r="A21" s="247">
        <f t="shared" si="0"/>
        <v>11</v>
      </c>
      <c r="B21" s="3" t="s">
        <v>392</v>
      </c>
      <c r="E21" s="345">
        <f>-'AH-2'!E56</f>
        <v>0</v>
      </c>
      <c r="G21" s="247" t="str">
        <f>"Negative of AH-2; Line "&amp;'AH-2'!A56&amp;"; Col. b"</f>
        <v>Negative of AH-2; Line 46; Col. b</v>
      </c>
      <c r="H21" s="247">
        <f t="shared" si="1"/>
        <v>11</v>
      </c>
    </row>
    <row r="22" spans="1:10">
      <c r="A22" s="247">
        <f t="shared" si="0"/>
        <v>12</v>
      </c>
      <c r="B22" s="3" t="s">
        <v>393</v>
      </c>
      <c r="E22" s="345">
        <f>-'AH-2'!E63</f>
        <v>-2881.4660000000003</v>
      </c>
      <c r="G22" s="247" t="str">
        <f>"Negative of AH-2; Line "&amp;'AH-2'!A63&amp;"; Col. b"</f>
        <v>Negative of AH-2; Line 53; Col. b</v>
      </c>
      <c r="H22" s="247">
        <f t="shared" si="1"/>
        <v>12</v>
      </c>
    </row>
    <row r="23" spans="1:10">
      <c r="A23" s="247">
        <f t="shared" si="0"/>
        <v>13</v>
      </c>
      <c r="B23" s="16" t="s">
        <v>394</v>
      </c>
      <c r="E23" s="345">
        <f>-'AH-2'!E64</f>
        <v>-18953.580999999998</v>
      </c>
      <c r="G23" s="247" t="str">
        <f>"Negative of AH-2; Line "&amp;'AH-2'!A64&amp;"; Col. b"</f>
        <v>Negative of AH-2; Line 54; Col. b</v>
      </c>
      <c r="H23" s="247">
        <f t="shared" si="1"/>
        <v>13</v>
      </c>
    </row>
    <row r="24" spans="1:10">
      <c r="A24" s="247">
        <f t="shared" si="0"/>
        <v>14</v>
      </c>
      <c r="B24" s="16" t="s">
        <v>395</v>
      </c>
      <c r="E24" s="345">
        <f>-'AH-2'!E65</f>
        <v>-33837.959000000003</v>
      </c>
      <c r="G24" s="247" t="str">
        <f>"Negative of AH-2; Line "&amp;'AH-2'!A65&amp;"; Col. b"</f>
        <v>Negative of AH-2; Line 55; Col. b</v>
      </c>
      <c r="H24" s="247">
        <f t="shared" si="1"/>
        <v>14</v>
      </c>
    </row>
    <row r="25" spans="1:10">
      <c r="A25" s="247">
        <f t="shared" si="0"/>
        <v>15</v>
      </c>
      <c r="B25" s="16" t="s">
        <v>396</v>
      </c>
      <c r="E25" s="345">
        <f>-'AH-2'!E66</f>
        <v>-1591.7819999999999</v>
      </c>
      <c r="G25" s="247" t="str">
        <f>"Negative of AH-2; Line "&amp;'AH-2'!A66&amp;"; Col. b"</f>
        <v>Negative of AH-2; Line 56; Col. b</v>
      </c>
      <c r="H25" s="247">
        <f t="shared" si="1"/>
        <v>15</v>
      </c>
    </row>
    <row r="26" spans="1:10">
      <c r="A26" s="247">
        <f t="shared" si="0"/>
        <v>16</v>
      </c>
      <c r="B26" s="3" t="s">
        <v>890</v>
      </c>
      <c r="E26" s="1202">
        <f>-'AH-2'!E51</f>
        <v>-115.52</v>
      </c>
      <c r="G26" s="247" t="s">
        <v>917</v>
      </c>
      <c r="H26" s="247">
        <f t="shared" si="1"/>
        <v>16</v>
      </c>
    </row>
    <row r="27" spans="1:10">
      <c r="A27" s="247">
        <f t="shared" si="0"/>
        <v>17</v>
      </c>
      <c r="B27" s="3" t="s">
        <v>397</v>
      </c>
      <c r="E27" s="983">
        <f>SUM(E15:E26)</f>
        <v>39967.459040000016</v>
      </c>
      <c r="G27" s="462" t="str">
        <f>"Sum Lines "&amp;A15&amp;" thru "&amp;A26</f>
        <v>Sum Lines 5 thru 16</v>
      </c>
      <c r="H27" s="247">
        <f t="shared" si="1"/>
        <v>17</v>
      </c>
    </row>
    <row r="28" spans="1:10">
      <c r="A28" s="247">
        <f t="shared" si="0"/>
        <v>18</v>
      </c>
      <c r="E28" s="164"/>
      <c r="H28" s="247">
        <f t="shared" si="1"/>
        <v>18</v>
      </c>
    </row>
    <row r="29" spans="1:10">
      <c r="A29" s="247">
        <f t="shared" si="0"/>
        <v>19</v>
      </c>
      <c r="B29" s="20" t="s">
        <v>398</v>
      </c>
      <c r="E29" s="463"/>
      <c r="G29" s="247"/>
      <c r="H29" s="247">
        <f t="shared" si="1"/>
        <v>19</v>
      </c>
    </row>
    <row r="30" spans="1:10">
      <c r="A30" s="247">
        <f t="shared" si="0"/>
        <v>20</v>
      </c>
      <c r="B30" s="6" t="s">
        <v>399</v>
      </c>
      <c r="C30" s="247"/>
      <c r="E30" s="429">
        <f>'AH-3'!D30</f>
        <v>627253.97552000009</v>
      </c>
      <c r="G30" s="247" t="str">
        <f>"AH-3; Line "&amp;'AH-3'!A30&amp;"; Col. a"</f>
        <v>AH-3; Line 20; Col. a</v>
      </c>
      <c r="H30" s="247">
        <f t="shared" si="1"/>
        <v>20</v>
      </c>
    </row>
    <row r="31" spans="1:10">
      <c r="A31" s="247">
        <f t="shared" si="0"/>
        <v>21</v>
      </c>
      <c r="B31" s="6" t="s">
        <v>400</v>
      </c>
      <c r="E31" s="463" t="s">
        <v>186</v>
      </c>
      <c r="G31" s="247"/>
      <c r="H31" s="247">
        <f t="shared" si="1"/>
        <v>21</v>
      </c>
    </row>
    <row r="32" spans="1:10">
      <c r="A32" s="247">
        <f t="shared" si="0"/>
        <v>22</v>
      </c>
      <c r="B32" s="420" t="s">
        <v>401</v>
      </c>
      <c r="E32" s="345">
        <f>-'AH-3'!D47</f>
        <v>-908.44687999999996</v>
      </c>
      <c r="G32" s="247" t="s">
        <v>1036</v>
      </c>
      <c r="H32" s="247">
        <f t="shared" si="1"/>
        <v>22</v>
      </c>
      <c r="I32" s="740"/>
      <c r="J32" s="464"/>
    </row>
    <row r="33" spans="1:10" ht="31">
      <c r="A33" s="247">
        <f t="shared" si="0"/>
        <v>23</v>
      </c>
      <c r="B33" s="420" t="s">
        <v>402</v>
      </c>
      <c r="E33" s="345">
        <f>-SUM(+'AH-3'!D36+'AH-3'!E38+'AH-3'!D42)</f>
        <v>-1384.4115131900001</v>
      </c>
      <c r="G33" s="481" t="s">
        <v>1037</v>
      </c>
      <c r="H33" s="247">
        <f t="shared" si="1"/>
        <v>23</v>
      </c>
      <c r="I33" s="740"/>
      <c r="J33" s="464"/>
    </row>
    <row r="34" spans="1:10">
      <c r="A34" s="247">
        <f t="shared" si="0"/>
        <v>24</v>
      </c>
      <c r="B34" s="420" t="s">
        <v>403</v>
      </c>
      <c r="E34" s="345">
        <f>-'AH-3'!D43</f>
        <v>0</v>
      </c>
      <c r="G34" s="247" t="s">
        <v>1016</v>
      </c>
      <c r="H34" s="247">
        <f t="shared" si="1"/>
        <v>24</v>
      </c>
    </row>
    <row r="35" spans="1:10">
      <c r="A35" s="247">
        <f t="shared" si="0"/>
        <v>25</v>
      </c>
      <c r="B35" s="420" t="s">
        <v>404</v>
      </c>
      <c r="E35" s="345">
        <f>-'AH-3'!D44</f>
        <v>-1267.5963200000001</v>
      </c>
      <c r="G35" s="247" t="s">
        <v>1038</v>
      </c>
      <c r="H35" s="247">
        <f t="shared" si="1"/>
        <v>25</v>
      </c>
      <c r="J35" s="464"/>
    </row>
    <row r="36" spans="1:10">
      <c r="A36" s="247">
        <f t="shared" si="0"/>
        <v>26</v>
      </c>
      <c r="B36" s="420" t="s">
        <v>405</v>
      </c>
      <c r="E36" s="345">
        <f>-'AH-3'!D40</f>
        <v>-22096.966619999999</v>
      </c>
      <c r="G36" s="247" t="s">
        <v>1039</v>
      </c>
      <c r="H36" s="247">
        <f t="shared" si="1"/>
        <v>26</v>
      </c>
      <c r="J36" s="464"/>
    </row>
    <row r="37" spans="1:10">
      <c r="A37" s="247">
        <f t="shared" si="0"/>
        <v>27</v>
      </c>
      <c r="B37" s="420" t="s">
        <v>406</v>
      </c>
      <c r="E37" s="345">
        <v>0</v>
      </c>
      <c r="G37" s="840" t="s">
        <v>1024</v>
      </c>
      <c r="H37" s="247">
        <f t="shared" si="1"/>
        <v>27</v>
      </c>
      <c r="J37" s="464"/>
    </row>
    <row r="38" spans="1:10">
      <c r="A38" s="247">
        <f t="shared" si="0"/>
        <v>28</v>
      </c>
      <c r="B38" s="420" t="s">
        <v>407</v>
      </c>
      <c r="E38" s="345">
        <f>-'AH-3'!E46</f>
        <v>-55.474339999999998</v>
      </c>
      <c r="G38" s="481" t="s">
        <v>1040</v>
      </c>
      <c r="H38" s="247">
        <f t="shared" si="1"/>
        <v>28</v>
      </c>
      <c r="I38" s="740"/>
    </row>
    <row r="39" spans="1:10">
      <c r="A39" s="247">
        <f t="shared" si="0"/>
        <v>29</v>
      </c>
      <c r="B39" s="420" t="s">
        <v>408</v>
      </c>
      <c r="E39" s="345">
        <f>-'AH-3'!E39</f>
        <v>-112751.95299999999</v>
      </c>
      <c r="G39" s="247" t="s">
        <v>1041</v>
      </c>
      <c r="H39" s="247">
        <f t="shared" si="1"/>
        <v>29</v>
      </c>
      <c r="I39" s="740"/>
      <c r="J39" s="464"/>
    </row>
    <row r="40" spans="1:10">
      <c r="A40" s="247">
        <f t="shared" si="0"/>
        <v>30</v>
      </c>
      <c r="B40" s="420" t="s">
        <v>409</v>
      </c>
      <c r="E40" s="345">
        <f>-'AH-3'!E49</f>
        <v>0</v>
      </c>
      <c r="G40" s="481" t="s">
        <v>1042</v>
      </c>
      <c r="H40" s="247">
        <f t="shared" si="1"/>
        <v>30</v>
      </c>
    </row>
    <row r="41" spans="1:10">
      <c r="A41" s="247">
        <f t="shared" si="0"/>
        <v>31</v>
      </c>
      <c r="B41" s="420" t="s">
        <v>410</v>
      </c>
      <c r="E41" s="345">
        <f>-'AH-3'!D41</f>
        <v>-0.77205999999999997</v>
      </c>
      <c r="G41" s="481" t="s">
        <v>1043</v>
      </c>
      <c r="H41" s="247">
        <f t="shared" si="1"/>
        <v>31</v>
      </c>
    </row>
    <row r="42" spans="1:10" ht="31">
      <c r="A42" s="247">
        <f t="shared" si="0"/>
        <v>32</v>
      </c>
      <c r="B42" s="420" t="s">
        <v>889</v>
      </c>
      <c r="E42" s="1022">
        <f>-SUM('AH-3'!E34+'AH-3'!E35+'AH-3'!D37+'AH-3'!D48+'AH-3'!E45)</f>
        <v>4852.3033439000001</v>
      </c>
      <c r="G42" s="481" t="s">
        <v>1044</v>
      </c>
      <c r="H42" s="247">
        <f t="shared" si="1"/>
        <v>32</v>
      </c>
    </row>
    <row r="43" spans="1:10">
      <c r="A43" s="247">
        <f t="shared" si="0"/>
        <v>33</v>
      </c>
      <c r="B43" s="6" t="s">
        <v>411</v>
      </c>
      <c r="E43" s="465">
        <f>SUM(E30:E42)</f>
        <v>493640.65813071025</v>
      </c>
      <c r="G43" s="247" t="str">
        <f>"Sum Lines "&amp;A30&amp;" thru "&amp;A42</f>
        <v>Sum Lines 20 thru 32</v>
      </c>
      <c r="H43" s="247">
        <f t="shared" si="1"/>
        <v>33</v>
      </c>
      <c r="J43" s="908"/>
    </row>
    <row r="44" spans="1:10">
      <c r="A44" s="247">
        <f t="shared" si="0"/>
        <v>34</v>
      </c>
      <c r="B44" s="6" t="s">
        <v>412</v>
      </c>
      <c r="E44" s="1022">
        <f>-'AH-3'!F15</f>
        <v>-10584.24</v>
      </c>
      <c r="G44" s="247" t="str">
        <f>"Negative of AH-3; Line "&amp;'AH-3'!A15&amp;"; Col. c"</f>
        <v>Negative of AH-3; Line 5; Col. c</v>
      </c>
      <c r="H44" s="247">
        <f t="shared" si="1"/>
        <v>34</v>
      </c>
    </row>
    <row r="45" spans="1:10">
      <c r="A45" s="247">
        <f t="shared" si="0"/>
        <v>35</v>
      </c>
      <c r="B45" s="6" t="s">
        <v>413</v>
      </c>
      <c r="E45" s="465">
        <f>SUM(E43:E44)</f>
        <v>483056.41813071026</v>
      </c>
      <c r="G45" s="247" t="str">
        <f>"Line "&amp;A43&amp;" + Line "&amp;A44</f>
        <v>Line 33 + Line 34</v>
      </c>
      <c r="H45" s="247">
        <f t="shared" si="1"/>
        <v>35</v>
      </c>
    </row>
    <row r="46" spans="1:10">
      <c r="A46" s="247">
        <f t="shared" si="0"/>
        <v>36</v>
      </c>
      <c r="B46" s="3" t="s">
        <v>198</v>
      </c>
      <c r="E46" s="1156">
        <f>'Stmt AI'!E27</f>
        <v>0.10138604007611932</v>
      </c>
      <c r="G46" s="462" t="str">
        <f>"Statement AI; Line "&amp;'Stmt AI'!A27</f>
        <v>Statement AI; Line 17</v>
      </c>
      <c r="H46" s="247">
        <f t="shared" si="1"/>
        <v>36</v>
      </c>
    </row>
    <row r="47" spans="1:10">
      <c r="A47" s="247">
        <f t="shared" si="0"/>
        <v>37</v>
      </c>
      <c r="B47" s="6" t="s">
        <v>414</v>
      </c>
      <c r="E47" s="984">
        <f>E45*E46</f>
        <v>48975.177367626842</v>
      </c>
      <c r="G47" s="247" t="str">
        <f>"Line "&amp;A45&amp;" x Line "&amp;A46</f>
        <v>Line 35 x Line 36</v>
      </c>
      <c r="H47" s="247">
        <f t="shared" si="1"/>
        <v>37</v>
      </c>
    </row>
    <row r="48" spans="1:10">
      <c r="A48" s="247">
        <f t="shared" si="0"/>
        <v>38</v>
      </c>
      <c r="B48" s="216" t="s">
        <v>415</v>
      </c>
      <c r="E48" s="1157">
        <f>E68*(-E44)</f>
        <v>4000.0825314519279</v>
      </c>
      <c r="G48" s="247" t="str">
        <f>"Negative of Line "&amp;A44&amp;" x Line "&amp;A68</f>
        <v>Negative of Line 34 x Line 58</v>
      </c>
      <c r="H48" s="247">
        <f t="shared" si="1"/>
        <v>38</v>
      </c>
    </row>
    <row r="49" spans="1:9" ht="16" thickBot="1">
      <c r="A49" s="247">
        <f t="shared" si="0"/>
        <v>39</v>
      </c>
      <c r="B49" s="420" t="s">
        <v>416</v>
      </c>
      <c r="E49" s="478">
        <f>E48+E47</f>
        <v>52975.259899078766</v>
      </c>
      <c r="G49" s="247" t="str">
        <f>"Line "&amp;A47&amp;" + Line "&amp;A48</f>
        <v>Line 37 + Line 38</v>
      </c>
      <c r="H49" s="247">
        <f t="shared" si="1"/>
        <v>39</v>
      </c>
      <c r="I49" s="420"/>
    </row>
    <row r="50" spans="1:9" ht="16" thickTop="1">
      <c r="A50" s="247">
        <f t="shared" si="0"/>
        <v>40</v>
      </c>
      <c r="B50" s="466"/>
      <c r="E50" s="467"/>
      <c r="G50" s="247"/>
      <c r="H50" s="247">
        <f t="shared" si="1"/>
        <v>40</v>
      </c>
    </row>
    <row r="51" spans="1:9">
      <c r="A51" s="247">
        <f t="shared" si="0"/>
        <v>41</v>
      </c>
      <c r="B51" s="7" t="s">
        <v>417</v>
      </c>
      <c r="E51" s="468"/>
      <c r="G51" s="247"/>
      <c r="H51" s="247">
        <f t="shared" si="1"/>
        <v>41</v>
      </c>
    </row>
    <row r="52" spans="1:9">
      <c r="A52" s="247">
        <f t="shared" si="0"/>
        <v>42</v>
      </c>
      <c r="B52" s="6" t="s">
        <v>418</v>
      </c>
      <c r="E52" s="469">
        <f>'Stmt AD'!I35</f>
        <v>8017057.3968355898</v>
      </c>
      <c r="G52" s="247" t="str">
        <f>"Statement AD; Line "&amp;'Stmt AD'!A35</f>
        <v>Statement AD; Line 25</v>
      </c>
      <c r="H52" s="247">
        <f t="shared" si="1"/>
        <v>42</v>
      </c>
    </row>
    <row r="53" spans="1:9">
      <c r="A53" s="247">
        <f t="shared" si="0"/>
        <v>43</v>
      </c>
      <c r="B53" s="6" t="s">
        <v>200</v>
      </c>
      <c r="E53" s="470">
        <v>0</v>
      </c>
      <c r="G53" s="247" t="s">
        <v>307</v>
      </c>
      <c r="H53" s="247">
        <f t="shared" si="1"/>
        <v>43</v>
      </c>
    </row>
    <row r="54" spans="1:9">
      <c r="A54" s="247">
        <f t="shared" si="0"/>
        <v>44</v>
      </c>
      <c r="B54" s="6" t="s">
        <v>201</v>
      </c>
      <c r="E54" s="471">
        <f>'Stmt AD'!I39</f>
        <v>60153.114391931267</v>
      </c>
      <c r="G54" s="472" t="str">
        <f>"Statement AD; Line "&amp;'Stmt AD'!A39</f>
        <v>Statement AD; Line 29</v>
      </c>
      <c r="H54" s="247">
        <f t="shared" si="1"/>
        <v>44</v>
      </c>
    </row>
    <row r="55" spans="1:9">
      <c r="A55" s="247">
        <f t="shared" si="0"/>
        <v>45</v>
      </c>
      <c r="B55" s="6" t="s">
        <v>202</v>
      </c>
      <c r="E55" s="1158">
        <f>'Stmt AD'!I41</f>
        <v>170715.02359057617</v>
      </c>
      <c r="G55" s="472" t="str">
        <f>"Statement AD; Line "&amp;'Stmt AD'!A41</f>
        <v>Statement AD; Line 31</v>
      </c>
      <c r="H55" s="247">
        <f t="shared" si="1"/>
        <v>45</v>
      </c>
    </row>
    <row r="56" spans="1:9" ht="16" thickBot="1">
      <c r="A56" s="247">
        <f t="shared" si="0"/>
        <v>46</v>
      </c>
      <c r="B56" s="6" t="s">
        <v>419</v>
      </c>
      <c r="E56" s="985">
        <f>SUM(E52:E55)</f>
        <v>8247925.534818097</v>
      </c>
      <c r="G56" s="247" t="str">
        <f>"Sum Lines "&amp;A52&amp;" thru "&amp;A55</f>
        <v>Sum Lines 42 thru 45</v>
      </c>
      <c r="H56" s="247">
        <f t="shared" si="1"/>
        <v>46</v>
      </c>
      <c r="I56" s="420"/>
    </row>
    <row r="57" spans="1:9" ht="16" thickTop="1">
      <c r="A57" s="247">
        <f t="shared" si="0"/>
        <v>47</v>
      </c>
      <c r="B57" s="466"/>
      <c r="E57" s="164"/>
      <c r="G57" s="247"/>
      <c r="H57" s="247">
        <f t="shared" si="1"/>
        <v>47</v>
      </c>
    </row>
    <row r="58" spans="1:9">
      <c r="A58" s="247">
        <f t="shared" si="0"/>
        <v>48</v>
      </c>
      <c r="B58" s="6" t="s">
        <v>199</v>
      </c>
      <c r="E58" s="473">
        <f>E52</f>
        <v>8017057.3968355898</v>
      </c>
      <c r="G58" s="354" t="str">
        <f>"Line "&amp;A52&amp;" Above"</f>
        <v>Line 42 Above</v>
      </c>
      <c r="H58" s="247">
        <f t="shared" si="1"/>
        <v>48</v>
      </c>
    </row>
    <row r="59" spans="1:9">
      <c r="A59" s="247">
        <f t="shared" si="0"/>
        <v>49</v>
      </c>
      <c r="B59" s="6" t="s">
        <v>420</v>
      </c>
      <c r="E59" s="474">
        <f>'Stmt AD'!I11</f>
        <v>584038.95358923054</v>
      </c>
      <c r="G59" s="472" t="str">
        <f>"Statement AD; Line "&amp;'Stmt AD'!A11</f>
        <v>Statement AD; Line 1</v>
      </c>
      <c r="H59" s="247">
        <f t="shared" si="1"/>
        <v>49</v>
      </c>
    </row>
    <row r="60" spans="1:9">
      <c r="A60" s="247">
        <f t="shared" si="0"/>
        <v>50</v>
      </c>
      <c r="B60" s="6" t="s">
        <v>421</v>
      </c>
      <c r="E60" s="470">
        <v>0</v>
      </c>
      <c r="G60" s="247" t="s">
        <v>307</v>
      </c>
      <c r="H60" s="247">
        <f t="shared" si="1"/>
        <v>50</v>
      </c>
    </row>
    <row r="61" spans="1:9">
      <c r="A61" s="247">
        <f t="shared" si="0"/>
        <v>51</v>
      </c>
      <c r="B61" s="6" t="s">
        <v>422</v>
      </c>
      <c r="E61" s="474">
        <f>'Stmt AD'!I17</f>
        <v>554696.24298076914</v>
      </c>
      <c r="G61" s="472" t="str">
        <f>"Statement AD; Line "&amp;'Stmt AD'!A17</f>
        <v>Statement AD; Line 7</v>
      </c>
      <c r="H61" s="247">
        <f t="shared" si="1"/>
        <v>51</v>
      </c>
    </row>
    <row r="62" spans="1:9">
      <c r="A62" s="247">
        <f t="shared" si="0"/>
        <v>52</v>
      </c>
      <c r="B62" s="6" t="s">
        <v>423</v>
      </c>
      <c r="E62" s="474">
        <f>'Stmt AD'!I19</f>
        <v>10391143.364777103</v>
      </c>
      <c r="G62" s="472" t="str">
        <f>"Statement AD; Line "&amp;'Stmt AD'!A19</f>
        <v>Statement AD; Line 9</v>
      </c>
      <c r="H62" s="247">
        <f t="shared" si="1"/>
        <v>52</v>
      </c>
    </row>
    <row r="63" spans="1:9">
      <c r="A63" s="247">
        <f t="shared" si="0"/>
        <v>53</v>
      </c>
      <c r="B63" s="420" t="s">
        <v>200</v>
      </c>
      <c r="E63" s="470">
        <v>0</v>
      </c>
      <c r="G63" s="247" t="s">
        <v>307</v>
      </c>
      <c r="H63" s="247">
        <f t="shared" si="1"/>
        <v>53</v>
      </c>
    </row>
    <row r="64" spans="1:9">
      <c r="A64" s="247">
        <f t="shared" si="0"/>
        <v>54</v>
      </c>
      <c r="B64" s="6" t="s">
        <v>424</v>
      </c>
      <c r="E64" s="474">
        <f>'Stmt AD'!I27</f>
        <v>593307.66194999916</v>
      </c>
      <c r="G64" s="472" t="str">
        <f>"Statement AD; Line "&amp;'Stmt AD'!A27</f>
        <v>Statement AD; Line 17</v>
      </c>
      <c r="H64" s="247">
        <f t="shared" si="1"/>
        <v>54</v>
      </c>
    </row>
    <row r="65" spans="1:9">
      <c r="A65" s="247">
        <f t="shared" si="0"/>
        <v>55</v>
      </c>
      <c r="B65" s="6" t="s">
        <v>425</v>
      </c>
      <c r="E65" s="1159">
        <f>'Stmt AD'!I29</f>
        <v>1683811.9277802501</v>
      </c>
      <c r="G65" s="472" t="str">
        <f>"Statement AD; Line "&amp;'Stmt AD'!A29</f>
        <v>Statement AD; Line 19</v>
      </c>
      <c r="H65" s="247">
        <f t="shared" si="1"/>
        <v>55</v>
      </c>
    </row>
    <row r="66" spans="1:9" ht="16" thickBot="1">
      <c r="A66" s="247">
        <f t="shared" si="0"/>
        <v>56</v>
      </c>
      <c r="B66" s="6" t="s">
        <v>426</v>
      </c>
      <c r="E66" s="986">
        <f>SUM(E58:E65)</f>
        <v>21824055.54791294</v>
      </c>
      <c r="G66" s="247" t="str">
        <f>"Sum Lines "&amp;A58&amp;" thru "&amp;A65</f>
        <v>Sum Lines 48 thru 55</v>
      </c>
      <c r="H66" s="247">
        <f t="shared" si="1"/>
        <v>56</v>
      </c>
      <c r="I66" s="420"/>
    </row>
    <row r="67" spans="1:9" ht="16" thickTop="1">
      <c r="A67" s="247">
        <f t="shared" si="0"/>
        <v>57</v>
      </c>
      <c r="E67" s="396"/>
      <c r="G67" s="247"/>
      <c r="H67" s="247">
        <f t="shared" si="1"/>
        <v>57</v>
      </c>
    </row>
    <row r="68" spans="1:9" ht="19" thickBot="1">
      <c r="A68" s="247">
        <f t="shared" si="0"/>
        <v>58</v>
      </c>
      <c r="B68" s="6" t="s">
        <v>427</v>
      </c>
      <c r="E68" s="475">
        <f>E56/E66</f>
        <v>0.37792817731381073</v>
      </c>
      <c r="G68" s="247" t="str">
        <f>"Line "&amp;A56&amp;" / Line "&amp;A66</f>
        <v>Line 46 / Line 56</v>
      </c>
      <c r="H68" s="247">
        <f t="shared" si="1"/>
        <v>58</v>
      </c>
      <c r="I68" s="420"/>
    </row>
    <row r="69" spans="1:9" ht="16" thickTop="1">
      <c r="B69" s="420" t="s">
        <v>186</v>
      </c>
      <c r="E69" s="476"/>
      <c r="G69" s="247"/>
      <c r="H69" s="247"/>
    </row>
    <row r="70" spans="1:9">
      <c r="B70" s="6"/>
      <c r="E70" s="476"/>
      <c r="F70" s="476"/>
      <c r="G70" s="247"/>
      <c r="H70" s="247"/>
    </row>
    <row r="71" spans="1:9" ht="18">
      <c r="A71" s="477">
        <v>1</v>
      </c>
      <c r="B71" s="6" t="str">
        <f>"Used to allocate property insurance in conformance with the TO"&amp;Automation!B1&amp;" Formula Rate Mechanism."</f>
        <v>Used to allocate property insurance in conformance with the TO5 Formula Rate Mechanism.</v>
      </c>
      <c r="H71" s="247"/>
    </row>
    <row r="72" spans="1:9">
      <c r="B72" s="420"/>
      <c r="E72" s="396"/>
      <c r="F72" s="396"/>
      <c r="G72" s="247"/>
      <c r="H72" s="24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Roman,Regular"&amp;10AH</oddFooter>
  </headerFooter>
  <customProperties>
    <customPr name="_pios_id" r:id="rId2"/>
  </customPropertie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zoomScale="80" zoomScaleNormal="80" workbookViewId="0"/>
  </sheetViews>
  <sheetFormatPr defaultColWidth="10" defaultRowHeight="15"/>
  <cols>
    <col min="1" max="1" width="5.08984375" style="757" customWidth="1"/>
    <col min="2" max="2" width="11.08984375" style="742" customWidth="1"/>
    <col min="3" max="3" width="69.08984375" style="742" customWidth="1"/>
    <col min="4" max="4" width="18.54296875" style="742" customWidth="1"/>
    <col min="5" max="5" width="5.08984375" style="757" customWidth="1"/>
    <col min="6" max="7" width="10" style="742"/>
    <col min="8" max="8" width="14" style="742" customWidth="1"/>
    <col min="9" max="16384" width="10" style="742"/>
  </cols>
  <sheetData>
    <row r="2" spans="1:10">
      <c r="A2" s="741"/>
      <c r="B2" s="1290" t="s">
        <v>0</v>
      </c>
      <c r="C2" s="1290"/>
      <c r="D2" s="1290"/>
      <c r="E2" s="551"/>
      <c r="F2" s="237"/>
      <c r="G2" s="534"/>
      <c r="H2" s="534"/>
      <c r="I2" s="534"/>
      <c r="J2" s="534"/>
    </row>
    <row r="3" spans="1:10">
      <c r="A3" s="580"/>
      <c r="B3" s="1305" t="str">
        <f>Automation!B3&amp;" Citizens Direct Maintenance"</f>
        <v>2023 Citizens Direct Maintenance</v>
      </c>
      <c r="C3" s="1305"/>
      <c r="D3" s="1305"/>
      <c r="E3" s="581"/>
      <c r="F3" s="534"/>
      <c r="G3" s="534"/>
      <c r="H3" s="534"/>
      <c r="I3" s="534"/>
      <c r="J3" s="534"/>
    </row>
    <row r="4" spans="1:10">
      <c r="A4" s="110"/>
      <c r="B4" s="1277" t="str">
        <f>" 12 Months Ending December 31, "&amp;Automation!$B$3</f>
        <v xml:space="preserve"> 12 Months Ending December 31, 2023</v>
      </c>
      <c r="C4" s="1277"/>
      <c r="D4" s="1277"/>
      <c r="E4" s="109"/>
      <c r="F4" s="63"/>
      <c r="G4" s="63"/>
      <c r="H4" s="63"/>
      <c r="I4" s="63"/>
      <c r="J4" s="63"/>
    </row>
    <row r="5" spans="1:10">
      <c r="A5" s="110"/>
      <c r="B5" s="1306" t="s">
        <v>3</v>
      </c>
      <c r="C5" s="1306"/>
      <c r="D5" s="1306"/>
      <c r="E5" s="109"/>
      <c r="F5" s="63"/>
      <c r="G5" s="63"/>
      <c r="H5" s="63"/>
      <c r="I5" s="63"/>
      <c r="J5" s="63"/>
    </row>
    <row r="6" spans="1:10" ht="15.5" thickBot="1">
      <c r="A6" s="109"/>
      <c r="B6" s="77"/>
      <c r="C6" s="77"/>
      <c r="D6" s="77"/>
      <c r="E6" s="109"/>
      <c r="F6" s="63"/>
      <c r="G6" s="63"/>
      <c r="H6" s="63"/>
      <c r="I6" s="63"/>
      <c r="J6" s="63"/>
    </row>
    <row r="7" spans="1:10" ht="15.5">
      <c r="A7" s="743" t="s">
        <v>4</v>
      </c>
      <c r="B7" s="744" t="s">
        <v>428</v>
      </c>
      <c r="C7" s="745"/>
      <c r="D7" s="746"/>
      <c r="E7" s="743" t="s">
        <v>4</v>
      </c>
    </row>
    <row r="8" spans="1:10" ht="15.5">
      <c r="A8" s="743" t="s">
        <v>5</v>
      </c>
      <c r="B8" s="1192" t="s">
        <v>261</v>
      </c>
      <c r="C8" s="1160" t="s">
        <v>262</v>
      </c>
      <c r="D8" s="1161" t="s">
        <v>7</v>
      </c>
      <c r="E8" s="743" t="s">
        <v>5</v>
      </c>
    </row>
    <row r="9" spans="1:10" ht="15.5">
      <c r="A9" s="743">
        <v>1</v>
      </c>
      <c r="B9" s="747">
        <v>6110020</v>
      </c>
      <c r="C9" s="748" t="s">
        <v>429</v>
      </c>
      <c r="D9" s="987">
        <f>0/1000</f>
        <v>0</v>
      </c>
      <c r="E9" s="743">
        <f>A9</f>
        <v>1</v>
      </c>
    </row>
    <row r="10" spans="1:10" ht="15.5">
      <c r="A10" s="743">
        <f>A9+1</f>
        <v>2</v>
      </c>
      <c r="B10" s="747">
        <v>6110030</v>
      </c>
      <c r="C10" s="748" t="s">
        <v>430</v>
      </c>
      <c r="D10" s="904">
        <f>0/1000</f>
        <v>0</v>
      </c>
      <c r="E10" s="743">
        <f>E9+1</f>
        <v>2</v>
      </c>
    </row>
    <row r="11" spans="1:10" ht="15.5">
      <c r="A11" s="743">
        <f>A10+1</f>
        <v>3</v>
      </c>
      <c r="B11" s="747">
        <v>6110080</v>
      </c>
      <c r="C11" s="748" t="s">
        <v>431</v>
      </c>
      <c r="D11" s="904">
        <f t="shared" ref="D11:D54" si="0">0/1000</f>
        <v>0</v>
      </c>
      <c r="E11" s="743">
        <f>E10+1</f>
        <v>3</v>
      </c>
    </row>
    <row r="12" spans="1:10" ht="15.5">
      <c r="A12" s="743">
        <f>A11+1</f>
        <v>4</v>
      </c>
      <c r="B12" s="747">
        <v>6110090</v>
      </c>
      <c r="C12" s="748" t="s">
        <v>432</v>
      </c>
      <c r="D12" s="904">
        <f t="shared" si="0"/>
        <v>0</v>
      </c>
      <c r="E12" s="743">
        <f>E11+1</f>
        <v>4</v>
      </c>
    </row>
    <row r="13" spans="1:10" ht="15.5">
      <c r="A13" s="743">
        <f>A12+1</f>
        <v>5</v>
      </c>
      <c r="B13" s="747">
        <v>6110100</v>
      </c>
      <c r="C13" s="748" t="s">
        <v>433</v>
      </c>
      <c r="D13" s="904">
        <f t="shared" si="0"/>
        <v>0</v>
      </c>
      <c r="E13" s="743">
        <f>E12+1</f>
        <v>5</v>
      </c>
    </row>
    <row r="14" spans="1:10" ht="15.5">
      <c r="A14" s="743">
        <f>A13+1</f>
        <v>6</v>
      </c>
      <c r="B14" s="747">
        <v>6110110</v>
      </c>
      <c r="C14" s="748" t="s">
        <v>434</v>
      </c>
      <c r="D14" s="904">
        <f t="shared" si="0"/>
        <v>0</v>
      </c>
      <c r="E14" s="743">
        <f>E13+1</f>
        <v>6</v>
      </c>
    </row>
    <row r="15" spans="1:10" ht="15.5">
      <c r="A15" s="743">
        <f t="shared" ref="A15:A57" si="1">A14+1</f>
        <v>7</v>
      </c>
      <c r="B15" s="747">
        <v>6110120</v>
      </c>
      <c r="C15" s="748" t="s">
        <v>435</v>
      </c>
      <c r="D15" s="904">
        <f t="shared" si="0"/>
        <v>0</v>
      </c>
      <c r="E15" s="743">
        <f t="shared" ref="E15:E57" si="2">E14+1</f>
        <v>7</v>
      </c>
    </row>
    <row r="16" spans="1:10" ht="15.5">
      <c r="A16" s="743">
        <f t="shared" si="1"/>
        <v>8</v>
      </c>
      <c r="B16" s="747">
        <v>6110130</v>
      </c>
      <c r="C16" s="748" t="s">
        <v>436</v>
      </c>
      <c r="D16" s="904">
        <f t="shared" si="0"/>
        <v>0</v>
      </c>
      <c r="E16" s="743">
        <f t="shared" si="2"/>
        <v>8</v>
      </c>
    </row>
    <row r="17" spans="1:5" ht="15.5">
      <c r="A17" s="743">
        <f t="shared" si="1"/>
        <v>9</v>
      </c>
      <c r="B17" s="747">
        <v>6110335</v>
      </c>
      <c r="C17" s="748" t="s">
        <v>437</v>
      </c>
      <c r="D17" s="904">
        <f t="shared" si="0"/>
        <v>0</v>
      </c>
      <c r="E17" s="743">
        <f t="shared" si="2"/>
        <v>9</v>
      </c>
    </row>
    <row r="18" spans="1:5" ht="15.5">
      <c r="A18" s="743">
        <f t="shared" si="1"/>
        <v>10</v>
      </c>
      <c r="B18" s="747">
        <v>6130020</v>
      </c>
      <c r="C18" s="748" t="s">
        <v>438</v>
      </c>
      <c r="D18" s="904">
        <f t="shared" si="0"/>
        <v>0</v>
      </c>
      <c r="E18" s="743">
        <f t="shared" si="2"/>
        <v>10</v>
      </c>
    </row>
    <row r="19" spans="1:5" ht="15.5">
      <c r="A19" s="743">
        <f t="shared" si="1"/>
        <v>11</v>
      </c>
      <c r="B19" s="747">
        <v>6220007</v>
      </c>
      <c r="C19" s="748" t="s">
        <v>439</v>
      </c>
      <c r="D19" s="904">
        <f t="shared" si="0"/>
        <v>0</v>
      </c>
      <c r="E19" s="743">
        <f t="shared" si="2"/>
        <v>11</v>
      </c>
    </row>
    <row r="20" spans="1:5" ht="15.5">
      <c r="A20" s="743">
        <f t="shared" si="1"/>
        <v>12</v>
      </c>
      <c r="B20" s="747">
        <v>6220100</v>
      </c>
      <c r="C20" s="748" t="s">
        <v>440</v>
      </c>
      <c r="D20" s="904">
        <f t="shared" si="0"/>
        <v>0</v>
      </c>
      <c r="E20" s="743">
        <f t="shared" si="2"/>
        <v>12</v>
      </c>
    </row>
    <row r="21" spans="1:5" ht="15.5">
      <c r="A21" s="743">
        <f t="shared" si="1"/>
        <v>13</v>
      </c>
      <c r="B21" s="747">
        <v>6220600</v>
      </c>
      <c r="C21" s="748" t="s">
        <v>441</v>
      </c>
      <c r="D21" s="904">
        <f t="shared" si="0"/>
        <v>0</v>
      </c>
      <c r="E21" s="743">
        <f t="shared" si="2"/>
        <v>13</v>
      </c>
    </row>
    <row r="22" spans="1:5" ht="15.5">
      <c r="A22" s="743">
        <f t="shared" si="1"/>
        <v>14</v>
      </c>
      <c r="B22" s="747">
        <v>6220850</v>
      </c>
      <c r="C22" s="748" t="s">
        <v>442</v>
      </c>
      <c r="D22" s="904">
        <f t="shared" si="0"/>
        <v>0</v>
      </c>
      <c r="E22" s="743">
        <f t="shared" si="2"/>
        <v>14</v>
      </c>
    </row>
    <row r="23" spans="1:5" ht="15.5">
      <c r="A23" s="743">
        <f t="shared" si="1"/>
        <v>15</v>
      </c>
      <c r="B23" s="747">
        <v>6221000</v>
      </c>
      <c r="C23" s="748" t="s">
        <v>443</v>
      </c>
      <c r="D23" s="904">
        <f t="shared" si="0"/>
        <v>0</v>
      </c>
      <c r="E23" s="743">
        <f t="shared" si="2"/>
        <v>15</v>
      </c>
    </row>
    <row r="24" spans="1:5" ht="15.5">
      <c r="A24" s="743">
        <f t="shared" si="1"/>
        <v>16</v>
      </c>
      <c r="B24" s="747">
        <v>6231042</v>
      </c>
      <c r="C24" s="748" t="s">
        <v>444</v>
      </c>
      <c r="D24" s="904">
        <f t="shared" si="0"/>
        <v>0</v>
      </c>
      <c r="E24" s="743">
        <f t="shared" si="2"/>
        <v>16</v>
      </c>
    </row>
    <row r="25" spans="1:5" ht="15.5">
      <c r="A25" s="743">
        <f t="shared" si="1"/>
        <v>17</v>
      </c>
      <c r="B25" s="747">
        <v>6261050</v>
      </c>
      <c r="C25" s="748" t="s">
        <v>445</v>
      </c>
      <c r="D25" s="904">
        <f t="shared" si="0"/>
        <v>0</v>
      </c>
      <c r="E25" s="743">
        <f t="shared" si="2"/>
        <v>17</v>
      </c>
    </row>
    <row r="26" spans="1:5" ht="15.5">
      <c r="A26" s="743">
        <f t="shared" si="1"/>
        <v>18</v>
      </c>
      <c r="B26" s="747">
        <v>6262050</v>
      </c>
      <c r="C26" s="748" t="s">
        <v>446</v>
      </c>
      <c r="D26" s="904">
        <f t="shared" si="0"/>
        <v>0</v>
      </c>
      <c r="E26" s="743">
        <f t="shared" si="2"/>
        <v>18</v>
      </c>
    </row>
    <row r="27" spans="1:5" ht="15.5">
      <c r="A27" s="743">
        <f t="shared" si="1"/>
        <v>19</v>
      </c>
      <c r="B27" s="747">
        <v>6340000</v>
      </c>
      <c r="C27" s="748" t="s">
        <v>447</v>
      </c>
      <c r="D27" s="904">
        <f t="shared" si="0"/>
        <v>0</v>
      </c>
      <c r="E27" s="743">
        <f t="shared" si="2"/>
        <v>19</v>
      </c>
    </row>
    <row r="28" spans="1:5" ht="15.5">
      <c r="A28" s="743">
        <f t="shared" si="1"/>
        <v>20</v>
      </c>
      <c r="B28" s="747">
        <v>9121100</v>
      </c>
      <c r="C28" s="748" t="s">
        <v>448</v>
      </c>
      <c r="D28" s="904">
        <f t="shared" si="0"/>
        <v>0</v>
      </c>
      <c r="E28" s="743">
        <f t="shared" si="2"/>
        <v>20</v>
      </c>
    </row>
    <row r="29" spans="1:5" ht="15.5">
      <c r="A29" s="743">
        <f t="shared" si="1"/>
        <v>21</v>
      </c>
      <c r="B29" s="747">
        <v>9121200</v>
      </c>
      <c r="C29" s="748" t="s">
        <v>449</v>
      </c>
      <c r="D29" s="904">
        <f t="shared" si="0"/>
        <v>0</v>
      </c>
      <c r="E29" s="743">
        <f t="shared" si="2"/>
        <v>21</v>
      </c>
    </row>
    <row r="30" spans="1:5" ht="15.5">
      <c r="A30" s="743">
        <f t="shared" si="1"/>
        <v>22</v>
      </c>
      <c r="B30" s="747">
        <v>9121400</v>
      </c>
      <c r="C30" s="748" t="s">
        <v>450</v>
      </c>
      <c r="D30" s="904">
        <f t="shared" si="0"/>
        <v>0</v>
      </c>
      <c r="E30" s="743">
        <f t="shared" si="2"/>
        <v>22</v>
      </c>
    </row>
    <row r="31" spans="1:5" ht="15.5">
      <c r="A31" s="743">
        <f t="shared" si="1"/>
        <v>23</v>
      </c>
      <c r="B31" s="747">
        <v>9121500</v>
      </c>
      <c r="C31" s="748" t="s">
        <v>451</v>
      </c>
      <c r="D31" s="904">
        <f t="shared" si="0"/>
        <v>0</v>
      </c>
      <c r="E31" s="743">
        <f t="shared" si="2"/>
        <v>23</v>
      </c>
    </row>
    <row r="32" spans="1:5" ht="15.5">
      <c r="A32" s="743">
        <f t="shared" si="1"/>
        <v>24</v>
      </c>
      <c r="B32" s="747">
        <v>9121600</v>
      </c>
      <c r="C32" s="748" t="s">
        <v>452</v>
      </c>
      <c r="D32" s="904">
        <f t="shared" si="0"/>
        <v>0</v>
      </c>
      <c r="E32" s="743">
        <f t="shared" si="2"/>
        <v>24</v>
      </c>
    </row>
    <row r="33" spans="1:5" ht="15.5">
      <c r="A33" s="743">
        <f t="shared" si="1"/>
        <v>25</v>
      </c>
      <c r="B33" s="747">
        <v>9122300</v>
      </c>
      <c r="C33" s="748" t="s">
        <v>453</v>
      </c>
      <c r="D33" s="904">
        <f t="shared" si="0"/>
        <v>0</v>
      </c>
      <c r="E33" s="743">
        <f t="shared" si="2"/>
        <v>25</v>
      </c>
    </row>
    <row r="34" spans="1:5" ht="15.5">
      <c r="A34" s="743">
        <f t="shared" si="1"/>
        <v>26</v>
      </c>
      <c r="B34" s="747">
        <v>9122400</v>
      </c>
      <c r="C34" s="748" t="s">
        <v>454</v>
      </c>
      <c r="D34" s="904">
        <f t="shared" si="0"/>
        <v>0</v>
      </c>
      <c r="E34" s="743">
        <f t="shared" si="2"/>
        <v>26</v>
      </c>
    </row>
    <row r="35" spans="1:5" ht="15.5">
      <c r="A35" s="743">
        <f t="shared" si="1"/>
        <v>27</v>
      </c>
      <c r="B35" s="747">
        <v>9122500</v>
      </c>
      <c r="C35" s="748" t="s">
        <v>455</v>
      </c>
      <c r="D35" s="904">
        <f t="shared" si="0"/>
        <v>0</v>
      </c>
      <c r="E35" s="743">
        <f t="shared" si="2"/>
        <v>27</v>
      </c>
    </row>
    <row r="36" spans="1:5" ht="15.5">
      <c r="A36" s="743">
        <f t="shared" si="1"/>
        <v>28</v>
      </c>
      <c r="B36" s="747">
        <v>9122600</v>
      </c>
      <c r="C36" s="748" t="s">
        <v>456</v>
      </c>
      <c r="D36" s="904">
        <f t="shared" si="0"/>
        <v>0</v>
      </c>
      <c r="E36" s="743">
        <f t="shared" si="2"/>
        <v>28</v>
      </c>
    </row>
    <row r="37" spans="1:5" ht="15.5">
      <c r="A37" s="743">
        <f t="shared" si="1"/>
        <v>29</v>
      </c>
      <c r="B37" s="747">
        <v>9122900</v>
      </c>
      <c r="C37" s="748" t="s">
        <v>457</v>
      </c>
      <c r="D37" s="904">
        <f t="shared" si="0"/>
        <v>0</v>
      </c>
      <c r="E37" s="743">
        <f t="shared" si="2"/>
        <v>29</v>
      </c>
    </row>
    <row r="38" spans="1:5" ht="15.5">
      <c r="A38" s="743">
        <f t="shared" si="1"/>
        <v>30</v>
      </c>
      <c r="B38" s="747">
        <v>9123100</v>
      </c>
      <c r="C38" s="748" t="s">
        <v>458</v>
      </c>
      <c r="D38" s="904">
        <f t="shared" si="0"/>
        <v>0</v>
      </c>
      <c r="E38" s="743">
        <f t="shared" si="2"/>
        <v>30</v>
      </c>
    </row>
    <row r="39" spans="1:5" ht="15.5">
      <c r="A39" s="743">
        <f t="shared" si="1"/>
        <v>31</v>
      </c>
      <c r="B39" s="747">
        <v>9123200</v>
      </c>
      <c r="C39" s="748" t="s">
        <v>459</v>
      </c>
      <c r="D39" s="904">
        <f t="shared" si="0"/>
        <v>0</v>
      </c>
      <c r="E39" s="743">
        <f t="shared" si="2"/>
        <v>31</v>
      </c>
    </row>
    <row r="40" spans="1:5" ht="15.5">
      <c r="A40" s="743">
        <f t="shared" si="1"/>
        <v>32</v>
      </c>
      <c r="B40" s="747">
        <v>9123400</v>
      </c>
      <c r="C40" s="748" t="s">
        <v>460</v>
      </c>
      <c r="D40" s="904">
        <f t="shared" si="0"/>
        <v>0</v>
      </c>
      <c r="E40" s="743">
        <f t="shared" si="2"/>
        <v>32</v>
      </c>
    </row>
    <row r="41" spans="1:5" ht="15.5">
      <c r="A41" s="743">
        <f t="shared" si="1"/>
        <v>33</v>
      </c>
      <c r="B41" s="747">
        <v>9123500</v>
      </c>
      <c r="C41" s="748" t="s">
        <v>461</v>
      </c>
      <c r="D41" s="904">
        <f t="shared" si="0"/>
        <v>0</v>
      </c>
      <c r="E41" s="743">
        <f t="shared" si="2"/>
        <v>33</v>
      </c>
    </row>
    <row r="42" spans="1:5" ht="15.5">
      <c r="A42" s="743">
        <f t="shared" si="1"/>
        <v>34</v>
      </c>
      <c r="B42" s="747">
        <v>9123600</v>
      </c>
      <c r="C42" s="748" t="s">
        <v>462</v>
      </c>
      <c r="D42" s="904">
        <f t="shared" si="0"/>
        <v>0</v>
      </c>
      <c r="E42" s="743">
        <f t="shared" si="2"/>
        <v>34</v>
      </c>
    </row>
    <row r="43" spans="1:5" ht="15.5">
      <c r="A43" s="743">
        <f t="shared" si="1"/>
        <v>35</v>
      </c>
      <c r="B43" s="747">
        <v>9124300</v>
      </c>
      <c r="C43" s="748" t="s">
        <v>463</v>
      </c>
      <c r="D43" s="904">
        <f t="shared" si="0"/>
        <v>0</v>
      </c>
      <c r="E43" s="743">
        <f t="shared" si="2"/>
        <v>35</v>
      </c>
    </row>
    <row r="44" spans="1:5" ht="15.5">
      <c r="A44" s="743">
        <f t="shared" si="1"/>
        <v>36</v>
      </c>
      <c r="B44" s="747">
        <v>9124400</v>
      </c>
      <c r="C44" s="748" t="s">
        <v>464</v>
      </c>
      <c r="D44" s="904">
        <f t="shared" si="0"/>
        <v>0</v>
      </c>
      <c r="E44" s="743">
        <f t="shared" si="2"/>
        <v>36</v>
      </c>
    </row>
    <row r="45" spans="1:5" ht="15.5">
      <c r="A45" s="743">
        <f t="shared" si="1"/>
        <v>37</v>
      </c>
      <c r="B45" s="747">
        <v>9124500</v>
      </c>
      <c r="C45" s="748" t="s">
        <v>465</v>
      </c>
      <c r="D45" s="904">
        <f t="shared" si="0"/>
        <v>0</v>
      </c>
      <c r="E45" s="743">
        <f t="shared" si="2"/>
        <v>37</v>
      </c>
    </row>
    <row r="46" spans="1:5" ht="15.5">
      <c r="A46" s="743">
        <f t="shared" si="1"/>
        <v>38</v>
      </c>
      <c r="B46" s="747">
        <v>9124600</v>
      </c>
      <c r="C46" s="748" t="s">
        <v>466</v>
      </c>
      <c r="D46" s="904">
        <f t="shared" si="0"/>
        <v>0</v>
      </c>
      <c r="E46" s="743">
        <f t="shared" si="2"/>
        <v>38</v>
      </c>
    </row>
    <row r="47" spans="1:5" ht="15.5">
      <c r="A47" s="743">
        <f t="shared" si="1"/>
        <v>39</v>
      </c>
      <c r="B47" s="747">
        <v>9124900</v>
      </c>
      <c r="C47" s="748" t="s">
        <v>467</v>
      </c>
      <c r="D47" s="904">
        <f t="shared" si="0"/>
        <v>0</v>
      </c>
      <c r="E47" s="743">
        <f t="shared" si="2"/>
        <v>39</v>
      </c>
    </row>
    <row r="48" spans="1:5" ht="15.5">
      <c r="A48" s="743">
        <f t="shared" si="1"/>
        <v>40</v>
      </c>
      <c r="B48" s="747">
        <v>9131150</v>
      </c>
      <c r="C48" s="748" t="s">
        <v>468</v>
      </c>
      <c r="D48" s="904">
        <f t="shared" si="0"/>
        <v>0</v>
      </c>
      <c r="E48" s="743">
        <f t="shared" si="2"/>
        <v>40</v>
      </c>
    </row>
    <row r="49" spans="1:5" ht="15.5">
      <c r="A49" s="743">
        <f t="shared" si="1"/>
        <v>41</v>
      </c>
      <c r="B49" s="747">
        <v>9131700</v>
      </c>
      <c r="C49" s="748" t="s">
        <v>469</v>
      </c>
      <c r="D49" s="904">
        <f t="shared" si="0"/>
        <v>0</v>
      </c>
      <c r="E49" s="743">
        <f t="shared" si="2"/>
        <v>41</v>
      </c>
    </row>
    <row r="50" spans="1:5" ht="15.5">
      <c r="A50" s="743">
        <f t="shared" si="1"/>
        <v>42</v>
      </c>
      <c r="B50" s="747">
        <v>9131850</v>
      </c>
      <c r="C50" s="748" t="s">
        <v>470</v>
      </c>
      <c r="D50" s="904">
        <f t="shared" si="0"/>
        <v>0</v>
      </c>
      <c r="E50" s="743">
        <f t="shared" si="2"/>
        <v>42</v>
      </c>
    </row>
    <row r="51" spans="1:5" ht="15.5">
      <c r="A51" s="743">
        <f t="shared" si="1"/>
        <v>43</v>
      </c>
      <c r="B51" s="747">
        <v>9131860</v>
      </c>
      <c r="C51" s="748" t="s">
        <v>471</v>
      </c>
      <c r="D51" s="904">
        <f t="shared" si="0"/>
        <v>0</v>
      </c>
      <c r="E51" s="743">
        <f t="shared" si="2"/>
        <v>43</v>
      </c>
    </row>
    <row r="52" spans="1:5" ht="15.5">
      <c r="A52" s="743">
        <f t="shared" si="1"/>
        <v>44</v>
      </c>
      <c r="B52" s="747">
        <v>9132150</v>
      </c>
      <c r="C52" s="748" t="s">
        <v>472</v>
      </c>
      <c r="D52" s="904">
        <f t="shared" si="0"/>
        <v>0</v>
      </c>
      <c r="E52" s="743">
        <f t="shared" si="2"/>
        <v>44</v>
      </c>
    </row>
    <row r="53" spans="1:5" ht="15.5">
      <c r="A53" s="743">
        <f t="shared" si="1"/>
        <v>45</v>
      </c>
      <c r="B53" s="747">
        <v>9132700</v>
      </c>
      <c r="C53" s="748" t="s">
        <v>473</v>
      </c>
      <c r="D53" s="904">
        <f t="shared" si="0"/>
        <v>0</v>
      </c>
      <c r="E53" s="743">
        <f t="shared" si="2"/>
        <v>45</v>
      </c>
    </row>
    <row r="54" spans="1:5" ht="15.5">
      <c r="A54" s="743">
        <f t="shared" si="1"/>
        <v>46</v>
      </c>
      <c r="B54" s="1193">
        <v>9132850</v>
      </c>
      <c r="C54" s="1162" t="s">
        <v>474</v>
      </c>
      <c r="D54" s="1163">
        <f t="shared" si="0"/>
        <v>0</v>
      </c>
      <c r="E54" s="743">
        <f t="shared" si="2"/>
        <v>46</v>
      </c>
    </row>
    <row r="55" spans="1:5" ht="15.5">
      <c r="A55" s="743">
        <f t="shared" si="1"/>
        <v>47</v>
      </c>
      <c r="B55" s="749"/>
      <c r="C55" s="750"/>
      <c r="D55" s="988"/>
      <c r="E55" s="743">
        <f t="shared" si="2"/>
        <v>47</v>
      </c>
    </row>
    <row r="56" spans="1:5" ht="18.5" thickBot="1">
      <c r="A56" s="743">
        <f t="shared" si="1"/>
        <v>48</v>
      </c>
      <c r="B56" s="751" t="s">
        <v>475</v>
      </c>
      <c r="C56" s="752"/>
      <c r="D56" s="753">
        <f>SUM(D9:D54)</f>
        <v>0</v>
      </c>
      <c r="E56" s="743">
        <f t="shared" si="2"/>
        <v>48</v>
      </c>
    </row>
    <row r="57" spans="1:5" ht="16.5" thickTop="1" thickBot="1">
      <c r="A57" s="743">
        <f t="shared" si="1"/>
        <v>49</v>
      </c>
      <c r="B57" s="754"/>
      <c r="C57" s="755"/>
      <c r="D57" s="756"/>
      <c r="E57" s="743">
        <f t="shared" si="2"/>
        <v>49</v>
      </c>
    </row>
    <row r="58" spans="1:5">
      <c r="D58" s="758"/>
    </row>
    <row r="59" spans="1:5">
      <c r="D59" s="758"/>
    </row>
    <row r="60" spans="1:5" ht="18">
      <c r="A60" s="759">
        <v>1</v>
      </c>
      <c r="B60" s="760" t="s">
        <v>476</v>
      </c>
      <c r="C60" s="760"/>
    </row>
    <row r="61" spans="1:5" ht="18">
      <c r="A61" s="759"/>
      <c r="B61" s="760" t="s">
        <v>477</v>
      </c>
      <c r="C61" s="760"/>
    </row>
    <row r="62" spans="1:5" ht="18">
      <c r="A62" s="759">
        <v>2</v>
      </c>
      <c r="B62" s="760" t="s">
        <v>895</v>
      </c>
      <c r="C62" s="760"/>
    </row>
    <row r="64" spans="1:5">
      <c r="C64" s="110"/>
    </row>
    <row r="65" spans="3:3" ht="15.5">
      <c r="C65" s="760"/>
    </row>
    <row r="66" spans="3:3" ht="15.5">
      <c r="C66" s="760"/>
    </row>
    <row r="67" spans="3:3" ht="15.5">
      <c r="C67" s="760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4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9"/>
  <sheetViews>
    <sheetView zoomScale="80" zoomScaleNormal="80" zoomScalePageLayoutView="90" workbookViewId="0"/>
  </sheetViews>
  <sheetFormatPr defaultColWidth="13.36328125" defaultRowHeight="15.5"/>
  <cols>
    <col min="1" max="1" width="5.08984375" style="216" customWidth="1"/>
    <col min="2" max="2" width="8.54296875" style="235" customWidth="1"/>
    <col min="3" max="3" width="66.54296875" style="216" customWidth="1"/>
    <col min="4" max="4" width="16.6328125" style="216" customWidth="1"/>
    <col min="5" max="5" width="16.6328125" style="164" customWidth="1"/>
    <col min="6" max="6" width="17.453125" style="216" bestFit="1" customWidth="1"/>
    <col min="7" max="7" width="50.453125" style="216" customWidth="1"/>
    <col min="8" max="8" width="5.08984375" style="216" customWidth="1"/>
    <col min="9" max="16384" width="13.36328125" style="216"/>
  </cols>
  <sheetData>
    <row r="1" spans="1:11">
      <c r="A1" s="237"/>
    </row>
    <row r="2" spans="1:11" s="237" customFormat="1" ht="15">
      <c r="B2" s="1290" t="s">
        <v>0</v>
      </c>
      <c r="C2" s="1290"/>
      <c r="D2" s="1290"/>
      <c r="E2" s="1290"/>
      <c r="F2" s="1290"/>
      <c r="G2" s="1290"/>
      <c r="H2" s="551"/>
    </row>
    <row r="3" spans="1:11" s="237" customFormat="1" ht="15">
      <c r="B3" s="1290" t="s">
        <v>478</v>
      </c>
      <c r="C3" s="1290"/>
      <c r="D3" s="1290"/>
      <c r="E3" s="1290"/>
      <c r="F3" s="1290"/>
      <c r="G3" s="1290"/>
      <c r="H3" s="236"/>
    </row>
    <row r="4" spans="1:11" s="237" customFormat="1" ht="15">
      <c r="B4" s="1290" t="str">
        <f>" 12 Months Ending December 31, "&amp;Automation!$B$3</f>
        <v xml:space="preserve"> 12 Months Ending December 31, 2023</v>
      </c>
      <c r="C4" s="1290"/>
      <c r="D4" s="1290"/>
      <c r="E4" s="1290"/>
      <c r="F4" s="1290"/>
      <c r="G4" s="1290"/>
      <c r="H4" s="236"/>
    </row>
    <row r="5" spans="1:11" s="237" customFormat="1" ht="15">
      <c r="B5" s="1288" t="s">
        <v>3</v>
      </c>
      <c r="C5" s="1288"/>
      <c r="D5" s="1288"/>
      <c r="E5" s="1288"/>
      <c r="F5" s="1288"/>
      <c r="G5" s="1288"/>
      <c r="H5" s="236"/>
    </row>
    <row r="6" spans="1:11" ht="16" thickBot="1">
      <c r="A6" s="238"/>
      <c r="B6" s="239"/>
      <c r="C6" s="240"/>
      <c r="D6" s="240"/>
      <c r="E6" s="241"/>
      <c r="F6" s="240"/>
      <c r="G6" s="240"/>
      <c r="H6" s="240"/>
      <c r="J6"/>
    </row>
    <row r="7" spans="1:11" s="237" customFormat="1">
      <c r="A7" s="216"/>
      <c r="B7" s="242"/>
      <c r="C7" s="243"/>
      <c r="D7" s="244" t="s">
        <v>77</v>
      </c>
      <c r="E7" s="245" t="s">
        <v>78</v>
      </c>
      <c r="F7" s="244" t="s">
        <v>891</v>
      </c>
      <c r="G7" s="246"/>
      <c r="H7" s="216"/>
    </row>
    <row r="8" spans="1:11" s="237" customFormat="1">
      <c r="A8" s="247" t="s">
        <v>4</v>
      </c>
      <c r="B8" s="248" t="s">
        <v>376</v>
      </c>
      <c r="D8" s="249" t="s">
        <v>80</v>
      </c>
      <c r="E8" s="249" t="s">
        <v>479</v>
      </c>
      <c r="F8" s="249" t="s">
        <v>80</v>
      </c>
      <c r="G8" s="250"/>
      <c r="H8" s="247" t="s">
        <v>4</v>
      </c>
    </row>
    <row r="9" spans="1:11" s="237" customFormat="1">
      <c r="A9" s="247" t="s">
        <v>5</v>
      </c>
      <c r="B9" s="1194" t="s">
        <v>480</v>
      </c>
      <c r="C9" s="989" t="s">
        <v>262</v>
      </c>
      <c r="D9" s="990" t="s">
        <v>481</v>
      </c>
      <c r="E9" s="990" t="s">
        <v>482</v>
      </c>
      <c r="F9" s="990" t="s">
        <v>483</v>
      </c>
      <c r="G9" s="991" t="s">
        <v>8</v>
      </c>
      <c r="H9" s="247" t="s">
        <v>5</v>
      </c>
    </row>
    <row r="10" spans="1:11" s="237" customFormat="1">
      <c r="A10" s="247"/>
      <c r="B10" s="251"/>
      <c r="C10" s="252" t="s">
        <v>484</v>
      </c>
      <c r="D10" s="253"/>
      <c r="E10" s="253"/>
      <c r="F10" s="253"/>
      <c r="G10" s="254"/>
      <c r="H10" s="247"/>
      <c r="J10" s="216"/>
      <c r="K10" s="216"/>
    </row>
    <row r="11" spans="1:11" s="237" customFormat="1">
      <c r="A11" s="247">
        <v>1</v>
      </c>
      <c r="B11" s="255">
        <v>560</v>
      </c>
      <c r="C11" s="216" t="s">
        <v>485</v>
      </c>
      <c r="D11" s="176">
        <v>10109.646000000001</v>
      </c>
      <c r="E11" s="176">
        <f>E51</f>
        <v>115.52</v>
      </c>
      <c r="F11" s="176">
        <f>D11-E11</f>
        <v>9994.1260000000002</v>
      </c>
      <c r="G11" s="256" t="s">
        <v>933</v>
      </c>
      <c r="H11" s="247">
        <f>A11</f>
        <v>1</v>
      </c>
      <c r="J11" s="216"/>
      <c r="K11" s="216"/>
    </row>
    <row r="12" spans="1:11" s="237" customFormat="1">
      <c r="A12" s="247">
        <f>A11+1</f>
        <v>2</v>
      </c>
      <c r="B12" s="255">
        <v>561.1</v>
      </c>
      <c r="C12" s="216" t="s">
        <v>486</v>
      </c>
      <c r="D12" s="178">
        <v>565.95600000000002</v>
      </c>
      <c r="E12" s="178">
        <v>0</v>
      </c>
      <c r="F12" s="178">
        <f>D12-E12</f>
        <v>565.95600000000002</v>
      </c>
      <c r="G12" s="256" t="s">
        <v>934</v>
      </c>
      <c r="H12" s="247">
        <f>H11+1</f>
        <v>2</v>
      </c>
      <c r="J12" s="216"/>
      <c r="K12" s="216"/>
    </row>
    <row r="13" spans="1:11" s="237" customFormat="1">
      <c r="A13" s="247">
        <f t="shared" ref="A13:A76" si="0">A12+1</f>
        <v>3</v>
      </c>
      <c r="B13" s="255">
        <v>561.20000000000005</v>
      </c>
      <c r="C13" s="216" t="s">
        <v>487</v>
      </c>
      <c r="D13" s="178">
        <v>1921.825</v>
      </c>
      <c r="E13" s="178">
        <v>0</v>
      </c>
      <c r="F13" s="178">
        <f t="shared" ref="F13:F24" si="1">D13-E13</f>
        <v>1921.825</v>
      </c>
      <c r="G13" s="256" t="s">
        <v>935</v>
      </c>
      <c r="H13" s="247">
        <f t="shared" ref="H13:H73" si="2">H12+1</f>
        <v>3</v>
      </c>
      <c r="J13" s="216"/>
      <c r="K13" s="216"/>
    </row>
    <row r="14" spans="1:11" s="237" customFormat="1">
      <c r="A14" s="247">
        <f t="shared" si="0"/>
        <v>4</v>
      </c>
      <c r="B14" s="255">
        <v>561.29999999999995</v>
      </c>
      <c r="C14" s="216" t="s">
        <v>488</v>
      </c>
      <c r="D14" s="178">
        <v>274.32499999999999</v>
      </c>
      <c r="E14" s="178">
        <v>0</v>
      </c>
      <c r="F14" s="178">
        <f t="shared" si="1"/>
        <v>274.32499999999999</v>
      </c>
      <c r="G14" s="256" t="s">
        <v>936</v>
      </c>
      <c r="H14" s="247">
        <f t="shared" si="2"/>
        <v>4</v>
      </c>
      <c r="J14" s="216"/>
      <c r="K14" s="216"/>
    </row>
    <row r="15" spans="1:11" s="237" customFormat="1">
      <c r="A15" s="247">
        <f t="shared" si="0"/>
        <v>5</v>
      </c>
      <c r="B15" s="255">
        <v>561.4</v>
      </c>
      <c r="C15" s="216" t="s">
        <v>489</v>
      </c>
      <c r="D15" s="178">
        <v>2767.4720000000002</v>
      </c>
      <c r="E15" s="178">
        <f>E52</f>
        <v>2767.4720000000002</v>
      </c>
      <c r="F15" s="178">
        <f t="shared" si="1"/>
        <v>0</v>
      </c>
      <c r="G15" s="256" t="s">
        <v>937</v>
      </c>
      <c r="H15" s="247">
        <f t="shared" si="2"/>
        <v>5</v>
      </c>
      <c r="J15" s="216"/>
      <c r="K15" s="216"/>
    </row>
    <row r="16" spans="1:11" s="237" customFormat="1">
      <c r="A16" s="247">
        <f t="shared" si="0"/>
        <v>6</v>
      </c>
      <c r="B16" s="255">
        <v>561.5</v>
      </c>
      <c r="C16" s="216" t="s">
        <v>490</v>
      </c>
      <c r="D16" s="178">
        <v>141.84</v>
      </c>
      <c r="E16" s="178">
        <v>0</v>
      </c>
      <c r="F16" s="178">
        <f t="shared" si="1"/>
        <v>141.84</v>
      </c>
      <c r="G16" s="256" t="s">
        <v>938</v>
      </c>
      <c r="H16" s="247">
        <f t="shared" si="2"/>
        <v>6</v>
      </c>
      <c r="J16" s="216"/>
      <c r="K16" s="216"/>
    </row>
    <row r="17" spans="1:11" s="237" customFormat="1">
      <c r="A17" s="247">
        <f t="shared" si="0"/>
        <v>7</v>
      </c>
      <c r="B17" s="255">
        <v>561.6</v>
      </c>
      <c r="C17" s="216" t="s">
        <v>491</v>
      </c>
      <c r="D17" s="178">
        <v>0</v>
      </c>
      <c r="E17" s="178">
        <v>0</v>
      </c>
      <c r="F17" s="178">
        <f t="shared" si="1"/>
        <v>0</v>
      </c>
      <c r="G17" s="256" t="s">
        <v>939</v>
      </c>
      <c r="H17" s="247">
        <f t="shared" si="2"/>
        <v>7</v>
      </c>
      <c r="J17" s="216"/>
      <c r="K17" s="216"/>
    </row>
    <row r="18" spans="1:11" s="237" customFormat="1">
      <c r="A18" s="247">
        <f t="shared" si="0"/>
        <v>8</v>
      </c>
      <c r="B18" s="255">
        <v>561.70000000000005</v>
      </c>
      <c r="C18" s="216" t="s">
        <v>492</v>
      </c>
      <c r="D18" s="178">
        <v>0</v>
      </c>
      <c r="E18" s="178">
        <v>0</v>
      </c>
      <c r="F18" s="178">
        <f t="shared" si="1"/>
        <v>0</v>
      </c>
      <c r="G18" s="1240" t="s">
        <v>940</v>
      </c>
      <c r="H18" s="247">
        <f t="shared" si="2"/>
        <v>8</v>
      </c>
      <c r="J18" s="216"/>
      <c r="K18" s="216"/>
    </row>
    <row r="19" spans="1:11" s="237" customFormat="1">
      <c r="A19" s="247">
        <f t="shared" si="0"/>
        <v>9</v>
      </c>
      <c r="B19" s="255">
        <v>561.79999999999995</v>
      </c>
      <c r="C19" s="216" t="s">
        <v>493</v>
      </c>
      <c r="D19" s="178">
        <v>2508.1060000000002</v>
      </c>
      <c r="E19" s="178">
        <f>E53</f>
        <v>1440.5550000000001</v>
      </c>
      <c r="F19" s="178">
        <f t="shared" si="1"/>
        <v>1067.5510000000002</v>
      </c>
      <c r="G19" s="1240" t="s">
        <v>941</v>
      </c>
      <c r="H19" s="247">
        <f t="shared" si="2"/>
        <v>9</v>
      </c>
      <c r="J19" s="216"/>
      <c r="K19" s="216"/>
    </row>
    <row r="20" spans="1:11" s="237" customFormat="1" ht="18">
      <c r="A20" s="247">
        <f t="shared" si="0"/>
        <v>10</v>
      </c>
      <c r="B20" s="255">
        <v>562</v>
      </c>
      <c r="C20" s="216" t="s">
        <v>494</v>
      </c>
      <c r="D20" s="178">
        <v>12718.573</v>
      </c>
      <c r="E20" s="178">
        <f>E54</f>
        <v>12718.573</v>
      </c>
      <c r="F20" s="178">
        <f t="shared" si="1"/>
        <v>0</v>
      </c>
      <c r="G20" s="1240" t="s">
        <v>942</v>
      </c>
      <c r="H20" s="247">
        <f t="shared" si="2"/>
        <v>10</v>
      </c>
      <c r="I20" s="664"/>
      <c r="J20" s="464"/>
      <c r="K20" s="216"/>
    </row>
    <row r="21" spans="1:11" s="237" customFormat="1" ht="18">
      <c r="A21" s="247">
        <f t="shared" si="0"/>
        <v>11</v>
      </c>
      <c r="B21" s="255">
        <v>563</v>
      </c>
      <c r="C21" s="216" t="s">
        <v>912</v>
      </c>
      <c r="D21" s="178">
        <v>10371.396000000001</v>
      </c>
      <c r="E21" s="178">
        <f>E55</f>
        <v>10371.396000000001</v>
      </c>
      <c r="F21" s="178">
        <f t="shared" si="1"/>
        <v>0</v>
      </c>
      <c r="G21" s="1240" t="s">
        <v>943</v>
      </c>
      <c r="H21" s="247">
        <f t="shared" si="2"/>
        <v>11</v>
      </c>
      <c r="I21" s="665"/>
      <c r="J21" s="464"/>
      <c r="K21" s="216"/>
    </row>
    <row r="22" spans="1:11" s="237" customFormat="1">
      <c r="A22" s="247">
        <f t="shared" si="0"/>
        <v>12</v>
      </c>
      <c r="B22" s="255">
        <v>564</v>
      </c>
      <c r="C22" s="216" t="s">
        <v>495</v>
      </c>
      <c r="D22" s="178">
        <v>11.574</v>
      </c>
      <c r="E22" s="178">
        <v>0</v>
      </c>
      <c r="F22" s="178">
        <f t="shared" si="1"/>
        <v>11.574</v>
      </c>
      <c r="G22" s="1240" t="s">
        <v>944</v>
      </c>
      <c r="H22" s="247">
        <f t="shared" si="2"/>
        <v>12</v>
      </c>
      <c r="J22" s="464"/>
      <c r="K22" s="216"/>
    </row>
    <row r="23" spans="1:11" s="237" customFormat="1">
      <c r="A23" s="247">
        <f t="shared" si="0"/>
        <v>13</v>
      </c>
      <c r="B23" s="255">
        <v>565</v>
      </c>
      <c r="C23" s="216" t="s">
        <v>496</v>
      </c>
      <c r="D23" s="178">
        <v>0</v>
      </c>
      <c r="E23" s="178">
        <f>E56</f>
        <v>0</v>
      </c>
      <c r="F23" s="178">
        <f t="shared" si="1"/>
        <v>0</v>
      </c>
      <c r="G23" s="1240" t="s">
        <v>945</v>
      </c>
      <c r="H23" s="247">
        <f t="shared" si="2"/>
        <v>13</v>
      </c>
      <c r="J23" s="164"/>
      <c r="K23" s="216"/>
    </row>
    <row r="24" spans="1:11" s="237" customFormat="1">
      <c r="A24" s="247">
        <f t="shared" si="0"/>
        <v>14</v>
      </c>
      <c r="B24" s="255">
        <v>566</v>
      </c>
      <c r="C24" s="216" t="s">
        <v>497</v>
      </c>
      <c r="D24" s="178">
        <v>17850.219000000001</v>
      </c>
      <c r="E24" s="178">
        <f>E63</f>
        <v>2881.4660000000003</v>
      </c>
      <c r="F24" s="178">
        <f t="shared" si="1"/>
        <v>14968.753000000001</v>
      </c>
      <c r="G24" s="1240" t="s">
        <v>946</v>
      </c>
      <c r="H24" s="247">
        <f t="shared" si="2"/>
        <v>14</v>
      </c>
      <c r="J24" s="164"/>
      <c r="K24" s="216"/>
    </row>
    <row r="25" spans="1:11" s="237" customFormat="1">
      <c r="A25" s="247">
        <f t="shared" si="0"/>
        <v>15</v>
      </c>
      <c r="B25" s="255">
        <v>567</v>
      </c>
      <c r="C25" s="216" t="s">
        <v>498</v>
      </c>
      <c r="D25" s="992">
        <v>3938.6669999999999</v>
      </c>
      <c r="E25" s="992">
        <v>0</v>
      </c>
      <c r="F25" s="992">
        <f>D25-E25</f>
        <v>3938.6669999999999</v>
      </c>
      <c r="G25" s="1240" t="s">
        <v>947</v>
      </c>
      <c r="H25" s="247">
        <f t="shared" si="2"/>
        <v>15</v>
      </c>
      <c r="J25" s="164"/>
      <c r="K25" s="216"/>
    </row>
    <row r="26" spans="1:11" s="237" customFormat="1">
      <c r="A26" s="247">
        <f t="shared" si="0"/>
        <v>16</v>
      </c>
      <c r="B26" s="255"/>
      <c r="C26" s="216"/>
      <c r="D26" s="178"/>
      <c r="E26" s="178"/>
      <c r="F26" s="178"/>
      <c r="G26" s="256"/>
      <c r="H26" s="247">
        <f t="shared" si="2"/>
        <v>16</v>
      </c>
      <c r="J26" s="164"/>
      <c r="K26" s="216"/>
    </row>
    <row r="27" spans="1:11" s="237" customFormat="1" ht="16" thickBot="1">
      <c r="A27" s="247">
        <f t="shared" si="0"/>
        <v>17</v>
      </c>
      <c r="B27" s="1269"/>
      <c r="C27" s="1270" t="s">
        <v>499</v>
      </c>
      <c r="D27" s="258">
        <f>SUM(D11:D25)</f>
        <v>63179.599000000002</v>
      </c>
      <c r="E27" s="258">
        <f>SUM(E11:E25)</f>
        <v>30294.982000000004</v>
      </c>
      <c r="F27" s="258">
        <f>SUM(F11:F25)</f>
        <v>32884.617000000006</v>
      </c>
      <c r="G27" s="259" t="str">
        <f>"Sum Lines "&amp;A11&amp;" thru "&amp;A25</f>
        <v>Sum Lines 1 thru 15</v>
      </c>
      <c r="H27" s="247">
        <f t="shared" si="2"/>
        <v>17</v>
      </c>
      <c r="J27" s="908"/>
      <c r="K27" s="216"/>
    </row>
    <row r="28" spans="1:11" s="237" customFormat="1">
      <c r="A28" s="247">
        <f t="shared" si="0"/>
        <v>18</v>
      </c>
      <c r="B28" s="260"/>
      <c r="C28" s="216"/>
      <c r="D28" s="261"/>
      <c r="E28" s="261"/>
      <c r="F28" s="261"/>
      <c r="G28" s="917"/>
      <c r="H28" s="247">
        <f t="shared" si="2"/>
        <v>18</v>
      </c>
      <c r="J28" s="908"/>
      <c r="K28" s="216"/>
    </row>
    <row r="29" spans="1:11" s="237" customFormat="1">
      <c r="A29" s="247">
        <f t="shared" si="0"/>
        <v>19</v>
      </c>
      <c r="B29" s="251"/>
      <c r="C29" s="252" t="s">
        <v>500</v>
      </c>
      <c r="D29" s="261"/>
      <c r="E29" s="261"/>
      <c r="F29" s="261"/>
      <c r="G29" s="917"/>
      <c r="H29" s="247">
        <f t="shared" si="2"/>
        <v>19</v>
      </c>
      <c r="J29" s="216"/>
      <c r="K29" s="216"/>
    </row>
    <row r="30" spans="1:11" s="237" customFormat="1">
      <c r="A30" s="247">
        <f t="shared" si="0"/>
        <v>20</v>
      </c>
      <c r="B30" s="255">
        <v>568</v>
      </c>
      <c r="C30" s="216" t="s">
        <v>501</v>
      </c>
      <c r="D30" s="176">
        <v>2904.3609999999999</v>
      </c>
      <c r="E30" s="176">
        <v>0</v>
      </c>
      <c r="F30" s="176">
        <f t="shared" ref="F30:F31" si="3">D30-E30</f>
        <v>2904.3609999999999</v>
      </c>
      <c r="G30" s="1240" t="s">
        <v>948</v>
      </c>
      <c r="H30" s="247">
        <f t="shared" si="2"/>
        <v>20</v>
      </c>
      <c r="J30" s="216"/>
      <c r="K30" s="216"/>
    </row>
    <row r="31" spans="1:11" s="237" customFormat="1">
      <c r="A31" s="247">
        <f t="shared" si="0"/>
        <v>21</v>
      </c>
      <c r="B31" s="255">
        <v>569</v>
      </c>
      <c r="C31" s="216" t="s">
        <v>502</v>
      </c>
      <c r="D31" s="178">
        <v>547.48299999999995</v>
      </c>
      <c r="E31" s="178">
        <v>0</v>
      </c>
      <c r="F31" s="178">
        <f t="shared" si="3"/>
        <v>547.48299999999995</v>
      </c>
      <c r="G31" s="1240" t="s">
        <v>949</v>
      </c>
      <c r="H31" s="247">
        <f t="shared" si="2"/>
        <v>21</v>
      </c>
      <c r="J31" s="216"/>
      <c r="K31" s="216"/>
    </row>
    <row r="32" spans="1:11" s="237" customFormat="1">
      <c r="A32" s="247">
        <f t="shared" si="0"/>
        <v>22</v>
      </c>
      <c r="B32" s="255">
        <v>569.1</v>
      </c>
      <c r="C32" s="216" t="s">
        <v>503</v>
      </c>
      <c r="D32" s="178">
        <v>1336.528</v>
      </c>
      <c r="E32" s="178">
        <v>0</v>
      </c>
      <c r="F32" s="178">
        <f>D32-E32</f>
        <v>1336.528</v>
      </c>
      <c r="G32" s="1240" t="s">
        <v>950</v>
      </c>
      <c r="H32" s="247">
        <f t="shared" si="2"/>
        <v>22</v>
      </c>
      <c r="J32" s="216"/>
      <c r="K32" s="216"/>
    </row>
    <row r="33" spans="1:11" s="237" customFormat="1">
      <c r="A33" s="247">
        <f t="shared" si="0"/>
        <v>23</v>
      </c>
      <c r="B33" s="255">
        <v>569.20000000000005</v>
      </c>
      <c r="C33" s="216" t="s">
        <v>504</v>
      </c>
      <c r="D33" s="178">
        <v>1948.4169999999999</v>
      </c>
      <c r="E33" s="178">
        <v>0</v>
      </c>
      <c r="F33" s="178">
        <f t="shared" ref="F33:F35" si="4">D33-E33</f>
        <v>1948.4169999999999</v>
      </c>
      <c r="G33" s="1240" t="s">
        <v>951</v>
      </c>
      <c r="H33" s="247">
        <f t="shared" si="2"/>
        <v>23</v>
      </c>
      <c r="J33" s="216"/>
      <c r="K33" s="216"/>
    </row>
    <row r="34" spans="1:11" s="237" customFormat="1">
      <c r="A34" s="247">
        <f t="shared" si="0"/>
        <v>24</v>
      </c>
      <c r="B34" s="255">
        <v>569.29999999999995</v>
      </c>
      <c r="C34" s="216" t="s">
        <v>505</v>
      </c>
      <c r="D34" s="178">
        <v>0</v>
      </c>
      <c r="E34" s="178">
        <v>0</v>
      </c>
      <c r="F34" s="178">
        <f t="shared" si="4"/>
        <v>0</v>
      </c>
      <c r="G34" s="1240" t="s">
        <v>952</v>
      </c>
      <c r="H34" s="247">
        <f t="shared" si="2"/>
        <v>24</v>
      </c>
      <c r="J34" s="216"/>
      <c r="K34" s="216"/>
    </row>
    <row r="35" spans="1:11" s="237" customFormat="1">
      <c r="A35" s="247">
        <f t="shared" si="0"/>
        <v>25</v>
      </c>
      <c r="B35" s="255">
        <v>569.4</v>
      </c>
      <c r="C35" s="216" t="s">
        <v>506</v>
      </c>
      <c r="D35" s="178">
        <v>131.28399999999999</v>
      </c>
      <c r="E35" s="178">
        <v>0</v>
      </c>
      <c r="F35" s="178">
        <f t="shared" si="4"/>
        <v>131.28399999999999</v>
      </c>
      <c r="G35" s="1240" t="s">
        <v>953</v>
      </c>
      <c r="H35" s="247">
        <f t="shared" si="2"/>
        <v>25</v>
      </c>
      <c r="J35" s="216"/>
      <c r="K35" s="216"/>
    </row>
    <row r="36" spans="1:11" s="237" customFormat="1" ht="18">
      <c r="A36" s="247">
        <f t="shared" si="0"/>
        <v>26</v>
      </c>
      <c r="B36" s="255">
        <v>570</v>
      </c>
      <c r="C36" s="216" t="s">
        <v>525</v>
      </c>
      <c r="D36" s="178">
        <v>18953.580999999998</v>
      </c>
      <c r="E36" s="178">
        <f>E64</f>
        <v>18953.580999999998</v>
      </c>
      <c r="F36" s="178">
        <f>D36-E36</f>
        <v>0</v>
      </c>
      <c r="G36" s="1240" t="s">
        <v>954</v>
      </c>
      <c r="H36" s="247">
        <f t="shared" si="2"/>
        <v>26</v>
      </c>
      <c r="J36" s="216"/>
      <c r="K36" s="216"/>
    </row>
    <row r="37" spans="1:11" s="237" customFormat="1" ht="18">
      <c r="A37" s="247">
        <f t="shared" si="0"/>
        <v>27</v>
      </c>
      <c r="B37" s="255">
        <v>571</v>
      </c>
      <c r="C37" s="216" t="s">
        <v>526</v>
      </c>
      <c r="D37" s="178">
        <v>33837.959000000003</v>
      </c>
      <c r="E37" s="178">
        <f>E65</f>
        <v>33837.959000000003</v>
      </c>
      <c r="F37" s="178">
        <f t="shared" ref="F37:F38" si="5">D37-E37</f>
        <v>0</v>
      </c>
      <c r="G37" s="1240" t="s">
        <v>955</v>
      </c>
      <c r="H37" s="247">
        <f t="shared" si="2"/>
        <v>27</v>
      </c>
      <c r="J37" s="216"/>
      <c r="K37" s="216"/>
    </row>
    <row r="38" spans="1:11" s="237" customFormat="1" ht="18">
      <c r="A38" s="247">
        <f t="shared" si="0"/>
        <v>28</v>
      </c>
      <c r="B38" s="255">
        <v>572</v>
      </c>
      <c r="C38" s="216" t="s">
        <v>507</v>
      </c>
      <c r="D38" s="178">
        <v>1591.7819999999999</v>
      </c>
      <c r="E38" s="178">
        <f>E66</f>
        <v>1591.7819999999999</v>
      </c>
      <c r="F38" s="178">
        <f t="shared" si="5"/>
        <v>0</v>
      </c>
      <c r="G38" s="256" t="s">
        <v>956</v>
      </c>
      <c r="H38" s="247">
        <f t="shared" si="2"/>
        <v>28</v>
      </c>
      <c r="J38" s="216"/>
      <c r="K38" s="216"/>
    </row>
    <row r="39" spans="1:11" s="237" customFormat="1">
      <c r="A39" s="247">
        <f t="shared" si="0"/>
        <v>29</v>
      </c>
      <c r="B39" s="255">
        <v>573</v>
      </c>
      <c r="C39" s="216" t="s">
        <v>508</v>
      </c>
      <c r="D39" s="992">
        <v>36.237000000000002</v>
      </c>
      <c r="E39" s="992">
        <v>0</v>
      </c>
      <c r="F39" s="992">
        <f>D39-E39</f>
        <v>36.237000000000002</v>
      </c>
      <c r="G39" s="256" t="s">
        <v>957</v>
      </c>
      <c r="H39" s="247">
        <f t="shared" si="2"/>
        <v>29</v>
      </c>
      <c r="J39" s="216"/>
      <c r="K39" s="216"/>
    </row>
    <row r="40" spans="1:11" s="237" customFormat="1">
      <c r="A40" s="247">
        <f t="shared" si="0"/>
        <v>30</v>
      </c>
      <c r="B40" s="255"/>
      <c r="C40" s="216"/>
      <c r="D40" s="993"/>
      <c r="E40" s="178"/>
      <c r="F40" s="993"/>
      <c r="G40" s="256"/>
      <c r="H40" s="247">
        <f t="shared" si="2"/>
        <v>30</v>
      </c>
      <c r="J40" s="216"/>
      <c r="K40" s="216"/>
    </row>
    <row r="41" spans="1:11" s="237" customFormat="1">
      <c r="A41" s="247">
        <f t="shared" si="0"/>
        <v>31</v>
      </c>
      <c r="B41" s="260"/>
      <c r="C41" s="263" t="s">
        <v>509</v>
      </c>
      <c r="D41" s="176">
        <f>SUM(D30:D39)</f>
        <v>61287.631999999998</v>
      </c>
      <c r="E41" s="176">
        <f>SUM(E30:E39)</f>
        <v>54383.322</v>
      </c>
      <c r="F41" s="176">
        <f>SUM(F30:F39)</f>
        <v>6904.31</v>
      </c>
      <c r="G41" s="256" t="str">
        <f>"Sum Lines "&amp;A30&amp;" thru "&amp;A39</f>
        <v>Sum Lines 20 thru 29</v>
      </c>
      <c r="H41" s="247">
        <f t="shared" si="2"/>
        <v>31</v>
      </c>
      <c r="J41" s="216"/>
      <c r="K41" s="216"/>
    </row>
    <row r="42" spans="1:11" s="237" customFormat="1">
      <c r="A42" s="247">
        <f t="shared" si="0"/>
        <v>32</v>
      </c>
      <c r="B42" s="260"/>
      <c r="C42" s="216"/>
      <c r="D42" s="994"/>
      <c r="E42" s="994"/>
      <c r="F42" s="994"/>
      <c r="G42" s="256"/>
      <c r="H42" s="247">
        <f t="shared" si="2"/>
        <v>32</v>
      </c>
      <c r="J42" s="216"/>
      <c r="K42" s="216"/>
    </row>
    <row r="43" spans="1:11" s="237" customFormat="1" ht="16" thickBot="1">
      <c r="A43" s="247">
        <f t="shared" si="0"/>
        <v>33</v>
      </c>
      <c r="B43" s="248"/>
      <c r="C43" s="237" t="s">
        <v>510</v>
      </c>
      <c r="D43" s="264">
        <f>D27+D41</f>
        <v>124467.231</v>
      </c>
      <c r="E43" s="264">
        <f>+E27+E41</f>
        <v>84678.304000000004</v>
      </c>
      <c r="F43" s="264">
        <f>+F27+F41</f>
        <v>39788.927000000003</v>
      </c>
      <c r="G43" s="256" t="str">
        <f>"Line "&amp;A27&amp;" + Line "&amp;A41</f>
        <v>Line 17 + Line 31</v>
      </c>
      <c r="H43" s="247">
        <f t="shared" si="2"/>
        <v>33</v>
      </c>
      <c r="J43" s="908"/>
      <c r="K43" s="216"/>
    </row>
    <row r="44" spans="1:11" s="237" customFormat="1" ht="16" thickTop="1">
      <c r="A44" s="247">
        <f t="shared" si="0"/>
        <v>34</v>
      </c>
      <c r="B44" s="248"/>
      <c r="D44" s="276"/>
      <c r="E44" s="276"/>
      <c r="F44" s="276"/>
      <c r="G44" s="256"/>
      <c r="H44" s="247">
        <f t="shared" si="2"/>
        <v>34</v>
      </c>
      <c r="J44" s="908"/>
      <c r="K44" s="216"/>
    </row>
    <row r="45" spans="1:11" s="237" customFormat="1" ht="18">
      <c r="A45" s="247">
        <f t="shared" si="0"/>
        <v>35</v>
      </c>
      <c r="B45" s="255">
        <v>413</v>
      </c>
      <c r="C45" s="216" t="s">
        <v>511</v>
      </c>
      <c r="D45" s="992">
        <v>178.53203999999999</v>
      </c>
      <c r="E45" s="992">
        <v>0</v>
      </c>
      <c r="F45" s="992">
        <f>D45-E45</f>
        <v>178.53203999999999</v>
      </c>
      <c r="G45" s="313"/>
      <c r="H45" s="247">
        <f t="shared" si="2"/>
        <v>35</v>
      </c>
      <c r="J45" s="216"/>
      <c r="K45" s="216"/>
    </row>
    <row r="46" spans="1:11" s="237" customFormat="1">
      <c r="A46" s="247">
        <f t="shared" si="0"/>
        <v>36</v>
      </c>
      <c r="B46" s="248"/>
      <c r="D46" s="276"/>
      <c r="E46" s="276"/>
      <c r="F46" s="276"/>
      <c r="G46" s="256"/>
      <c r="H46" s="247">
        <f t="shared" si="2"/>
        <v>36</v>
      </c>
      <c r="J46" s="908"/>
      <c r="K46" s="216"/>
    </row>
    <row r="47" spans="1:11" s="237" customFormat="1" ht="16" thickBot="1">
      <c r="A47" s="247">
        <f t="shared" si="0"/>
        <v>37</v>
      </c>
      <c r="B47" s="248"/>
      <c r="C47" s="237" t="s">
        <v>512</v>
      </c>
      <c r="D47" s="264">
        <f>D43+D45</f>
        <v>124645.76304000001</v>
      </c>
      <c r="E47" s="264">
        <f>E43+E45</f>
        <v>84678.304000000004</v>
      </c>
      <c r="F47" s="264">
        <f>F43+F45</f>
        <v>39967.459040000002</v>
      </c>
      <c r="G47" s="256" t="str">
        <f>"Line "&amp;A43&amp;" + Line "&amp;A45</f>
        <v>Line 33 + Line 35</v>
      </c>
      <c r="H47" s="247">
        <f t="shared" si="2"/>
        <v>37</v>
      </c>
      <c r="J47" s="464"/>
      <c r="K47" s="216"/>
    </row>
    <row r="48" spans="1:11" ht="16.5" thickTop="1" thickBot="1">
      <c r="A48" s="247">
        <f t="shared" si="0"/>
        <v>38</v>
      </c>
      <c r="B48" s="265"/>
      <c r="C48" s="266"/>
      <c r="D48" s="267"/>
      <c r="E48" s="268"/>
      <c r="F48" s="267"/>
      <c r="G48" s="269"/>
      <c r="H48" s="247">
        <f t="shared" si="2"/>
        <v>38</v>
      </c>
      <c r="J48" s="664"/>
    </row>
    <row r="49" spans="1:10">
      <c r="A49" s="247">
        <f t="shared" si="0"/>
        <v>39</v>
      </c>
      <c r="B49" s="270"/>
      <c r="D49" s="271"/>
      <c r="E49" s="262"/>
      <c r="F49" s="271"/>
      <c r="G49" s="272"/>
      <c r="H49" s="247">
        <f t="shared" si="2"/>
        <v>39</v>
      </c>
      <c r="J49" s="664"/>
    </row>
    <row r="50" spans="1:10" s="3" customFormat="1">
      <c r="A50" s="247">
        <f t="shared" si="0"/>
        <v>40</v>
      </c>
      <c r="B50" s="278" t="s">
        <v>513</v>
      </c>
      <c r="D50" s="10"/>
      <c r="E50" s="9"/>
      <c r="F50" s="10"/>
      <c r="G50" s="283"/>
      <c r="H50" s="247">
        <f t="shared" si="2"/>
        <v>40</v>
      </c>
      <c r="J50" s="1206"/>
    </row>
    <row r="51" spans="1:10" s="3" customFormat="1">
      <c r="A51" s="247">
        <f t="shared" si="0"/>
        <v>41</v>
      </c>
      <c r="B51" s="277" t="s">
        <v>514</v>
      </c>
      <c r="C51" s="3" t="s">
        <v>515</v>
      </c>
      <c r="D51" s="928"/>
      <c r="E51" s="908">
        <v>115.52</v>
      </c>
      <c r="F51" s="10"/>
      <c r="G51" s="283"/>
      <c r="H51" s="247">
        <f t="shared" si="2"/>
        <v>41</v>
      </c>
      <c r="J51" s="1206"/>
    </row>
    <row r="52" spans="1:10" s="3" customFormat="1">
      <c r="A52" s="247">
        <f t="shared" si="0"/>
        <v>42</v>
      </c>
      <c r="B52" s="277">
        <v>561.4</v>
      </c>
      <c r="C52" s="3" t="s">
        <v>516</v>
      </c>
      <c r="D52" s="10"/>
      <c r="E52" s="8">
        <v>2767.4720000000002</v>
      </c>
      <c r="F52" s="761"/>
      <c r="G52" s="283"/>
      <c r="H52" s="247">
        <f t="shared" si="2"/>
        <v>42</v>
      </c>
      <c r="J52" s="701"/>
    </row>
    <row r="53" spans="1:10" s="3" customFormat="1">
      <c r="A53" s="247">
        <f t="shared" si="0"/>
        <v>43</v>
      </c>
      <c r="B53" s="277">
        <v>561.79999999999995</v>
      </c>
      <c r="C53" s="3" t="s">
        <v>517</v>
      </c>
      <c r="D53" s="10"/>
      <c r="E53" s="8">
        <v>1440.5550000000001</v>
      </c>
      <c r="F53" s="761"/>
      <c r="G53" s="283"/>
      <c r="H53" s="247">
        <f t="shared" si="2"/>
        <v>43</v>
      </c>
      <c r="J53" s="736"/>
    </row>
    <row r="54" spans="1:10" s="3" customFormat="1" ht="18.5">
      <c r="A54" s="247">
        <f t="shared" si="0"/>
        <v>44</v>
      </c>
      <c r="B54" s="277">
        <v>562</v>
      </c>
      <c r="C54" s="3" t="s">
        <v>494</v>
      </c>
      <c r="D54" s="10"/>
      <c r="E54" s="8">
        <f>D20</f>
        <v>12718.573</v>
      </c>
      <c r="F54" s="761"/>
      <c r="G54" s="283"/>
      <c r="H54" s="247">
        <f t="shared" si="2"/>
        <v>44</v>
      </c>
      <c r="I54" s="702"/>
      <c r="J54" s="736"/>
    </row>
    <row r="55" spans="1:10" s="3" customFormat="1" ht="18.5">
      <c r="A55" s="247">
        <f t="shared" si="0"/>
        <v>45</v>
      </c>
      <c r="B55" s="277">
        <v>563</v>
      </c>
      <c r="C55" s="3" t="s">
        <v>912</v>
      </c>
      <c r="D55" s="10"/>
      <c r="E55" s="8">
        <f>D21</f>
        <v>10371.396000000001</v>
      </c>
      <c r="F55" s="761"/>
      <c r="G55" s="283"/>
      <c r="H55" s="247">
        <f t="shared" si="2"/>
        <v>45</v>
      </c>
      <c r="J55" s="736"/>
    </row>
    <row r="56" spans="1:10" s="3" customFormat="1">
      <c r="A56" s="247">
        <f t="shared" si="0"/>
        <v>46</v>
      </c>
      <c r="B56" s="277">
        <v>565</v>
      </c>
      <c r="C56" s="3" t="s">
        <v>518</v>
      </c>
      <c r="D56" s="10"/>
      <c r="E56" s="8">
        <v>0</v>
      </c>
      <c r="F56" s="761"/>
      <c r="G56" s="283"/>
      <c r="H56" s="247">
        <f t="shared" si="2"/>
        <v>46</v>
      </c>
      <c r="I56" s="702"/>
      <c r="J56" s="701"/>
    </row>
    <row r="57" spans="1:10" s="3" customFormat="1">
      <c r="A57" s="247">
        <f t="shared" si="0"/>
        <v>47</v>
      </c>
      <c r="B57" s="277">
        <v>566</v>
      </c>
      <c r="C57" s="3" t="s">
        <v>519</v>
      </c>
      <c r="D57" s="10"/>
      <c r="E57" s="8"/>
      <c r="F57" s="10"/>
      <c r="G57" s="283"/>
      <c r="H57" s="247">
        <f t="shared" si="2"/>
        <v>47</v>
      </c>
      <c r="I57" s="702"/>
    </row>
    <row r="58" spans="1:10" s="3" customFormat="1">
      <c r="A58" s="247">
        <f t="shared" si="0"/>
        <v>48</v>
      </c>
      <c r="B58" s="279"/>
      <c r="C58" s="3" t="s">
        <v>520</v>
      </c>
      <c r="D58" s="1226">
        <v>0</v>
      </c>
      <c r="E58" s="8"/>
      <c r="F58" s="10"/>
      <c r="G58" s="283"/>
      <c r="H58" s="247">
        <f t="shared" si="2"/>
        <v>48</v>
      </c>
      <c r="I58" s="702"/>
    </row>
    <row r="59" spans="1:10" s="3" customFormat="1">
      <c r="A59" s="247">
        <f t="shared" si="0"/>
        <v>49</v>
      </c>
      <c r="B59" s="279"/>
      <c r="C59" s="3" t="s">
        <v>521</v>
      </c>
      <c r="D59" s="8">
        <v>5.7439999999999998</v>
      </c>
      <c r="E59" s="8"/>
      <c r="F59" s="10"/>
      <c r="G59" s="283"/>
      <c r="H59" s="247">
        <f t="shared" si="2"/>
        <v>49</v>
      </c>
      <c r="I59" s="702"/>
      <c r="J59" s="702"/>
    </row>
    <row r="60" spans="1:10" s="3" customFormat="1">
      <c r="A60" s="247">
        <f t="shared" si="0"/>
        <v>50</v>
      </c>
      <c r="B60" s="279"/>
      <c r="C60" s="3" t="s">
        <v>522</v>
      </c>
      <c r="D60" s="8">
        <v>850.52300000000002</v>
      </c>
      <c r="E60" s="8"/>
      <c r="F60" s="10"/>
      <c r="G60" s="283"/>
      <c r="H60" s="247">
        <f t="shared" si="2"/>
        <v>50</v>
      </c>
      <c r="I60" s="702"/>
    </row>
    <row r="61" spans="1:10" s="3" customFormat="1">
      <c r="A61" s="247">
        <f t="shared" si="0"/>
        <v>51</v>
      </c>
      <c r="B61" s="279"/>
      <c r="C61" s="3" t="s">
        <v>523</v>
      </c>
      <c r="D61" s="8">
        <v>249.04400000000001</v>
      </c>
      <c r="E61" s="8"/>
      <c r="F61" s="10"/>
      <c r="G61" s="283"/>
      <c r="H61" s="247">
        <f t="shared" si="2"/>
        <v>51</v>
      </c>
      <c r="J61" s="701"/>
    </row>
    <row r="62" spans="1:10" s="3" customFormat="1">
      <c r="A62" s="247">
        <f t="shared" si="0"/>
        <v>52</v>
      </c>
      <c r="B62" s="279"/>
      <c r="C62" s="3" t="s">
        <v>524</v>
      </c>
      <c r="D62" s="8">
        <v>609.37900000000002</v>
      </c>
      <c r="F62" s="761"/>
      <c r="G62" s="283"/>
      <c r="H62" s="247">
        <f t="shared" si="2"/>
        <v>52</v>
      </c>
      <c r="I62" s="701"/>
      <c r="J62" s="1206"/>
    </row>
    <row r="63" spans="1:10" s="3" customFormat="1" ht="18">
      <c r="A63" s="247">
        <f t="shared" si="0"/>
        <v>53</v>
      </c>
      <c r="B63" s="279"/>
      <c r="C63" s="216" t="s">
        <v>1034</v>
      </c>
      <c r="D63" s="1271">
        <v>1166.7760000000001</v>
      </c>
      <c r="E63" s="702">
        <f>SUM(D58:D63)</f>
        <v>2881.4660000000003</v>
      </c>
      <c r="F63" s="761"/>
      <c r="G63" s="283"/>
      <c r="H63" s="247">
        <f t="shared" si="2"/>
        <v>53</v>
      </c>
      <c r="I63" s="701"/>
      <c r="J63" s="1206"/>
    </row>
    <row r="64" spans="1:10" s="3" customFormat="1" ht="18.5">
      <c r="A64" s="247">
        <f t="shared" si="0"/>
        <v>54</v>
      </c>
      <c r="B64" s="277">
        <v>570</v>
      </c>
      <c r="C64" s="61" t="s">
        <v>525</v>
      </c>
      <c r="D64" s="8"/>
      <c r="E64" s="257">
        <f>D36</f>
        <v>18953.580999999998</v>
      </c>
      <c r="F64" s="761"/>
      <c r="G64" s="283"/>
      <c r="H64" s="247">
        <f t="shared" si="2"/>
        <v>54</v>
      </c>
      <c r="I64" s="701"/>
      <c r="J64" s="1206"/>
    </row>
    <row r="65" spans="1:10" s="3" customFormat="1" ht="18.5">
      <c r="A65" s="247">
        <f t="shared" si="0"/>
        <v>55</v>
      </c>
      <c r="B65" s="277">
        <v>571</v>
      </c>
      <c r="C65" s="61" t="s">
        <v>526</v>
      </c>
      <c r="D65" s="8"/>
      <c r="E65" s="257">
        <f t="shared" ref="E65:E66" si="6">D37</f>
        <v>33837.959000000003</v>
      </c>
      <c r="F65" s="761"/>
      <c r="G65" s="283"/>
      <c r="H65" s="247">
        <f t="shared" si="2"/>
        <v>55</v>
      </c>
      <c r="I65" s="701"/>
      <c r="J65" s="1206"/>
    </row>
    <row r="66" spans="1:10" s="3" customFormat="1" ht="18.5">
      <c r="A66" s="247">
        <f t="shared" si="0"/>
        <v>56</v>
      </c>
      <c r="B66" s="277">
        <v>572</v>
      </c>
      <c r="C66" s="1227" t="s">
        <v>507</v>
      </c>
      <c r="D66" s="8"/>
      <c r="E66" s="257">
        <f t="shared" si="6"/>
        <v>1591.7819999999999</v>
      </c>
      <c r="F66" s="761"/>
      <c r="G66" s="283"/>
      <c r="H66" s="247">
        <f t="shared" si="2"/>
        <v>56</v>
      </c>
      <c r="I66" s="701"/>
      <c r="J66" s="1206"/>
    </row>
    <row r="67" spans="1:10" s="3" customFormat="1">
      <c r="A67" s="247">
        <f t="shared" si="0"/>
        <v>57</v>
      </c>
      <c r="B67" s="280"/>
      <c r="D67" s="10"/>
      <c r="E67" s="995"/>
      <c r="F67" s="10"/>
      <c r="G67" s="283"/>
      <c r="H67" s="247">
        <f t="shared" si="2"/>
        <v>57</v>
      </c>
      <c r="J67" s="702"/>
    </row>
    <row r="68" spans="1:10" s="3" customFormat="1" ht="16" thickBot="1">
      <c r="A68" s="247">
        <f t="shared" si="0"/>
        <v>58</v>
      </c>
      <c r="B68" s="281"/>
      <c r="C68" s="589" t="s">
        <v>527</v>
      </c>
      <c r="D68" s="10"/>
      <c r="E68" s="330">
        <f>SUM(E51:E66)</f>
        <v>84678.304000000004</v>
      </c>
      <c r="F68" s="10"/>
      <c r="G68" s="283"/>
      <c r="H68" s="247">
        <f t="shared" si="2"/>
        <v>58</v>
      </c>
      <c r="J68" s="701"/>
    </row>
    <row r="69" spans="1:10" s="3" customFormat="1" ht="16" thickTop="1">
      <c r="A69" s="247">
        <f t="shared" si="0"/>
        <v>59</v>
      </c>
      <c r="B69" s="281"/>
      <c r="C69" s="61"/>
      <c r="D69" s="10"/>
      <c r="E69" s="108"/>
      <c r="F69" s="10"/>
      <c r="G69" s="283"/>
      <c r="H69" s="247">
        <f t="shared" si="2"/>
        <v>59</v>
      </c>
      <c r="J69" s="702"/>
    </row>
    <row r="70" spans="1:10" s="3" customFormat="1" ht="18.5">
      <c r="A70" s="247">
        <f t="shared" si="0"/>
        <v>60</v>
      </c>
      <c r="B70" s="282">
        <v>1</v>
      </c>
      <c r="C70" s="61" t="s">
        <v>528</v>
      </c>
      <c r="D70" s="10"/>
      <c r="E70" s="12"/>
      <c r="F70" s="10"/>
      <c r="G70" s="283"/>
      <c r="H70" s="247">
        <f t="shared" si="2"/>
        <v>60</v>
      </c>
    </row>
    <row r="71" spans="1:10" s="3" customFormat="1" ht="18.5">
      <c r="A71" s="247">
        <f t="shared" si="0"/>
        <v>61</v>
      </c>
      <c r="B71" s="282"/>
      <c r="C71" s="61" t="s">
        <v>529</v>
      </c>
      <c r="D71" s="10"/>
      <c r="E71" s="12"/>
      <c r="F71" s="10"/>
      <c r="G71" s="283"/>
      <c r="H71" s="247">
        <f t="shared" si="2"/>
        <v>61</v>
      </c>
    </row>
    <row r="72" spans="1:10" s="3" customFormat="1" ht="18.5">
      <c r="A72" s="247">
        <f t="shared" si="0"/>
        <v>62</v>
      </c>
      <c r="B72" s="282">
        <v>2</v>
      </c>
      <c r="C72" s="61" t="s">
        <v>530</v>
      </c>
      <c r="E72" s="12"/>
      <c r="G72" s="283"/>
      <c r="H72" s="247">
        <f t="shared" si="2"/>
        <v>62</v>
      </c>
    </row>
    <row r="73" spans="1:10" s="3" customFormat="1" ht="18.5">
      <c r="A73" s="247">
        <f t="shared" si="0"/>
        <v>63</v>
      </c>
      <c r="B73" s="282">
        <v>3</v>
      </c>
      <c r="C73" s="61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2023, which is added back to derive Total Adjusted Electric</v>
      </c>
      <c r="E73" s="12"/>
      <c r="G73" s="283"/>
      <c r="H73" s="247">
        <f t="shared" si="2"/>
        <v>63</v>
      </c>
    </row>
    <row r="74" spans="1:10" s="3" customFormat="1" ht="18.5">
      <c r="A74" s="247">
        <f t="shared" si="0"/>
        <v>64</v>
      </c>
      <c r="B74" s="282"/>
      <c r="C74" s="61" t="s">
        <v>531</v>
      </c>
      <c r="E74" s="12"/>
      <c r="G74" s="283"/>
      <c r="H74" s="247">
        <f>H73+1</f>
        <v>64</v>
      </c>
    </row>
    <row r="75" spans="1:10" s="3" customFormat="1" ht="18.5">
      <c r="A75" s="247">
        <f t="shared" si="0"/>
        <v>65</v>
      </c>
      <c r="B75" s="282">
        <v>4</v>
      </c>
      <c r="C75" s="61" t="s">
        <v>1045</v>
      </c>
      <c r="E75" s="12"/>
      <c r="G75" s="283"/>
      <c r="H75" s="247">
        <f t="shared" ref="H75:H76" si="7">H74+1</f>
        <v>65</v>
      </c>
    </row>
    <row r="76" spans="1:10" ht="16" thickBot="1">
      <c r="A76" s="247">
        <f t="shared" si="0"/>
        <v>66</v>
      </c>
      <c r="B76" s="273"/>
      <c r="C76" s="266"/>
      <c r="D76" s="266"/>
      <c r="E76" s="274"/>
      <c r="F76" s="266"/>
      <c r="G76" s="269"/>
      <c r="H76" s="247">
        <f t="shared" si="7"/>
        <v>66</v>
      </c>
    </row>
    <row r="77" spans="1:10">
      <c r="A77" s="247"/>
      <c r="B77" s="275"/>
    </row>
    <row r="78" spans="1:10" ht="18">
      <c r="A78" s="247"/>
      <c r="B78" s="135"/>
      <c r="C78" s="3"/>
      <c r="D78" s="63"/>
      <c r="E78" s="63"/>
      <c r="F78" s="63"/>
    </row>
    <row r="79" spans="1:10" ht="18">
      <c r="A79" s="247"/>
      <c r="B79" s="135"/>
      <c r="C79" s="16"/>
      <c r="D79" s="63"/>
      <c r="E79" s="63"/>
      <c r="F79" s="63"/>
    </row>
    <row r="80" spans="1:10" ht="18">
      <c r="A80" s="247"/>
      <c r="B80" s="135"/>
      <c r="C80" s="16"/>
      <c r="D80" s="63"/>
      <c r="E80" s="63"/>
      <c r="F80" s="63"/>
    </row>
    <row r="81" spans="1:5">
      <c r="A81" s="247"/>
      <c r="B81" s="275"/>
    </row>
    <row r="82" spans="1:5">
      <c r="A82" s="247"/>
      <c r="B82" s="275"/>
    </row>
    <row r="83" spans="1:5">
      <c r="A83" s="247"/>
      <c r="B83" s="275"/>
    </row>
    <row r="84" spans="1:5">
      <c r="A84" s="247"/>
      <c r="B84" s="275"/>
    </row>
    <row r="85" spans="1:5">
      <c r="A85" s="247"/>
      <c r="B85" s="275"/>
    </row>
    <row r="86" spans="1:5">
      <c r="A86" s="247"/>
      <c r="B86" s="275"/>
    </row>
    <row r="87" spans="1:5">
      <c r="A87" s="247"/>
      <c r="B87" s="275"/>
    </row>
    <row r="88" spans="1:5">
      <c r="A88" s="247"/>
      <c r="B88" s="275"/>
    </row>
    <row r="89" spans="1:5">
      <c r="A89" s="247"/>
      <c r="B89" s="275"/>
    </row>
    <row r="90" spans="1:5">
      <c r="A90" s="247"/>
      <c r="B90" s="275"/>
      <c r="E90" s="216"/>
    </row>
    <row r="91" spans="1:5">
      <c r="A91" s="247"/>
      <c r="B91" s="275"/>
      <c r="E91" s="216"/>
    </row>
    <row r="92" spans="1:5">
      <c r="A92" s="247"/>
      <c r="B92" s="275"/>
      <c r="E92" s="216"/>
    </row>
    <row r="93" spans="1:5">
      <c r="A93" s="247"/>
      <c r="B93" s="275"/>
      <c r="E93" s="216"/>
    </row>
    <row r="94" spans="1:5">
      <c r="A94" s="247"/>
      <c r="B94" s="275"/>
      <c r="E94" s="216"/>
    </row>
    <row r="95" spans="1:5">
      <c r="A95" s="247"/>
      <c r="B95" s="275"/>
      <c r="E95" s="216"/>
    </row>
    <row r="96" spans="1:5">
      <c r="A96" s="247"/>
      <c r="B96" s="275"/>
      <c r="E96" s="216"/>
    </row>
    <row r="97" spans="1:5">
      <c r="A97" s="247"/>
      <c r="B97" s="275"/>
      <c r="E97" s="216"/>
    </row>
    <row r="98" spans="1:5">
      <c r="A98" s="247"/>
      <c r="B98" s="275"/>
      <c r="E98" s="216"/>
    </row>
    <row r="99" spans="1:5">
      <c r="A99" s="247"/>
      <c r="B99" s="275"/>
      <c r="E99" s="216"/>
    </row>
    <row r="100" spans="1:5">
      <c r="A100" s="247"/>
      <c r="B100" s="275"/>
      <c r="E100" s="216"/>
    </row>
    <row r="101" spans="1:5">
      <c r="A101" s="247"/>
      <c r="B101" s="275"/>
      <c r="E101" s="216"/>
    </row>
    <row r="102" spans="1:5">
      <c r="A102" s="247"/>
      <c r="B102" s="275"/>
      <c r="E102" s="216"/>
    </row>
    <row r="103" spans="1:5">
      <c r="A103" s="247"/>
      <c r="B103" s="275"/>
      <c r="E103" s="216"/>
    </row>
    <row r="104" spans="1:5">
      <c r="B104" s="275"/>
      <c r="E104" s="216"/>
    </row>
    <row r="105" spans="1:5">
      <c r="B105" s="275"/>
      <c r="E105" s="216"/>
    </row>
    <row r="106" spans="1:5">
      <c r="B106" s="275"/>
      <c r="E106" s="216"/>
    </row>
    <row r="107" spans="1:5">
      <c r="B107" s="275"/>
      <c r="E107" s="216"/>
    </row>
    <row r="108" spans="1:5">
      <c r="B108" s="275"/>
      <c r="E108" s="216"/>
    </row>
    <row r="109" spans="1:5">
      <c r="B109" s="275"/>
      <c r="E109" s="216"/>
    </row>
    <row r="110" spans="1:5">
      <c r="B110" s="275"/>
      <c r="E110" s="216"/>
    </row>
    <row r="111" spans="1:5">
      <c r="B111" s="275"/>
      <c r="E111" s="216"/>
    </row>
    <row r="112" spans="1:5">
      <c r="B112" s="275"/>
      <c r="E112" s="216"/>
    </row>
    <row r="113" spans="2:5">
      <c r="B113" s="275"/>
      <c r="E113" s="216"/>
    </row>
    <row r="114" spans="2:5">
      <c r="B114" s="275"/>
      <c r="E114" s="216"/>
    </row>
    <row r="115" spans="2:5">
      <c r="B115" s="275"/>
      <c r="E115" s="216"/>
    </row>
    <row r="116" spans="2:5">
      <c r="B116" s="275"/>
      <c r="E116" s="216"/>
    </row>
    <row r="117" spans="2:5">
      <c r="B117" s="275"/>
      <c r="E117" s="216"/>
    </row>
    <row r="118" spans="2:5">
      <c r="B118" s="275"/>
      <c r="E118" s="216"/>
    </row>
    <row r="119" spans="2:5">
      <c r="B119" s="275"/>
      <c r="E119" s="216"/>
    </row>
    <row r="120" spans="2:5">
      <c r="B120" s="275"/>
      <c r="E120" s="216"/>
    </row>
    <row r="121" spans="2:5">
      <c r="B121" s="275"/>
      <c r="E121" s="216"/>
    </row>
    <row r="122" spans="2:5">
      <c r="B122" s="275"/>
      <c r="E122" s="216"/>
    </row>
    <row r="123" spans="2:5">
      <c r="B123" s="275"/>
      <c r="E123" s="216"/>
    </row>
    <row r="124" spans="2:5">
      <c r="B124" s="275"/>
      <c r="E124" s="216"/>
    </row>
    <row r="125" spans="2:5">
      <c r="B125" s="275"/>
      <c r="E125" s="216"/>
    </row>
    <row r="126" spans="2:5">
      <c r="B126" s="275"/>
      <c r="E126" s="216"/>
    </row>
    <row r="127" spans="2:5">
      <c r="B127" s="275"/>
      <c r="E127" s="216"/>
    </row>
    <row r="128" spans="2:5">
      <c r="B128" s="275"/>
      <c r="E128" s="216"/>
    </row>
    <row r="129" spans="2:5">
      <c r="B129" s="275"/>
      <c r="E129" s="216"/>
    </row>
    <row r="130" spans="2:5">
      <c r="B130" s="275"/>
      <c r="E130" s="216"/>
    </row>
    <row r="131" spans="2:5">
      <c r="B131" s="275"/>
      <c r="E131" s="216"/>
    </row>
    <row r="132" spans="2:5">
      <c r="B132" s="275"/>
      <c r="E132" s="216"/>
    </row>
    <row r="133" spans="2:5">
      <c r="B133" s="275"/>
      <c r="E133" s="216"/>
    </row>
    <row r="134" spans="2:5">
      <c r="B134" s="275"/>
      <c r="E134" s="216"/>
    </row>
    <row r="135" spans="2:5">
      <c r="B135" s="275"/>
      <c r="E135" s="216"/>
    </row>
    <row r="136" spans="2:5">
      <c r="B136" s="275"/>
      <c r="E136" s="216"/>
    </row>
    <row r="137" spans="2:5">
      <c r="B137" s="275"/>
      <c r="E137" s="216"/>
    </row>
    <row r="138" spans="2:5">
      <c r="B138" s="275"/>
      <c r="E138" s="216"/>
    </row>
    <row r="139" spans="2:5">
      <c r="B139" s="275"/>
      <c r="E139" s="216"/>
    </row>
    <row r="140" spans="2:5">
      <c r="B140" s="275"/>
      <c r="E140" s="216"/>
    </row>
    <row r="141" spans="2:5">
      <c r="B141" s="275"/>
      <c r="E141" s="216"/>
    </row>
    <row r="142" spans="2:5">
      <c r="B142" s="275"/>
      <c r="E142" s="216"/>
    </row>
    <row r="143" spans="2:5">
      <c r="B143" s="275"/>
      <c r="E143" s="216"/>
    </row>
    <row r="144" spans="2:5">
      <c r="B144" s="275"/>
      <c r="E144" s="216"/>
    </row>
    <row r="145" spans="2:5">
      <c r="B145" s="275"/>
      <c r="E145" s="216"/>
    </row>
    <row r="146" spans="2:5">
      <c r="B146" s="275"/>
      <c r="E146" s="216"/>
    </row>
    <row r="147" spans="2:5">
      <c r="B147" s="275"/>
      <c r="E147" s="216"/>
    </row>
    <row r="148" spans="2:5">
      <c r="B148" s="275"/>
      <c r="E148" s="216"/>
    </row>
    <row r="149" spans="2:5">
      <c r="B149" s="275"/>
      <c r="E149" s="216"/>
    </row>
    <row r="150" spans="2:5">
      <c r="B150" s="275"/>
      <c r="E150" s="216"/>
    </row>
    <row r="151" spans="2:5">
      <c r="B151" s="275"/>
      <c r="E151" s="216"/>
    </row>
    <row r="152" spans="2:5">
      <c r="B152" s="275"/>
      <c r="E152" s="216"/>
    </row>
    <row r="153" spans="2:5">
      <c r="B153" s="275"/>
      <c r="E153" s="216"/>
    </row>
    <row r="154" spans="2:5">
      <c r="B154" s="275"/>
      <c r="E154" s="216"/>
    </row>
    <row r="155" spans="2:5">
      <c r="B155" s="275"/>
      <c r="E155" s="216"/>
    </row>
    <row r="156" spans="2:5">
      <c r="B156" s="275"/>
      <c r="E156" s="216"/>
    </row>
    <row r="157" spans="2:5">
      <c r="B157" s="275"/>
      <c r="E157" s="216"/>
    </row>
    <row r="158" spans="2:5">
      <c r="B158" s="275"/>
      <c r="E158" s="216"/>
    </row>
    <row r="159" spans="2:5">
      <c r="B159" s="275"/>
      <c r="E159" s="216"/>
    </row>
    <row r="160" spans="2:5">
      <c r="B160" s="275"/>
      <c r="E160" s="216"/>
    </row>
    <row r="161" spans="2:5">
      <c r="B161" s="275"/>
      <c r="E161" s="216"/>
    </row>
    <row r="162" spans="2:5">
      <c r="B162" s="275"/>
      <c r="E162" s="216"/>
    </row>
    <row r="163" spans="2:5">
      <c r="B163" s="275"/>
      <c r="E163" s="216"/>
    </row>
    <row r="164" spans="2:5">
      <c r="B164" s="275"/>
      <c r="E164" s="216"/>
    </row>
    <row r="165" spans="2:5">
      <c r="B165" s="275"/>
      <c r="E165" s="216"/>
    </row>
    <row r="166" spans="2:5">
      <c r="B166" s="275"/>
      <c r="E166" s="216"/>
    </row>
    <row r="167" spans="2:5">
      <c r="B167" s="275"/>
      <c r="E167" s="216"/>
    </row>
    <row r="168" spans="2:5">
      <c r="B168" s="275"/>
      <c r="E168" s="216"/>
    </row>
    <row r="169" spans="2:5">
      <c r="B169" s="275"/>
      <c r="E169" s="216"/>
    </row>
    <row r="170" spans="2:5">
      <c r="B170" s="275"/>
      <c r="E170" s="216"/>
    </row>
    <row r="171" spans="2:5">
      <c r="B171" s="275"/>
      <c r="E171" s="216"/>
    </row>
    <row r="172" spans="2:5">
      <c r="B172" s="275"/>
      <c r="E172" s="216"/>
    </row>
    <row r="173" spans="2:5">
      <c r="B173" s="275"/>
      <c r="E173" s="216"/>
    </row>
    <row r="174" spans="2:5">
      <c r="B174" s="275"/>
      <c r="E174" s="216"/>
    </row>
    <row r="175" spans="2:5">
      <c r="B175" s="275"/>
      <c r="E175" s="216"/>
    </row>
    <row r="176" spans="2:5">
      <c r="B176" s="275"/>
      <c r="E176" s="216"/>
    </row>
    <row r="177" spans="2:5">
      <c r="B177" s="275"/>
      <c r="E177" s="216"/>
    </row>
    <row r="178" spans="2:5">
      <c r="B178" s="275"/>
      <c r="E178" s="216"/>
    </row>
    <row r="179" spans="2:5">
      <c r="B179" s="275"/>
      <c r="E179" s="216"/>
    </row>
    <row r="180" spans="2:5">
      <c r="B180" s="275"/>
      <c r="E180" s="216"/>
    </row>
    <row r="181" spans="2:5">
      <c r="B181" s="275"/>
      <c r="E181" s="216"/>
    </row>
    <row r="182" spans="2:5">
      <c r="B182" s="275"/>
      <c r="E182" s="216"/>
    </row>
    <row r="183" spans="2:5">
      <c r="B183" s="275"/>
      <c r="E183" s="216"/>
    </row>
    <row r="184" spans="2:5">
      <c r="B184" s="275"/>
      <c r="E184" s="216"/>
    </row>
    <row r="185" spans="2:5">
      <c r="B185" s="275"/>
      <c r="E185" s="216"/>
    </row>
    <row r="186" spans="2:5">
      <c r="B186" s="275"/>
      <c r="E186" s="216"/>
    </row>
    <row r="187" spans="2:5">
      <c r="B187" s="275"/>
      <c r="E187" s="216"/>
    </row>
    <row r="188" spans="2:5">
      <c r="B188" s="275"/>
      <c r="E188" s="216"/>
    </row>
    <row r="189" spans="2:5">
      <c r="B189" s="275"/>
      <c r="E189" s="216"/>
    </row>
    <row r="190" spans="2:5">
      <c r="B190" s="275"/>
      <c r="E190" s="216"/>
    </row>
    <row r="191" spans="2:5">
      <c r="B191" s="275"/>
      <c r="E191" s="216"/>
    </row>
    <row r="192" spans="2:5">
      <c r="B192" s="275"/>
      <c r="E192" s="216"/>
    </row>
    <row r="193" spans="2:5">
      <c r="B193" s="275"/>
      <c r="E193" s="216"/>
    </row>
    <row r="194" spans="2:5">
      <c r="B194" s="275"/>
      <c r="E194" s="216"/>
    </row>
    <row r="195" spans="2:5">
      <c r="B195" s="275"/>
      <c r="E195" s="216"/>
    </row>
    <row r="196" spans="2:5">
      <c r="B196" s="275"/>
      <c r="E196" s="216"/>
    </row>
    <row r="197" spans="2:5">
      <c r="B197" s="275"/>
      <c r="E197" s="216"/>
    </row>
    <row r="198" spans="2:5">
      <c r="B198" s="275"/>
      <c r="E198" s="216"/>
    </row>
    <row r="199" spans="2:5">
      <c r="B199" s="275"/>
      <c r="E199" s="216"/>
    </row>
    <row r="200" spans="2:5">
      <c r="B200" s="275"/>
      <c r="E200" s="216"/>
    </row>
    <row r="201" spans="2:5">
      <c r="B201" s="275"/>
      <c r="E201" s="216"/>
    </row>
    <row r="202" spans="2:5">
      <c r="B202" s="275"/>
      <c r="E202" s="216"/>
    </row>
    <row r="203" spans="2:5">
      <c r="B203" s="275"/>
      <c r="E203" s="216"/>
    </row>
    <row r="204" spans="2:5">
      <c r="B204" s="275"/>
      <c r="E204" s="216"/>
    </row>
    <row r="205" spans="2:5">
      <c r="B205" s="275"/>
      <c r="E205" s="216"/>
    </row>
    <row r="206" spans="2:5">
      <c r="B206" s="275"/>
      <c r="E206" s="216"/>
    </row>
    <row r="207" spans="2:5">
      <c r="B207" s="275"/>
      <c r="E207" s="216"/>
    </row>
    <row r="208" spans="2:5">
      <c r="B208" s="275"/>
      <c r="E208" s="216"/>
    </row>
    <row r="209" spans="2:5">
      <c r="B209" s="275"/>
      <c r="E209" s="216"/>
    </row>
    <row r="210" spans="2:5">
      <c r="B210" s="275"/>
      <c r="E210" s="216"/>
    </row>
    <row r="211" spans="2:5">
      <c r="B211" s="275"/>
      <c r="E211" s="216"/>
    </row>
    <row r="212" spans="2:5">
      <c r="B212" s="275"/>
      <c r="E212" s="216"/>
    </row>
    <row r="213" spans="2:5">
      <c r="B213" s="275"/>
      <c r="E213" s="216"/>
    </row>
    <row r="214" spans="2:5">
      <c r="B214" s="275"/>
      <c r="E214" s="216"/>
    </row>
    <row r="215" spans="2:5">
      <c r="B215" s="275"/>
      <c r="E215" s="216"/>
    </row>
    <row r="216" spans="2:5">
      <c r="B216" s="275"/>
      <c r="E216" s="216"/>
    </row>
    <row r="217" spans="2:5">
      <c r="B217" s="275"/>
      <c r="E217" s="216"/>
    </row>
    <row r="218" spans="2:5">
      <c r="B218" s="275"/>
      <c r="E218" s="216"/>
    </row>
    <row r="219" spans="2:5">
      <c r="B219" s="275"/>
      <c r="E219" s="216"/>
    </row>
    <row r="220" spans="2:5">
      <c r="B220" s="275"/>
      <c r="E220" s="216"/>
    </row>
    <row r="221" spans="2:5">
      <c r="B221" s="275"/>
      <c r="E221" s="216"/>
    </row>
    <row r="222" spans="2:5">
      <c r="B222" s="275"/>
      <c r="E222" s="216"/>
    </row>
    <row r="223" spans="2:5">
      <c r="B223" s="275"/>
      <c r="E223" s="216"/>
    </row>
    <row r="224" spans="2:5">
      <c r="B224" s="275"/>
      <c r="E224" s="216"/>
    </row>
    <row r="225" spans="2:5">
      <c r="B225" s="275"/>
      <c r="E225" s="216"/>
    </row>
    <row r="226" spans="2:5">
      <c r="B226" s="275"/>
      <c r="E226" s="216"/>
    </row>
    <row r="227" spans="2:5">
      <c r="B227" s="275"/>
      <c r="E227" s="216"/>
    </row>
    <row r="228" spans="2:5">
      <c r="B228" s="275"/>
      <c r="E228" s="216"/>
    </row>
    <row r="229" spans="2:5">
      <c r="B229" s="275"/>
      <c r="E229" s="216"/>
    </row>
    <row r="230" spans="2:5">
      <c r="B230" s="275"/>
      <c r="E230" s="216"/>
    </row>
    <row r="231" spans="2:5">
      <c r="B231" s="275"/>
      <c r="E231" s="216"/>
    </row>
    <row r="232" spans="2:5">
      <c r="B232" s="275"/>
      <c r="E232" s="216"/>
    </row>
    <row r="233" spans="2:5">
      <c r="B233" s="275"/>
      <c r="E233" s="216"/>
    </row>
    <row r="234" spans="2:5">
      <c r="B234" s="275"/>
      <c r="E234" s="216"/>
    </row>
    <row r="235" spans="2:5">
      <c r="B235" s="275"/>
      <c r="E235" s="216"/>
    </row>
    <row r="236" spans="2:5">
      <c r="B236" s="275"/>
      <c r="E236" s="216"/>
    </row>
    <row r="237" spans="2:5">
      <c r="B237" s="275"/>
      <c r="E237" s="216"/>
    </row>
    <row r="238" spans="2:5">
      <c r="B238" s="275"/>
      <c r="E238" s="216"/>
    </row>
    <row r="239" spans="2:5">
      <c r="B239" s="275"/>
      <c r="E239" s="216"/>
    </row>
    <row r="240" spans="2:5">
      <c r="B240" s="275"/>
      <c r="E240" s="216"/>
    </row>
    <row r="241" spans="2:5">
      <c r="B241" s="275"/>
      <c r="E241" s="216"/>
    </row>
    <row r="242" spans="2:5">
      <c r="B242" s="275"/>
      <c r="E242" s="216"/>
    </row>
    <row r="243" spans="2:5">
      <c r="B243" s="275"/>
      <c r="E243" s="216"/>
    </row>
    <row r="244" spans="2:5">
      <c r="B244" s="275"/>
      <c r="E244" s="216"/>
    </row>
    <row r="245" spans="2:5">
      <c r="B245" s="275"/>
      <c r="E245" s="216"/>
    </row>
    <row r="246" spans="2:5">
      <c r="B246" s="275"/>
      <c r="E246" s="216"/>
    </row>
    <row r="247" spans="2:5">
      <c r="B247" s="275"/>
      <c r="E247" s="216"/>
    </row>
    <row r="248" spans="2:5">
      <c r="B248" s="275"/>
      <c r="E248" s="216"/>
    </row>
    <row r="249" spans="2:5">
      <c r="B249" s="275"/>
      <c r="E249" s="216"/>
    </row>
    <row r="250" spans="2:5">
      <c r="B250" s="275"/>
      <c r="E250" s="216"/>
    </row>
    <row r="251" spans="2:5">
      <c r="B251" s="275"/>
      <c r="E251" s="216"/>
    </row>
    <row r="252" spans="2:5">
      <c r="B252" s="275"/>
      <c r="E252" s="216"/>
    </row>
    <row r="253" spans="2:5">
      <c r="B253" s="275"/>
      <c r="E253" s="216"/>
    </row>
    <row r="254" spans="2:5">
      <c r="B254" s="275"/>
      <c r="E254" s="216"/>
    </row>
    <row r="255" spans="2:5">
      <c r="B255" s="275"/>
      <c r="E255" s="216"/>
    </row>
    <row r="256" spans="2:5">
      <c r="B256" s="275"/>
      <c r="E256" s="216"/>
    </row>
    <row r="257" spans="2:5">
      <c r="B257" s="275"/>
      <c r="E257" s="216"/>
    </row>
    <row r="258" spans="2:5">
      <c r="B258" s="275"/>
      <c r="E258" s="216"/>
    </row>
    <row r="259" spans="2:5">
      <c r="B259" s="275"/>
      <c r="E259" s="216"/>
    </row>
    <row r="260" spans="2:5">
      <c r="B260" s="275"/>
      <c r="E260" s="216"/>
    </row>
    <row r="261" spans="2:5">
      <c r="B261" s="275"/>
      <c r="E261" s="216"/>
    </row>
    <row r="262" spans="2:5">
      <c r="B262" s="275"/>
      <c r="E262" s="216"/>
    </row>
    <row r="263" spans="2:5">
      <c r="B263" s="275"/>
      <c r="E263" s="216"/>
    </row>
    <row r="264" spans="2:5">
      <c r="B264" s="275"/>
      <c r="E264" s="216"/>
    </row>
    <row r="265" spans="2:5">
      <c r="B265" s="275"/>
      <c r="E265" s="216"/>
    </row>
    <row r="266" spans="2:5">
      <c r="B266" s="275"/>
      <c r="E266" s="216"/>
    </row>
    <row r="267" spans="2:5">
      <c r="B267" s="275"/>
      <c r="E267" s="216"/>
    </row>
    <row r="268" spans="2:5">
      <c r="B268" s="275"/>
      <c r="E268" s="216"/>
    </row>
    <row r="269" spans="2:5">
      <c r="B269" s="275"/>
      <c r="E269" s="216"/>
    </row>
    <row r="270" spans="2:5">
      <c r="B270" s="275"/>
      <c r="E270" s="216"/>
    </row>
    <row r="271" spans="2:5">
      <c r="B271" s="275"/>
      <c r="E271" s="216"/>
    </row>
    <row r="272" spans="2:5">
      <c r="B272" s="275"/>
      <c r="E272" s="216"/>
    </row>
    <row r="273" spans="2:5">
      <c r="B273" s="275"/>
      <c r="E273" s="216"/>
    </row>
    <row r="274" spans="2:5">
      <c r="B274" s="275"/>
      <c r="E274" s="216"/>
    </row>
    <row r="275" spans="2:5">
      <c r="B275" s="275"/>
      <c r="E275" s="216"/>
    </row>
    <row r="276" spans="2:5">
      <c r="B276" s="275"/>
      <c r="E276" s="216"/>
    </row>
    <row r="277" spans="2:5">
      <c r="B277" s="275"/>
      <c r="E277" s="216"/>
    </row>
    <row r="278" spans="2:5">
      <c r="B278" s="275"/>
      <c r="E278" s="216"/>
    </row>
    <row r="279" spans="2:5">
      <c r="B279" s="275"/>
      <c r="E279" s="216"/>
    </row>
    <row r="280" spans="2:5">
      <c r="B280" s="275"/>
      <c r="E280" s="216"/>
    </row>
    <row r="281" spans="2:5">
      <c r="B281" s="275"/>
      <c r="E281" s="216"/>
    </row>
    <row r="282" spans="2:5">
      <c r="B282" s="275"/>
      <c r="E282" s="216"/>
    </row>
    <row r="283" spans="2:5">
      <c r="B283" s="275"/>
      <c r="E283" s="216"/>
    </row>
    <row r="284" spans="2:5">
      <c r="B284" s="275"/>
      <c r="E284" s="216"/>
    </row>
    <row r="285" spans="2:5">
      <c r="B285" s="275"/>
      <c r="E285" s="216"/>
    </row>
    <row r="286" spans="2:5">
      <c r="B286" s="275"/>
      <c r="E286" s="216"/>
    </row>
    <row r="287" spans="2:5">
      <c r="B287" s="275"/>
      <c r="E287" s="216"/>
    </row>
    <row r="288" spans="2:5">
      <c r="B288" s="275"/>
      <c r="E288" s="216"/>
    </row>
    <row r="289" spans="2:5">
      <c r="B289" s="275"/>
      <c r="E289" s="216"/>
    </row>
    <row r="290" spans="2:5">
      <c r="B290" s="275"/>
      <c r="E290" s="216"/>
    </row>
    <row r="291" spans="2:5">
      <c r="B291" s="275"/>
      <c r="E291" s="216"/>
    </row>
    <row r="292" spans="2:5">
      <c r="B292" s="275"/>
      <c r="E292" s="216"/>
    </row>
    <row r="293" spans="2:5">
      <c r="B293" s="275"/>
      <c r="E293" s="216"/>
    </row>
    <row r="294" spans="2:5">
      <c r="B294" s="275"/>
      <c r="E294" s="216"/>
    </row>
    <row r="295" spans="2:5">
      <c r="B295" s="275"/>
      <c r="E295" s="216"/>
    </row>
    <row r="296" spans="2:5">
      <c r="B296" s="275"/>
      <c r="E296" s="216"/>
    </row>
    <row r="297" spans="2:5">
      <c r="B297" s="275"/>
      <c r="E297" s="216"/>
    </row>
    <row r="298" spans="2:5">
      <c r="B298" s="275"/>
      <c r="E298" s="216"/>
    </row>
    <row r="299" spans="2:5">
      <c r="B299" s="275"/>
      <c r="E299" s="216"/>
    </row>
    <row r="300" spans="2:5">
      <c r="B300" s="275"/>
      <c r="E300" s="216"/>
    </row>
    <row r="301" spans="2:5">
      <c r="B301" s="275"/>
      <c r="E301" s="216"/>
    </row>
    <row r="302" spans="2:5">
      <c r="B302" s="275"/>
      <c r="E302" s="216"/>
    </row>
    <row r="303" spans="2:5">
      <c r="B303" s="275"/>
      <c r="E303" s="216"/>
    </row>
    <row r="304" spans="2:5">
      <c r="B304" s="275"/>
      <c r="E304" s="216"/>
    </row>
    <row r="305" spans="2:5">
      <c r="B305" s="275"/>
      <c r="E305" s="216"/>
    </row>
    <row r="306" spans="2:5">
      <c r="B306" s="275"/>
      <c r="E306" s="216"/>
    </row>
    <row r="307" spans="2:5">
      <c r="B307" s="275"/>
      <c r="E307" s="216"/>
    </row>
    <row r="308" spans="2:5">
      <c r="B308" s="275"/>
      <c r="E308" s="216"/>
    </row>
    <row r="309" spans="2:5">
      <c r="B309" s="275"/>
      <c r="E309" s="216"/>
    </row>
    <row r="310" spans="2:5">
      <c r="B310" s="275"/>
      <c r="E310" s="216"/>
    </row>
    <row r="311" spans="2:5">
      <c r="B311" s="275"/>
      <c r="E311" s="216"/>
    </row>
    <row r="312" spans="2:5">
      <c r="B312" s="275"/>
      <c r="E312" s="216"/>
    </row>
    <row r="313" spans="2:5">
      <c r="B313" s="275"/>
      <c r="E313" s="216"/>
    </row>
    <row r="314" spans="2:5">
      <c r="B314" s="275"/>
      <c r="E314" s="216"/>
    </row>
    <row r="315" spans="2:5">
      <c r="B315" s="275"/>
      <c r="E315" s="216"/>
    </row>
    <row r="316" spans="2:5">
      <c r="B316" s="275"/>
      <c r="E316" s="216"/>
    </row>
    <row r="317" spans="2:5">
      <c r="B317" s="275"/>
      <c r="E317" s="216"/>
    </row>
    <row r="318" spans="2:5">
      <c r="B318" s="275"/>
      <c r="E318" s="216"/>
    </row>
    <row r="319" spans="2:5">
      <c r="B319" s="275"/>
      <c r="E319" s="216"/>
    </row>
    <row r="320" spans="2:5">
      <c r="B320" s="275"/>
      <c r="E320" s="216"/>
    </row>
    <row r="321" spans="2:5">
      <c r="B321" s="275"/>
      <c r="E321" s="216"/>
    </row>
    <row r="322" spans="2:5">
      <c r="B322" s="275"/>
      <c r="E322" s="216"/>
    </row>
    <row r="323" spans="2:5">
      <c r="B323" s="275"/>
      <c r="E323" s="216"/>
    </row>
    <row r="324" spans="2:5">
      <c r="B324" s="275"/>
      <c r="E324" s="216"/>
    </row>
    <row r="325" spans="2:5">
      <c r="B325" s="275"/>
      <c r="E325" s="216"/>
    </row>
    <row r="326" spans="2:5">
      <c r="B326" s="275"/>
      <c r="E326" s="216"/>
    </row>
    <row r="327" spans="2:5">
      <c r="B327" s="275"/>
      <c r="E327" s="216"/>
    </row>
    <row r="328" spans="2:5">
      <c r="B328" s="275"/>
      <c r="E328" s="216"/>
    </row>
    <row r="329" spans="2:5">
      <c r="B329" s="275"/>
      <c r="E329" s="216"/>
    </row>
    <row r="330" spans="2:5">
      <c r="B330" s="275"/>
      <c r="E330" s="216"/>
    </row>
    <row r="331" spans="2:5">
      <c r="B331" s="275"/>
      <c r="E331" s="216"/>
    </row>
    <row r="332" spans="2:5">
      <c r="B332" s="275"/>
      <c r="E332" s="216"/>
    </row>
    <row r="333" spans="2:5">
      <c r="B333" s="275"/>
      <c r="E333" s="216"/>
    </row>
    <row r="334" spans="2:5">
      <c r="B334" s="275"/>
      <c r="E334" s="216"/>
    </row>
    <row r="335" spans="2:5">
      <c r="B335" s="275"/>
      <c r="E335" s="216"/>
    </row>
    <row r="336" spans="2:5">
      <c r="B336" s="275"/>
      <c r="E336" s="216"/>
    </row>
    <row r="337" spans="2:5">
      <c r="B337" s="275"/>
      <c r="E337" s="216"/>
    </row>
    <row r="338" spans="2:5">
      <c r="B338" s="275"/>
      <c r="E338" s="216"/>
    </row>
    <row r="339" spans="2:5">
      <c r="B339" s="275"/>
      <c r="E339" s="216"/>
    </row>
    <row r="340" spans="2:5">
      <c r="B340" s="275"/>
      <c r="E340" s="216"/>
    </row>
    <row r="341" spans="2:5">
      <c r="B341" s="275"/>
      <c r="E341" s="216"/>
    </row>
    <row r="342" spans="2:5">
      <c r="B342" s="275"/>
      <c r="E342" s="216"/>
    </row>
    <row r="343" spans="2:5">
      <c r="B343" s="275"/>
      <c r="E343" s="216"/>
    </row>
    <row r="344" spans="2:5">
      <c r="B344" s="275"/>
      <c r="E344" s="216"/>
    </row>
    <row r="345" spans="2:5">
      <c r="B345" s="275"/>
      <c r="E345" s="216"/>
    </row>
    <row r="346" spans="2:5">
      <c r="B346" s="275"/>
      <c r="E346" s="216"/>
    </row>
    <row r="347" spans="2:5">
      <c r="B347" s="275"/>
      <c r="E347" s="216"/>
    </row>
    <row r="348" spans="2:5">
      <c r="B348" s="275"/>
      <c r="E348" s="216"/>
    </row>
    <row r="349" spans="2:5">
      <c r="B349" s="275"/>
      <c r="E349" s="216"/>
    </row>
    <row r="350" spans="2:5">
      <c r="B350" s="275"/>
      <c r="E350" s="216"/>
    </row>
    <row r="351" spans="2:5">
      <c r="B351" s="275"/>
      <c r="E351" s="216"/>
    </row>
    <row r="352" spans="2:5">
      <c r="B352" s="275"/>
      <c r="E352" s="216"/>
    </row>
    <row r="353" spans="2:5">
      <c r="B353" s="275"/>
      <c r="E353" s="216"/>
    </row>
    <row r="354" spans="2:5">
      <c r="B354" s="275"/>
      <c r="E354" s="216"/>
    </row>
    <row r="355" spans="2:5">
      <c r="B355" s="275"/>
      <c r="E355" s="216"/>
    </row>
    <row r="356" spans="2:5">
      <c r="B356" s="275"/>
      <c r="E356" s="216"/>
    </row>
    <row r="357" spans="2:5">
      <c r="B357" s="275"/>
      <c r="E357" s="216"/>
    </row>
    <row r="358" spans="2:5">
      <c r="B358" s="275"/>
      <c r="E358" s="216"/>
    </row>
    <row r="359" spans="2:5">
      <c r="B359" s="275"/>
      <c r="E359" s="216"/>
    </row>
    <row r="360" spans="2:5">
      <c r="B360" s="275"/>
      <c r="E360" s="216"/>
    </row>
    <row r="361" spans="2:5">
      <c r="B361" s="275"/>
      <c r="E361" s="216"/>
    </row>
    <row r="362" spans="2:5">
      <c r="B362" s="275"/>
      <c r="E362" s="216"/>
    </row>
    <row r="363" spans="2:5">
      <c r="B363" s="275"/>
      <c r="E363" s="216"/>
    </row>
    <row r="364" spans="2:5">
      <c r="B364" s="275"/>
      <c r="E364" s="216"/>
    </row>
    <row r="365" spans="2:5">
      <c r="B365" s="275"/>
      <c r="E365" s="216"/>
    </row>
    <row r="366" spans="2:5">
      <c r="B366" s="275"/>
      <c r="E366" s="216"/>
    </row>
    <row r="367" spans="2:5">
      <c r="B367" s="275"/>
      <c r="E367" s="216"/>
    </row>
    <row r="368" spans="2:5">
      <c r="B368" s="275"/>
      <c r="E368" s="216"/>
    </row>
    <row r="369" spans="2:5">
      <c r="B369" s="275"/>
      <c r="E369" s="216"/>
    </row>
    <row r="370" spans="2:5">
      <c r="B370" s="275"/>
      <c r="E370" s="216"/>
    </row>
    <row r="371" spans="2:5">
      <c r="B371" s="275"/>
      <c r="E371" s="216"/>
    </row>
    <row r="372" spans="2:5">
      <c r="B372" s="275"/>
      <c r="E372" s="216"/>
    </row>
    <row r="373" spans="2:5">
      <c r="B373" s="275"/>
      <c r="E373" s="216"/>
    </row>
    <row r="374" spans="2:5">
      <c r="B374" s="275"/>
      <c r="E374" s="216"/>
    </row>
    <row r="375" spans="2:5">
      <c r="B375" s="275"/>
      <c r="E375" s="216"/>
    </row>
    <row r="376" spans="2:5">
      <c r="B376" s="275"/>
      <c r="E376" s="216"/>
    </row>
    <row r="377" spans="2:5">
      <c r="B377" s="275"/>
      <c r="E377" s="216"/>
    </row>
    <row r="378" spans="2:5">
      <c r="B378" s="275"/>
      <c r="E378" s="216"/>
    </row>
    <row r="379" spans="2:5">
      <c r="B379" s="275"/>
      <c r="E379" s="216"/>
    </row>
    <row r="380" spans="2:5">
      <c r="B380" s="275"/>
      <c r="E380" s="216"/>
    </row>
    <row r="381" spans="2:5">
      <c r="B381" s="275"/>
      <c r="E381" s="216"/>
    </row>
    <row r="382" spans="2:5">
      <c r="B382" s="275"/>
      <c r="E382" s="216"/>
    </row>
    <row r="383" spans="2:5">
      <c r="B383" s="275"/>
      <c r="E383" s="216"/>
    </row>
    <row r="384" spans="2:5">
      <c r="B384" s="275"/>
      <c r="E384" s="216"/>
    </row>
    <row r="385" spans="2:5">
      <c r="B385" s="275"/>
      <c r="E385" s="216"/>
    </row>
    <row r="386" spans="2:5">
      <c r="B386" s="275"/>
      <c r="E386" s="216"/>
    </row>
    <row r="387" spans="2:5">
      <c r="B387" s="275"/>
      <c r="E387" s="216"/>
    </row>
    <row r="388" spans="2:5">
      <c r="B388" s="275"/>
      <c r="E388" s="216"/>
    </row>
    <row r="389" spans="2:5">
      <c r="B389" s="275"/>
      <c r="E389" s="216"/>
    </row>
    <row r="390" spans="2:5">
      <c r="B390" s="275"/>
      <c r="E390" s="216"/>
    </row>
    <row r="391" spans="2:5">
      <c r="B391" s="275"/>
      <c r="E391" s="216"/>
    </row>
    <row r="392" spans="2:5">
      <c r="B392" s="275"/>
      <c r="E392" s="216"/>
    </row>
    <row r="393" spans="2:5">
      <c r="B393" s="275"/>
      <c r="E393" s="216"/>
    </row>
    <row r="394" spans="2:5">
      <c r="B394" s="275"/>
      <c r="E394" s="216"/>
    </row>
    <row r="395" spans="2:5">
      <c r="B395" s="275"/>
      <c r="E395" s="216"/>
    </row>
    <row r="396" spans="2:5">
      <c r="B396" s="275"/>
      <c r="E396" s="216"/>
    </row>
    <row r="397" spans="2:5">
      <c r="B397" s="275"/>
      <c r="E397" s="216"/>
    </row>
    <row r="398" spans="2:5">
      <c r="B398" s="275"/>
      <c r="E398" s="216"/>
    </row>
    <row r="399" spans="2:5">
      <c r="B399" s="275"/>
      <c r="E399" s="216"/>
    </row>
    <row r="400" spans="2:5">
      <c r="B400" s="275"/>
      <c r="E400" s="216"/>
    </row>
    <row r="401" spans="2:5">
      <c r="B401" s="275"/>
      <c r="E401" s="216"/>
    </row>
    <row r="402" spans="2:5">
      <c r="B402" s="275"/>
      <c r="E402" s="216"/>
    </row>
    <row r="403" spans="2:5">
      <c r="B403" s="275"/>
      <c r="E403" s="216"/>
    </row>
    <row r="404" spans="2:5">
      <c r="B404" s="275"/>
      <c r="E404" s="216"/>
    </row>
    <row r="405" spans="2:5">
      <c r="B405" s="275"/>
      <c r="E405" s="216"/>
    </row>
    <row r="406" spans="2:5">
      <c r="B406" s="275"/>
      <c r="E406" s="216"/>
    </row>
    <row r="407" spans="2:5">
      <c r="B407" s="275"/>
      <c r="E407" s="216"/>
    </row>
    <row r="408" spans="2:5">
      <c r="B408" s="275"/>
      <c r="E408" s="216"/>
    </row>
    <row r="409" spans="2:5">
      <c r="B409" s="275"/>
      <c r="E409" s="216"/>
    </row>
    <row r="410" spans="2:5">
      <c r="B410" s="275"/>
      <c r="E410" s="216"/>
    </row>
    <row r="411" spans="2:5">
      <c r="B411" s="275"/>
      <c r="E411" s="216"/>
    </row>
    <row r="412" spans="2:5">
      <c r="B412" s="275"/>
      <c r="E412" s="216"/>
    </row>
    <row r="413" spans="2:5">
      <c r="B413" s="275"/>
      <c r="E413" s="216"/>
    </row>
    <row r="414" spans="2:5">
      <c r="B414" s="275"/>
      <c r="E414" s="216"/>
    </row>
    <row r="415" spans="2:5">
      <c r="B415" s="275"/>
      <c r="E415" s="216"/>
    </row>
    <row r="416" spans="2:5">
      <c r="B416" s="275"/>
      <c r="E416" s="216"/>
    </row>
    <row r="417" spans="2:5">
      <c r="B417" s="275"/>
      <c r="E417" s="216"/>
    </row>
    <row r="418" spans="2:5">
      <c r="B418" s="275"/>
      <c r="E418" s="216"/>
    </row>
    <row r="419" spans="2:5">
      <c r="B419" s="275"/>
      <c r="E419" s="216"/>
    </row>
    <row r="420" spans="2:5">
      <c r="B420" s="275"/>
      <c r="E420" s="216"/>
    </row>
    <row r="421" spans="2:5">
      <c r="B421" s="275"/>
      <c r="E421" s="216"/>
    </row>
    <row r="422" spans="2:5">
      <c r="B422" s="275"/>
      <c r="E422" s="216"/>
    </row>
    <row r="423" spans="2:5">
      <c r="B423" s="275"/>
      <c r="E423" s="216"/>
    </row>
    <row r="424" spans="2:5">
      <c r="B424" s="275"/>
      <c r="E424" s="216"/>
    </row>
    <row r="425" spans="2:5">
      <c r="B425" s="275"/>
      <c r="E425" s="216"/>
    </row>
    <row r="426" spans="2:5">
      <c r="B426" s="275"/>
      <c r="E426" s="216"/>
    </row>
    <row r="427" spans="2:5">
      <c r="B427" s="275"/>
      <c r="E427" s="216"/>
    </row>
    <row r="428" spans="2:5">
      <c r="B428" s="275"/>
      <c r="E428" s="216"/>
    </row>
    <row r="429" spans="2:5">
      <c r="B429" s="275"/>
      <c r="E429" s="216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Roman,Regular"&amp;10&amp;A</oddFooter>
  </headerFooter>
  <customProperties>
    <customPr name="_pios_id" r:id="rId2"/>
  </customProperties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U77"/>
  <sheetViews>
    <sheetView zoomScale="80" zoomScaleNormal="80" zoomScalePageLayoutView="80" workbookViewId="0"/>
  </sheetViews>
  <sheetFormatPr defaultColWidth="9.08984375" defaultRowHeight="15.5"/>
  <cols>
    <col min="1" max="1" width="5.08984375" style="292" customWidth="1"/>
    <col min="2" max="2" width="6.54296875" style="284" customWidth="1"/>
    <col min="3" max="3" width="68.6328125" style="284" customWidth="1"/>
    <col min="4" max="5" width="16.6328125" style="284" customWidth="1"/>
    <col min="6" max="6" width="17.453125" style="284" bestFit="1" customWidth="1"/>
    <col min="7" max="7" width="43.81640625" style="284" customWidth="1"/>
    <col min="8" max="8" width="5.08984375" style="292" customWidth="1"/>
    <col min="9" max="9" width="4" style="284" customWidth="1"/>
    <col min="10" max="10" width="13.08984375" style="284" bestFit="1" customWidth="1"/>
    <col min="11" max="11" width="9.08984375" style="284"/>
    <col min="12" max="12" width="9.6328125" style="284" customWidth="1"/>
    <col min="13" max="13" width="10" style="284" customWidth="1"/>
    <col min="14" max="16384" width="9.08984375" style="284"/>
  </cols>
  <sheetData>
    <row r="2" spans="1:13">
      <c r="B2" s="1307" t="s">
        <v>0</v>
      </c>
      <c r="C2" s="1307"/>
      <c r="D2" s="1307"/>
      <c r="E2" s="1307"/>
      <c r="F2" s="1307"/>
      <c r="G2" s="1307"/>
      <c r="H2" s="286"/>
    </row>
    <row r="3" spans="1:13">
      <c r="B3" s="1307" t="s">
        <v>532</v>
      </c>
      <c r="C3" s="1307"/>
      <c r="D3" s="1307"/>
      <c r="E3" s="1307"/>
      <c r="F3" s="1307"/>
      <c r="G3" s="1307"/>
      <c r="H3" s="286"/>
    </row>
    <row r="4" spans="1:13">
      <c r="B4" s="1307" t="str">
        <f>" 12 Months Ending December 31, "&amp;Automation!$B$3</f>
        <v xml:space="preserve"> 12 Months Ending December 31, 2023</v>
      </c>
      <c r="C4" s="1307"/>
      <c r="D4" s="1307"/>
      <c r="E4" s="1307"/>
      <c r="F4" s="1307"/>
      <c r="G4" s="1307"/>
      <c r="H4" s="286"/>
    </row>
    <row r="5" spans="1:13">
      <c r="B5" s="1308" t="s">
        <v>3</v>
      </c>
      <c r="C5" s="1308"/>
      <c r="D5" s="1308"/>
      <c r="E5" s="1308"/>
      <c r="F5" s="1308"/>
      <c r="G5" s="1308"/>
      <c r="H5" s="286"/>
      <c r="K5"/>
      <c r="L5"/>
      <c r="M5"/>
    </row>
    <row r="6" spans="1:13" ht="16" thickBot="1">
      <c r="D6" s="285"/>
      <c r="E6" s="285"/>
      <c r="F6" s="285"/>
      <c r="G6" s="285"/>
      <c r="J6" s="216"/>
    </row>
    <row r="7" spans="1:13">
      <c r="A7" s="286"/>
      <c r="B7" s="287"/>
      <c r="C7" s="288"/>
      <c r="D7" s="289" t="s">
        <v>77</v>
      </c>
      <c r="E7" s="290" t="s">
        <v>78</v>
      </c>
      <c r="F7" s="244" t="s">
        <v>892</v>
      </c>
      <c r="G7" s="291"/>
      <c r="H7" s="286"/>
    </row>
    <row r="8" spans="1:13">
      <c r="A8" s="292" t="s">
        <v>4</v>
      </c>
      <c r="B8" s="293" t="s">
        <v>376</v>
      </c>
      <c r="C8" s="294"/>
      <c r="D8" s="295" t="s">
        <v>80</v>
      </c>
      <c r="E8" s="286" t="s">
        <v>479</v>
      </c>
      <c r="F8" s="295" t="s">
        <v>80</v>
      </c>
      <c r="G8" s="296"/>
      <c r="H8" s="292" t="s">
        <v>4</v>
      </c>
    </row>
    <row r="9" spans="1:13" ht="16" thickBot="1">
      <c r="A9" s="292" t="s">
        <v>5</v>
      </c>
      <c r="B9" s="297" t="s">
        <v>480</v>
      </c>
      <c r="C9" s="298" t="s">
        <v>262</v>
      </c>
      <c r="D9" s="299" t="s">
        <v>481</v>
      </c>
      <c r="E9" s="298" t="s">
        <v>482</v>
      </c>
      <c r="F9" s="299" t="s">
        <v>483</v>
      </c>
      <c r="G9" s="300" t="s">
        <v>8</v>
      </c>
      <c r="H9" s="292" t="s">
        <v>5</v>
      </c>
      <c r="I9" s="292"/>
    </row>
    <row r="10" spans="1:13">
      <c r="B10" s="301"/>
      <c r="C10" s="302" t="s">
        <v>533</v>
      </c>
      <c r="D10" s="762"/>
      <c r="E10" s="1201"/>
      <c r="F10" s="303"/>
      <c r="G10" s="304"/>
    </row>
    <row r="11" spans="1:13">
      <c r="A11" s="292">
        <v>1</v>
      </c>
      <c r="B11" s="301">
        <v>920</v>
      </c>
      <c r="C11" s="305" t="s">
        <v>534</v>
      </c>
      <c r="D11" s="176">
        <v>43017.856</v>
      </c>
      <c r="E11" s="176"/>
      <c r="F11" s="176">
        <f>D11-E11</f>
        <v>43017.856</v>
      </c>
      <c r="G11" s="250" t="s">
        <v>958</v>
      </c>
      <c r="H11" s="292">
        <f>A11</f>
        <v>1</v>
      </c>
      <c r="I11" s="284" t="s">
        <v>186</v>
      </c>
      <c r="J11" s="163"/>
    </row>
    <row r="12" spans="1:13">
      <c r="A12" s="292">
        <f t="shared" ref="A12:A57" si="0">A11+1</f>
        <v>2</v>
      </c>
      <c r="B12" s="301">
        <v>921</v>
      </c>
      <c r="C12" s="305" t="s">
        <v>535</v>
      </c>
      <c r="D12" s="178">
        <v>32003.332999999999</v>
      </c>
      <c r="E12" s="178">
        <f>E34</f>
        <v>4.7840642999999998</v>
      </c>
      <c r="F12" s="178">
        <f>D12-E12</f>
        <v>31998.548935699997</v>
      </c>
      <c r="G12" s="250" t="s">
        <v>959</v>
      </c>
      <c r="H12" s="292">
        <f t="shared" ref="H12:H57" si="1">H11+1</f>
        <v>2</v>
      </c>
      <c r="J12" s="163"/>
      <c r="K12" s="306"/>
    </row>
    <row r="13" spans="1:13">
      <c r="A13" s="292">
        <f t="shared" si="0"/>
        <v>3</v>
      </c>
      <c r="B13" s="301">
        <v>922</v>
      </c>
      <c r="C13" s="305" t="s">
        <v>536</v>
      </c>
      <c r="D13" s="178">
        <v>-13763.915000000001</v>
      </c>
      <c r="E13" s="178"/>
      <c r="F13" s="178">
        <f t="shared" ref="F13:F23" si="2">D13-E13</f>
        <v>-13763.915000000001</v>
      </c>
      <c r="G13" s="250" t="s">
        <v>960</v>
      </c>
      <c r="H13" s="292">
        <f t="shared" si="1"/>
        <v>3</v>
      </c>
      <c r="J13" s="163"/>
    </row>
    <row r="14" spans="1:13">
      <c r="A14" s="292">
        <f t="shared" si="0"/>
        <v>4</v>
      </c>
      <c r="B14" s="301">
        <v>923</v>
      </c>
      <c r="C14" s="305" t="s">
        <v>537</v>
      </c>
      <c r="D14" s="178">
        <v>106989.533</v>
      </c>
      <c r="E14" s="178">
        <f>E35</f>
        <v>-1166.7760000000001</v>
      </c>
      <c r="F14" s="178">
        <f t="shared" si="2"/>
        <v>108156.30899999999</v>
      </c>
      <c r="G14" s="250" t="s">
        <v>961</v>
      </c>
      <c r="H14" s="292">
        <f t="shared" si="1"/>
        <v>4</v>
      </c>
      <c r="J14" s="163"/>
    </row>
    <row r="15" spans="1:13">
      <c r="A15" s="292">
        <f t="shared" si="0"/>
        <v>5</v>
      </c>
      <c r="B15" s="301">
        <v>924</v>
      </c>
      <c r="C15" s="305" t="s">
        <v>538</v>
      </c>
      <c r="D15" s="178">
        <v>10584.24</v>
      </c>
      <c r="E15" s="178"/>
      <c r="F15" s="178">
        <f t="shared" si="2"/>
        <v>10584.24</v>
      </c>
      <c r="G15" s="250" t="s">
        <v>962</v>
      </c>
      <c r="H15" s="292">
        <f t="shared" si="1"/>
        <v>5</v>
      </c>
      <c r="J15" s="163"/>
    </row>
    <row r="16" spans="1:13">
      <c r="A16" s="292">
        <f t="shared" si="0"/>
        <v>6</v>
      </c>
      <c r="B16" s="301">
        <v>925</v>
      </c>
      <c r="C16" s="305" t="s">
        <v>539</v>
      </c>
      <c r="D16" s="178">
        <v>213057.13399999999</v>
      </c>
      <c r="E16" s="178">
        <f>E37</f>
        <v>382.02937231999999</v>
      </c>
      <c r="F16" s="178">
        <f t="shared" si="2"/>
        <v>212675.10462768</v>
      </c>
      <c r="G16" s="250" t="s">
        <v>963</v>
      </c>
      <c r="H16" s="292">
        <f t="shared" si="1"/>
        <v>6</v>
      </c>
      <c r="J16" s="163"/>
    </row>
    <row r="17" spans="1:10">
      <c r="A17" s="292">
        <f t="shared" si="0"/>
        <v>7</v>
      </c>
      <c r="B17" s="301">
        <v>926</v>
      </c>
      <c r="C17" s="305" t="s">
        <v>540</v>
      </c>
      <c r="D17" s="178">
        <v>63809.404999999999</v>
      </c>
      <c r="E17" s="178">
        <f>E38</f>
        <v>446.01363487000009</v>
      </c>
      <c r="F17" s="178">
        <f t="shared" si="2"/>
        <v>63363.391365129995</v>
      </c>
      <c r="G17" s="250" t="s">
        <v>964</v>
      </c>
      <c r="H17" s="292">
        <f t="shared" si="1"/>
        <v>7</v>
      </c>
      <c r="J17" s="307"/>
    </row>
    <row r="18" spans="1:10">
      <c r="A18" s="292">
        <f t="shared" si="0"/>
        <v>8</v>
      </c>
      <c r="B18" s="301">
        <v>927</v>
      </c>
      <c r="C18" s="305" t="s">
        <v>541</v>
      </c>
      <c r="D18" s="178">
        <v>112751.95299999999</v>
      </c>
      <c r="E18" s="178">
        <f>E39</f>
        <v>112751.95299999999</v>
      </c>
      <c r="F18" s="178">
        <f t="shared" si="2"/>
        <v>0</v>
      </c>
      <c r="G18" s="250" t="s">
        <v>965</v>
      </c>
      <c r="H18" s="292">
        <f t="shared" si="1"/>
        <v>8</v>
      </c>
      <c r="J18" s="307"/>
    </row>
    <row r="19" spans="1:10">
      <c r="A19" s="292">
        <f t="shared" si="0"/>
        <v>9</v>
      </c>
      <c r="B19" s="301">
        <v>928</v>
      </c>
      <c r="C19" s="305" t="s">
        <v>542</v>
      </c>
      <c r="D19" s="178">
        <v>36424.177000000003</v>
      </c>
      <c r="E19" s="178">
        <f>E44</f>
        <v>24031.955899999997</v>
      </c>
      <c r="F19" s="178">
        <f t="shared" si="2"/>
        <v>12392.221100000006</v>
      </c>
      <c r="G19" s="250" t="s">
        <v>966</v>
      </c>
      <c r="H19" s="292">
        <f t="shared" si="1"/>
        <v>9</v>
      </c>
      <c r="J19" s="307"/>
    </row>
    <row r="20" spans="1:10">
      <c r="A20" s="292">
        <f t="shared" si="0"/>
        <v>10</v>
      </c>
      <c r="B20" s="301">
        <v>929</v>
      </c>
      <c r="C20" s="305" t="s">
        <v>543</v>
      </c>
      <c r="D20" s="178">
        <v>-17216.713</v>
      </c>
      <c r="E20" s="178">
        <f>E45</f>
        <v>-3937.7277100000001</v>
      </c>
      <c r="F20" s="178">
        <f t="shared" si="2"/>
        <v>-13278.985290000001</v>
      </c>
      <c r="G20" s="250" t="s">
        <v>967</v>
      </c>
      <c r="H20" s="292">
        <f t="shared" si="1"/>
        <v>10</v>
      </c>
      <c r="J20" s="163"/>
    </row>
    <row r="21" spans="1:10">
      <c r="A21" s="292">
        <f t="shared" si="0"/>
        <v>11</v>
      </c>
      <c r="B21" s="308">
        <v>930.1</v>
      </c>
      <c r="C21" s="305" t="s">
        <v>544</v>
      </c>
      <c r="D21" s="178">
        <v>55.473999999999997</v>
      </c>
      <c r="E21" s="178">
        <f>E46</f>
        <v>55.474339999999998</v>
      </c>
      <c r="F21" s="178">
        <f t="shared" si="2"/>
        <v>-3.4000000000133923E-4</v>
      </c>
      <c r="G21" s="250" t="s">
        <v>968</v>
      </c>
      <c r="H21" s="292">
        <f t="shared" si="1"/>
        <v>11</v>
      </c>
      <c r="J21" s="163"/>
    </row>
    <row r="22" spans="1:10">
      <c r="A22" s="292">
        <f t="shared" si="0"/>
        <v>12</v>
      </c>
      <c r="B22" s="308">
        <v>930.2</v>
      </c>
      <c r="C22" s="305" t="s">
        <v>545</v>
      </c>
      <c r="D22" s="178">
        <v>2770.7689999999998</v>
      </c>
      <c r="E22" s="178">
        <f>E48</f>
        <v>1045.6107878</v>
      </c>
      <c r="F22" s="178">
        <f t="shared" si="2"/>
        <v>1725.1582121999998</v>
      </c>
      <c r="G22" s="250" t="s">
        <v>969</v>
      </c>
      <c r="H22" s="292">
        <f t="shared" si="1"/>
        <v>12</v>
      </c>
      <c r="J22" s="309"/>
    </row>
    <row r="23" spans="1:10">
      <c r="A23" s="292">
        <f t="shared" si="0"/>
        <v>13</v>
      </c>
      <c r="B23" s="301">
        <v>931</v>
      </c>
      <c r="C23" s="305" t="s">
        <v>498</v>
      </c>
      <c r="D23" s="178">
        <v>13677.632</v>
      </c>
      <c r="E23" s="178"/>
      <c r="F23" s="178">
        <f t="shared" si="2"/>
        <v>13677.632</v>
      </c>
      <c r="G23" s="250" t="s">
        <v>970</v>
      </c>
      <c r="H23" s="292">
        <f t="shared" si="1"/>
        <v>13</v>
      </c>
      <c r="J23" s="163"/>
    </row>
    <row r="24" spans="1:10">
      <c r="A24" s="292">
        <f t="shared" si="0"/>
        <v>14</v>
      </c>
      <c r="B24" s="301">
        <v>935</v>
      </c>
      <c r="C24" s="305" t="s">
        <v>546</v>
      </c>
      <c r="D24" s="992">
        <v>22833.292000000001</v>
      </c>
      <c r="E24" s="992">
        <f>E49</f>
        <v>0</v>
      </c>
      <c r="F24" s="992">
        <f>D24-E24</f>
        <v>22833.292000000001</v>
      </c>
      <c r="G24" s="1241" t="s">
        <v>971</v>
      </c>
      <c r="H24" s="292">
        <f t="shared" si="1"/>
        <v>14</v>
      </c>
      <c r="I24" s="284" t="s">
        <v>186</v>
      </c>
      <c r="J24" s="163"/>
    </row>
    <row r="25" spans="1:10">
      <c r="A25" s="292">
        <f t="shared" si="0"/>
        <v>15</v>
      </c>
      <c r="B25" s="301"/>
      <c r="D25" s="310"/>
      <c r="E25" s="310"/>
      <c r="F25" s="310"/>
      <c r="G25" s="311"/>
      <c r="H25" s="292">
        <f t="shared" si="1"/>
        <v>15</v>
      </c>
    </row>
    <row r="26" spans="1:10" ht="16" thickBot="1">
      <c r="A26" s="292">
        <f t="shared" si="0"/>
        <v>16</v>
      </c>
      <c r="B26" s="301"/>
      <c r="C26" s="294" t="s">
        <v>547</v>
      </c>
      <c r="D26" s="312">
        <f>SUM(D11:D24)</f>
        <v>626994.17000000004</v>
      </c>
      <c r="E26" s="264">
        <f>SUM(E11:E24)</f>
        <v>133613.31738928996</v>
      </c>
      <c r="F26" s="264">
        <f>SUM(F11:F24)</f>
        <v>493380.85261070996</v>
      </c>
      <c r="G26" s="313" t="str">
        <f>"Sum Lines "&amp;A11&amp;" thru "&amp;A24</f>
        <v>Sum Lines 1 thru 14</v>
      </c>
      <c r="H26" s="292">
        <f t="shared" si="1"/>
        <v>16</v>
      </c>
    </row>
    <row r="27" spans="1:10" ht="16" thickTop="1">
      <c r="A27" s="292">
        <f t="shared" si="0"/>
        <v>17</v>
      </c>
      <c r="B27" s="301"/>
      <c r="C27" s="294"/>
      <c r="D27" s="234"/>
      <c r="E27" s="151"/>
      <c r="F27" s="276"/>
      <c r="G27" s="313"/>
      <c r="H27" s="292">
        <f t="shared" si="1"/>
        <v>17</v>
      </c>
    </row>
    <row r="28" spans="1:10" ht="18">
      <c r="A28" s="292">
        <f t="shared" si="0"/>
        <v>18</v>
      </c>
      <c r="B28" s="301">
        <v>413</v>
      </c>
      <c r="C28" s="284" t="s">
        <v>548</v>
      </c>
      <c r="D28" s="992">
        <v>259.80552</v>
      </c>
      <c r="E28" s="996">
        <v>0</v>
      </c>
      <c r="F28" s="992">
        <f>D28-E28</f>
        <v>259.80552</v>
      </c>
      <c r="G28" s="313"/>
      <c r="H28" s="292">
        <f t="shared" si="1"/>
        <v>18</v>
      </c>
    </row>
    <row r="29" spans="1:10">
      <c r="A29" s="292">
        <f t="shared" si="0"/>
        <v>19</v>
      </c>
      <c r="B29" s="301"/>
      <c r="C29" s="294"/>
      <c r="D29" s="234"/>
      <c r="E29" s="151"/>
      <c r="F29" s="276"/>
      <c r="G29" s="313"/>
      <c r="H29" s="292">
        <f t="shared" si="1"/>
        <v>19</v>
      </c>
    </row>
    <row r="30" spans="1:10" ht="16" thickBot="1">
      <c r="A30" s="292">
        <f t="shared" si="0"/>
        <v>20</v>
      </c>
      <c r="B30" s="301"/>
      <c r="C30" s="294" t="s">
        <v>549</v>
      </c>
      <c r="D30" s="312">
        <f>D26+D28</f>
        <v>627253.97552000009</v>
      </c>
      <c r="E30" s="151">
        <f>E26+E28</f>
        <v>133613.31738928996</v>
      </c>
      <c r="F30" s="276">
        <f>F26+F28</f>
        <v>493640.65813070996</v>
      </c>
      <c r="G30" s="313" t="str">
        <f>"Line "&amp;A26&amp;" + Line "&amp;A28</f>
        <v>Line 16 + Line 18</v>
      </c>
      <c r="H30" s="292">
        <f t="shared" si="1"/>
        <v>20</v>
      </c>
    </row>
    <row r="31" spans="1:10" ht="16.5" thickTop="1" thickBot="1">
      <c r="A31" s="292">
        <f t="shared" si="0"/>
        <v>21</v>
      </c>
      <c r="B31" s="314"/>
      <c r="C31" s="285"/>
      <c r="D31" s="315"/>
      <c r="E31" s="316"/>
      <c r="F31" s="316"/>
      <c r="G31" s="317"/>
      <c r="H31" s="292">
        <f t="shared" si="1"/>
        <v>21</v>
      </c>
    </row>
    <row r="32" spans="1:10">
      <c r="A32" s="292">
        <f t="shared" si="0"/>
        <v>22</v>
      </c>
      <c r="B32" s="318"/>
      <c r="D32" s="319"/>
      <c r="E32" s="320"/>
      <c r="F32" s="319"/>
      <c r="G32" s="311"/>
      <c r="H32" s="292">
        <f t="shared" si="1"/>
        <v>22</v>
      </c>
    </row>
    <row r="33" spans="1:21">
      <c r="A33" s="292">
        <f t="shared" si="0"/>
        <v>23</v>
      </c>
      <c r="B33" s="321" t="s">
        <v>550</v>
      </c>
      <c r="C33" s="292"/>
      <c r="D33" s="292"/>
      <c r="E33" s="292"/>
      <c r="F33" s="292"/>
      <c r="G33" s="311"/>
      <c r="H33" s="292">
        <f t="shared" si="1"/>
        <v>23</v>
      </c>
    </row>
    <row r="34" spans="1:21">
      <c r="A34" s="292">
        <f t="shared" si="0"/>
        <v>24</v>
      </c>
      <c r="B34" s="1228">
        <v>921</v>
      </c>
      <c r="C34" s="305" t="s">
        <v>916</v>
      </c>
      <c r="D34" s="1229"/>
      <c r="E34" s="467">
        <v>4.7840642999999998</v>
      </c>
      <c r="F34" s="292"/>
      <c r="G34" s="311"/>
      <c r="H34" s="292">
        <f t="shared" si="1"/>
        <v>24</v>
      </c>
    </row>
    <row r="35" spans="1:21" ht="18">
      <c r="A35" s="292">
        <f t="shared" si="0"/>
        <v>25</v>
      </c>
      <c r="B35" s="1228">
        <v>923</v>
      </c>
      <c r="C35" s="216" t="s">
        <v>1035</v>
      </c>
      <c r="D35" s="1229"/>
      <c r="E35" s="1272">
        <v>-1166.7760000000001</v>
      </c>
      <c r="F35" s="292"/>
      <c r="G35" s="311"/>
      <c r="H35" s="292">
        <f t="shared" si="1"/>
        <v>25</v>
      </c>
    </row>
    <row r="36" spans="1:21">
      <c r="A36" s="292">
        <f t="shared" si="0"/>
        <v>26</v>
      </c>
      <c r="B36" s="1228">
        <v>925</v>
      </c>
      <c r="C36" s="305" t="s">
        <v>921</v>
      </c>
      <c r="D36" s="714">
        <v>271.77697832000001</v>
      </c>
      <c r="E36" s="292"/>
      <c r="F36" s="292"/>
      <c r="G36" s="311"/>
      <c r="H36" s="292">
        <f t="shared" si="1"/>
        <v>26</v>
      </c>
      <c r="J36"/>
      <c r="K36"/>
      <c r="L36"/>
      <c r="M36"/>
      <c r="N36"/>
      <c r="O36"/>
      <c r="P36"/>
      <c r="Q36"/>
      <c r="R36"/>
      <c r="S36"/>
      <c r="T36"/>
      <c r="U36"/>
    </row>
    <row r="37" spans="1:21">
      <c r="A37" s="292">
        <f t="shared" si="0"/>
        <v>27</v>
      </c>
      <c r="B37" s="1228"/>
      <c r="C37" s="305" t="s">
        <v>916</v>
      </c>
      <c r="D37" s="1249">
        <v>110.252394</v>
      </c>
      <c r="E37" s="1229">
        <f>SUM(D36:D37)</f>
        <v>382.02937231999999</v>
      </c>
      <c r="F37" s="292"/>
      <c r="G37" s="311"/>
      <c r="H37" s="292">
        <f t="shared" si="1"/>
        <v>27</v>
      </c>
      <c r="J37"/>
      <c r="K37"/>
      <c r="L37"/>
      <c r="M37"/>
      <c r="N37"/>
      <c r="O37"/>
      <c r="P37"/>
      <c r="Q37"/>
      <c r="R37"/>
      <c r="S37"/>
      <c r="T37"/>
      <c r="U37"/>
    </row>
    <row r="38" spans="1:21">
      <c r="A38" s="292">
        <f t="shared" si="0"/>
        <v>28</v>
      </c>
      <c r="B38" s="1228">
        <v>926</v>
      </c>
      <c r="C38" s="912" t="s">
        <v>921</v>
      </c>
      <c r="D38"/>
      <c r="E38" s="1250">
        <v>446.01363487000009</v>
      </c>
      <c r="F38" s="292"/>
      <c r="G38" s="311"/>
      <c r="H38" s="292">
        <f t="shared" si="1"/>
        <v>28</v>
      </c>
      <c r="J38"/>
      <c r="K38"/>
      <c r="L38"/>
      <c r="M38"/>
      <c r="N38"/>
      <c r="O38"/>
      <c r="P38"/>
      <c r="Q38"/>
      <c r="R38"/>
      <c r="S38"/>
      <c r="T38"/>
      <c r="U38"/>
    </row>
    <row r="39" spans="1:21">
      <c r="A39" s="292">
        <f t="shared" si="0"/>
        <v>29</v>
      </c>
      <c r="B39" s="1231">
        <v>927</v>
      </c>
      <c r="C39" s="912" t="s">
        <v>541</v>
      </c>
      <c r="D39" s="1229"/>
      <c r="E39" s="1250">
        <v>112751.95299999999</v>
      </c>
      <c r="F39" s="292"/>
      <c r="G39" s="311"/>
      <c r="H39" s="292">
        <f t="shared" si="1"/>
        <v>29</v>
      </c>
      <c r="J39"/>
      <c r="K39"/>
      <c r="L39"/>
      <c r="M39"/>
      <c r="N39"/>
      <c r="O39"/>
      <c r="P39"/>
      <c r="Q39"/>
      <c r="R39"/>
      <c r="S39"/>
      <c r="T39"/>
      <c r="U39"/>
    </row>
    <row r="40" spans="1:21">
      <c r="A40" s="292">
        <f t="shared" si="0"/>
        <v>30</v>
      </c>
      <c r="B40" s="1228">
        <v>928</v>
      </c>
      <c r="C40" s="305" t="s">
        <v>922</v>
      </c>
      <c r="D40" s="1229">
        <v>22096.966619999999</v>
      </c>
      <c r="E40" s="292"/>
      <c r="F40" s="292"/>
      <c r="G40" s="311"/>
      <c r="H40" s="292">
        <f t="shared" si="1"/>
        <v>30</v>
      </c>
      <c r="J40"/>
      <c r="K40"/>
      <c r="L40"/>
      <c r="M40"/>
      <c r="N40"/>
      <c r="O40"/>
      <c r="P40"/>
      <c r="Q40"/>
      <c r="R40"/>
      <c r="S40"/>
      <c r="T40"/>
      <c r="U40"/>
    </row>
    <row r="41" spans="1:21">
      <c r="A41" s="292">
        <f t="shared" si="0"/>
        <v>31</v>
      </c>
      <c r="B41" s="1228"/>
      <c r="C41" s="305" t="s">
        <v>913</v>
      </c>
      <c r="D41" s="1229">
        <v>0.77205999999999997</v>
      </c>
      <c r="E41" s="292"/>
      <c r="F41" s="292"/>
      <c r="G41" s="311"/>
      <c r="H41" s="292">
        <f t="shared" si="1"/>
        <v>31</v>
      </c>
      <c r="J41"/>
      <c r="K41"/>
      <c r="L41"/>
      <c r="M41"/>
      <c r="N41"/>
      <c r="O41"/>
      <c r="P41"/>
      <c r="Q41"/>
      <c r="R41"/>
      <c r="S41"/>
      <c r="T41"/>
      <c r="U41"/>
    </row>
    <row r="42" spans="1:21">
      <c r="A42" s="292">
        <f t="shared" si="0"/>
        <v>32</v>
      </c>
      <c r="B42" s="1228"/>
      <c r="C42" s="305" t="s">
        <v>921</v>
      </c>
      <c r="D42" s="1229">
        <v>666.62089999999989</v>
      </c>
      <c r="E42" s="292"/>
      <c r="F42" s="292"/>
      <c r="G42" s="311"/>
      <c r="H42" s="292">
        <f t="shared" si="1"/>
        <v>32</v>
      </c>
      <c r="J42"/>
      <c r="K42"/>
      <c r="L42"/>
      <c r="M42"/>
      <c r="N42"/>
      <c r="O42"/>
      <c r="P42"/>
      <c r="Q42"/>
      <c r="R42"/>
      <c r="S42"/>
      <c r="T42"/>
      <c r="U42"/>
    </row>
    <row r="43" spans="1:21">
      <c r="A43" s="292">
        <f t="shared" si="0"/>
        <v>33</v>
      </c>
      <c r="B43" s="1228"/>
      <c r="C43" s="911" t="s">
        <v>551</v>
      </c>
      <c r="D43" s="1252">
        <v>0</v>
      </c>
      <c r="E43" s="292"/>
      <c r="F43" s="292"/>
      <c r="G43" s="311"/>
      <c r="H43" s="292">
        <f t="shared" si="1"/>
        <v>33</v>
      </c>
      <c r="J43"/>
      <c r="K43"/>
      <c r="L43"/>
      <c r="M43"/>
      <c r="N43"/>
      <c r="O43"/>
      <c r="P43"/>
      <c r="Q43"/>
      <c r="R43"/>
      <c r="S43"/>
      <c r="T43"/>
      <c r="U43"/>
    </row>
    <row r="44" spans="1:21">
      <c r="A44" s="292">
        <f t="shared" si="0"/>
        <v>34</v>
      </c>
      <c r="B44" s="1228"/>
      <c r="C44" s="911" t="s">
        <v>552</v>
      </c>
      <c r="D44" s="1249">
        <v>1267.5963200000001</v>
      </c>
      <c r="E44" s="1229">
        <f>SUM(D40:D44)</f>
        <v>24031.955899999997</v>
      </c>
      <c r="F44" s="292"/>
      <c r="G44" s="311"/>
      <c r="H44" s="292">
        <f t="shared" si="1"/>
        <v>34</v>
      </c>
      <c r="J44"/>
      <c r="K44"/>
      <c r="L44"/>
      <c r="M44"/>
      <c r="N44"/>
      <c r="O44"/>
      <c r="P44"/>
      <c r="Q44"/>
      <c r="R44"/>
      <c r="S44"/>
      <c r="T44"/>
      <c r="U44"/>
    </row>
    <row r="45" spans="1:21">
      <c r="A45" s="292">
        <f t="shared" si="0"/>
        <v>35</v>
      </c>
      <c r="B45" s="1228">
        <v>929</v>
      </c>
      <c r="C45" s="911" t="s">
        <v>1019</v>
      </c>
      <c r="D45" s="1229"/>
      <c r="E45" s="1229">
        <v>-3937.7277100000001</v>
      </c>
      <c r="F45" s="292"/>
      <c r="G45" s="311"/>
      <c r="H45" s="292">
        <f t="shared" si="1"/>
        <v>35</v>
      </c>
      <c r="J45"/>
      <c r="K45"/>
      <c r="L45"/>
      <c r="M45"/>
      <c r="N45"/>
      <c r="O45"/>
      <c r="P45"/>
      <c r="Q45"/>
      <c r="R45"/>
      <c r="S45"/>
      <c r="T45"/>
      <c r="U45"/>
    </row>
    <row r="46" spans="1:21">
      <c r="A46" s="292">
        <f t="shared" si="0"/>
        <v>36</v>
      </c>
      <c r="B46" s="1232">
        <v>930.1</v>
      </c>
      <c r="C46" s="911" t="s">
        <v>544</v>
      </c>
      <c r="D46" s="1229"/>
      <c r="E46" s="1250">
        <v>55.474339999999998</v>
      </c>
      <c r="F46" s="292"/>
      <c r="G46" s="311"/>
      <c r="H46" s="292">
        <f t="shared" si="1"/>
        <v>36</v>
      </c>
      <c r="J46"/>
      <c r="K46"/>
      <c r="L46"/>
      <c r="M46"/>
      <c r="N46"/>
      <c r="O46"/>
      <c r="P46"/>
      <c r="Q46"/>
      <c r="R46"/>
      <c r="S46"/>
      <c r="T46"/>
      <c r="U46"/>
    </row>
    <row r="47" spans="1:21">
      <c r="A47" s="292">
        <f t="shared" si="0"/>
        <v>37</v>
      </c>
      <c r="B47" s="913">
        <v>930.2</v>
      </c>
      <c r="C47" s="912" t="s">
        <v>553</v>
      </c>
      <c r="D47" s="1250">
        <v>908.44687999999996</v>
      </c>
      <c r="F47" s="292"/>
      <c r="G47" s="311"/>
      <c r="H47" s="292">
        <f t="shared" si="1"/>
        <v>37</v>
      </c>
      <c r="J47"/>
      <c r="K47"/>
      <c r="L47"/>
      <c r="M47"/>
      <c r="N47"/>
      <c r="O47"/>
      <c r="P47"/>
      <c r="Q47"/>
      <c r="R47"/>
      <c r="S47"/>
      <c r="T47"/>
      <c r="U47"/>
    </row>
    <row r="48" spans="1:21">
      <c r="A48" s="292">
        <f t="shared" si="0"/>
        <v>38</v>
      </c>
      <c r="B48" s="913"/>
      <c r="C48" s="305" t="s">
        <v>916</v>
      </c>
      <c r="D48" s="1251">
        <v>137.16390779999998</v>
      </c>
      <c r="E48" s="1230">
        <f>SUM(D47:D48)</f>
        <v>1045.6107878</v>
      </c>
      <c r="F48" s="292"/>
      <c r="G48" s="311"/>
      <c r="H48" s="292">
        <f t="shared" si="1"/>
        <v>38</v>
      </c>
      <c r="J48"/>
      <c r="K48"/>
      <c r="L48"/>
      <c r="M48"/>
      <c r="N48"/>
      <c r="O48"/>
      <c r="P48"/>
      <c r="Q48"/>
      <c r="R48"/>
      <c r="S48"/>
      <c r="T48"/>
      <c r="U48"/>
    </row>
    <row r="49" spans="1:21">
      <c r="A49" s="292">
        <f t="shared" si="0"/>
        <v>39</v>
      </c>
      <c r="B49" s="1228">
        <v>935</v>
      </c>
      <c r="C49" s="305" t="s">
        <v>554</v>
      </c>
      <c r="D49" s="1229"/>
      <c r="E49" s="1251">
        <v>0</v>
      </c>
      <c r="F49" s="292"/>
      <c r="G49" s="311"/>
      <c r="H49" s="292">
        <f t="shared" si="1"/>
        <v>39</v>
      </c>
      <c r="J49"/>
      <c r="K49"/>
      <c r="L49"/>
      <c r="M49"/>
      <c r="N49"/>
      <c r="O49"/>
      <c r="P49"/>
      <c r="Q49"/>
      <c r="R49"/>
      <c r="S49"/>
      <c r="T49"/>
      <c r="U49"/>
    </row>
    <row r="50" spans="1:21">
      <c r="A50" s="292">
        <f t="shared" si="0"/>
        <v>40</v>
      </c>
      <c r="B50" s="1228"/>
      <c r="C50" s="914"/>
      <c r="D50" s="1233"/>
      <c r="E50" s="464"/>
      <c r="F50" s="292"/>
      <c r="G50" s="311"/>
      <c r="H50" s="292">
        <f t="shared" si="1"/>
        <v>40</v>
      </c>
      <c r="J50"/>
      <c r="K50"/>
      <c r="L50"/>
      <c r="M50"/>
      <c r="N50"/>
      <c r="O50"/>
      <c r="P50"/>
      <c r="Q50"/>
      <c r="R50"/>
      <c r="S50"/>
      <c r="T50"/>
      <c r="U50"/>
    </row>
    <row r="51" spans="1:21" ht="16" thickBot="1">
      <c r="A51" s="292">
        <f t="shared" si="0"/>
        <v>41</v>
      </c>
      <c r="B51" s="318"/>
      <c r="C51" s="915" t="s">
        <v>527</v>
      </c>
      <c r="D51" s="916"/>
      <c r="E51" s="1234">
        <f>SUM(E34:E49)</f>
        <v>133613.31738928996</v>
      </c>
      <c r="F51" s="292"/>
      <c r="G51" s="311"/>
      <c r="H51" s="292">
        <f t="shared" si="1"/>
        <v>41</v>
      </c>
    </row>
    <row r="52" spans="1:21" ht="16" thickTop="1">
      <c r="A52" s="292">
        <f t="shared" si="0"/>
        <v>42</v>
      </c>
      <c r="B52" s="910"/>
      <c r="C52" s="912"/>
      <c r="D52" s="8"/>
      <c r="E52" s="8"/>
      <c r="G52" s="311"/>
      <c r="H52" s="292">
        <f t="shared" si="1"/>
        <v>42</v>
      </c>
    </row>
    <row r="53" spans="1:21">
      <c r="A53" s="292">
        <f t="shared" si="0"/>
        <v>43</v>
      </c>
      <c r="B53" s="318"/>
      <c r="C53" s="915"/>
      <c r="D53" s="916"/>
      <c r="E53" s="323"/>
      <c r="F53" s="237"/>
      <c r="G53" s="311"/>
      <c r="H53" s="292">
        <f t="shared" si="1"/>
        <v>43</v>
      </c>
    </row>
    <row r="54" spans="1:21" ht="18.5">
      <c r="A54" s="292">
        <f t="shared" si="0"/>
        <v>44</v>
      </c>
      <c r="B54" s="282">
        <v>1</v>
      </c>
      <c r="C54" s="61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2023, which is added back to derive Total Adjusted A&amp;G Expenses in SAP</v>
      </c>
      <c r="E54" s="323"/>
      <c r="F54" s="237"/>
      <c r="G54" s="311"/>
      <c r="H54" s="292">
        <f t="shared" si="1"/>
        <v>44</v>
      </c>
    </row>
    <row r="55" spans="1:21" ht="18.5">
      <c r="A55" s="292">
        <f t="shared" si="0"/>
        <v>45</v>
      </c>
      <c r="B55" s="808"/>
      <c r="C55" s="3" t="s">
        <v>555</v>
      </c>
      <c r="E55" s="323"/>
      <c r="F55" s="237"/>
      <c r="G55" s="311"/>
      <c r="H55" s="292">
        <f t="shared" si="1"/>
        <v>45</v>
      </c>
    </row>
    <row r="56" spans="1:21" ht="18">
      <c r="A56" s="292">
        <f t="shared" si="0"/>
        <v>46</v>
      </c>
      <c r="B56" s="1273">
        <v>2</v>
      </c>
      <c r="C56" s="61" t="s">
        <v>1045</v>
      </c>
      <c r="E56" s="323"/>
      <c r="F56" s="237"/>
      <c r="G56" s="311"/>
      <c r="H56" s="292">
        <f t="shared" si="1"/>
        <v>46</v>
      </c>
    </row>
    <row r="57" spans="1:21" ht="16" thickBot="1">
      <c r="A57" s="292">
        <f t="shared" si="0"/>
        <v>47</v>
      </c>
      <c r="B57" s="324"/>
      <c r="C57" s="325"/>
      <c r="D57" s="285"/>
      <c r="E57" s="285"/>
      <c r="F57" s="285"/>
      <c r="G57" s="317"/>
      <c r="H57" s="292">
        <f t="shared" si="1"/>
        <v>47</v>
      </c>
    </row>
    <row r="58" spans="1:21">
      <c r="C58" s="305"/>
    </row>
    <row r="59" spans="1:21">
      <c r="A59" s="286"/>
      <c r="C59" s="305"/>
      <c r="D59" s="326"/>
      <c r="E59" s="326"/>
    </row>
    <row r="60" spans="1:21" ht="18">
      <c r="A60" s="327"/>
      <c r="B60" s="135"/>
      <c r="C60" s="3"/>
      <c r="D60" s="63"/>
      <c r="E60" s="63"/>
      <c r="F60" s="63"/>
    </row>
    <row r="61" spans="1:21" ht="18">
      <c r="A61" s="327"/>
      <c r="B61" s="135"/>
      <c r="C61" s="16"/>
      <c r="D61" s="63"/>
      <c r="E61" s="63"/>
      <c r="F61" s="63"/>
    </row>
    <row r="62" spans="1:21" ht="18">
      <c r="A62" s="327"/>
      <c r="B62" s="247"/>
      <c r="C62" s="3"/>
      <c r="D62" s="3"/>
      <c r="E62" s="3"/>
      <c r="F62" s="3"/>
    </row>
    <row r="63" spans="1:21" ht="18">
      <c r="A63" s="327"/>
      <c r="C63" s="305"/>
    </row>
    <row r="64" spans="1:21" ht="18">
      <c r="A64" s="327"/>
      <c r="C64" s="305"/>
    </row>
    <row r="65" spans="1:3" ht="18">
      <c r="A65" s="327"/>
      <c r="C65" s="305"/>
    </row>
    <row r="66" spans="1:3">
      <c r="A66" s="286"/>
      <c r="C66" s="305"/>
    </row>
    <row r="67" spans="1:3" ht="18">
      <c r="A67" s="327"/>
      <c r="C67" s="305"/>
    </row>
    <row r="68" spans="1:3">
      <c r="A68" s="286"/>
      <c r="C68" s="305"/>
    </row>
    <row r="69" spans="1:3" ht="18">
      <c r="A69" s="327"/>
      <c r="C69" s="305"/>
    </row>
    <row r="70" spans="1:3">
      <c r="A70" s="286"/>
      <c r="C70" s="305"/>
    </row>
    <row r="71" spans="1:3" ht="18">
      <c r="A71" s="327"/>
      <c r="C71" s="305"/>
    </row>
    <row r="72" spans="1:3" ht="18">
      <c r="A72" s="327"/>
      <c r="B72" s="305"/>
    </row>
    <row r="73" spans="1:3" ht="18">
      <c r="A73" s="327"/>
      <c r="B73" s="305"/>
    </row>
    <row r="74" spans="1:3">
      <c r="B74" s="305"/>
    </row>
    <row r="75" spans="1:3" ht="18">
      <c r="A75" s="327"/>
      <c r="B75" s="305"/>
    </row>
    <row r="76" spans="1:3">
      <c r="A76" s="328"/>
      <c r="B76" s="329"/>
    </row>
    <row r="77" spans="1:3">
      <c r="B77" s="305"/>
    </row>
  </sheetData>
  <mergeCells count="4">
    <mergeCell ref="B2:G2"/>
    <mergeCell ref="B3:G3"/>
    <mergeCell ref="B4:G4"/>
    <mergeCell ref="B5:G5"/>
  </mergeCells>
  <printOptions horizontalCentered="1"/>
  <pageMargins left="0" right="0" top="0.25" bottom="0.5" header="0" footer="0.25"/>
  <pageSetup scale="56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37"/>
  <sheetViews>
    <sheetView zoomScale="80" zoomScaleNormal="80" zoomScalePageLayoutView="80" workbookViewId="0"/>
  </sheetViews>
  <sheetFormatPr defaultColWidth="8.6328125" defaultRowHeight="15.5"/>
  <cols>
    <col min="1" max="1" width="5.08984375" style="247" customWidth="1"/>
    <col min="2" max="2" width="64.6328125" style="216" customWidth="1"/>
    <col min="3" max="3" width="21.08984375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34.54296875" style="216" customWidth="1"/>
    <col min="8" max="8" width="5.08984375" style="216" customWidth="1"/>
    <col min="9" max="9" width="8.6328125" style="216"/>
    <col min="10" max="10" width="20.36328125" style="216" bestFit="1" customWidth="1"/>
    <col min="11" max="16384" width="8.6328125" style="216"/>
  </cols>
  <sheetData>
    <row r="1" spans="1:13">
      <c r="A1" s="551"/>
      <c r="E1" s="396"/>
      <c r="F1" s="395"/>
      <c r="G1" s="247"/>
      <c r="H1" s="247"/>
    </row>
    <row r="2" spans="1:13">
      <c r="B2" s="1290" t="s">
        <v>0</v>
      </c>
      <c r="C2" s="1290"/>
      <c r="D2" s="1290"/>
      <c r="E2" s="1290"/>
      <c r="F2" s="1290"/>
      <c r="G2" s="1290"/>
      <c r="H2" s="247"/>
    </row>
    <row r="3" spans="1:13">
      <c r="B3" s="1290" t="s">
        <v>556</v>
      </c>
      <c r="C3" s="1290"/>
      <c r="D3" s="1290"/>
      <c r="E3" s="1290"/>
      <c r="F3" s="1290"/>
      <c r="G3" s="1290"/>
      <c r="H3" s="247"/>
    </row>
    <row r="4" spans="1:13">
      <c r="B4" s="1290" t="s">
        <v>557</v>
      </c>
      <c r="C4" s="1290"/>
      <c r="D4" s="1290"/>
      <c r="E4" s="1290"/>
      <c r="F4" s="1290"/>
      <c r="G4" s="1290"/>
      <c r="H4" s="247"/>
    </row>
    <row r="5" spans="1:13">
      <c r="B5" s="1292" t="str">
        <f>'A. Sec.1 - Direct Maintenance'!B5</f>
        <v>Base Period &amp; True-Up Period 12 - Months Ending December 31, 2023</v>
      </c>
      <c r="C5" s="1292"/>
      <c r="D5" s="1292"/>
      <c r="E5" s="1292"/>
      <c r="F5" s="1292"/>
      <c r="G5" s="1292"/>
      <c r="H5" s="247"/>
    </row>
    <row r="6" spans="1:13">
      <c r="B6" s="1300" t="s">
        <v>3</v>
      </c>
      <c r="C6" s="1297"/>
      <c r="D6" s="1297"/>
      <c r="E6" s="1297"/>
      <c r="F6" s="1297"/>
      <c r="G6" s="1297"/>
      <c r="H6" s="247"/>
    </row>
    <row r="7" spans="1:13">
      <c r="B7" s="247"/>
      <c r="C7" s="247"/>
      <c r="D7" s="247"/>
      <c r="E7" s="247"/>
      <c r="F7" s="551"/>
      <c r="G7" s="247"/>
      <c r="H7" s="247"/>
      <c r="J7"/>
      <c r="K7"/>
      <c r="L7"/>
      <c r="M7"/>
    </row>
    <row r="8" spans="1:13">
      <c r="A8" s="247" t="s">
        <v>4</v>
      </c>
      <c r="B8" s="551"/>
      <c r="C8" s="247" t="s">
        <v>189</v>
      </c>
      <c r="D8" s="551"/>
      <c r="E8" s="551"/>
      <c r="F8" s="551"/>
      <c r="G8" s="247"/>
      <c r="H8" s="247" t="s">
        <v>4</v>
      </c>
      <c r="J8"/>
      <c r="K8"/>
      <c r="L8"/>
      <c r="M8"/>
    </row>
    <row r="9" spans="1:13">
      <c r="A9" s="247" t="s">
        <v>5</v>
      </c>
      <c r="C9" s="997" t="s">
        <v>191</v>
      </c>
      <c r="E9" s="998" t="s">
        <v>7</v>
      </c>
      <c r="F9" s="247"/>
      <c r="G9" s="997" t="s">
        <v>8</v>
      </c>
      <c r="H9" s="247" t="s">
        <v>5</v>
      </c>
      <c r="J9"/>
      <c r="K9"/>
      <c r="L9"/>
      <c r="M9"/>
    </row>
    <row r="10" spans="1:13">
      <c r="F10" s="247"/>
      <c r="G10" s="999"/>
      <c r="H10" s="247"/>
      <c r="J10"/>
      <c r="K10"/>
      <c r="L10"/>
      <c r="M10"/>
    </row>
    <row r="11" spans="1:13">
      <c r="A11" s="247">
        <v>1</v>
      </c>
      <c r="B11" s="3" t="s">
        <v>558</v>
      </c>
      <c r="C11" s="5" t="s">
        <v>972</v>
      </c>
      <c r="E11" s="394">
        <v>14293.665000000001</v>
      </c>
      <c r="F11" s="395"/>
      <c r="G11" s="5"/>
      <c r="H11" s="247">
        <f>A11</f>
        <v>1</v>
      </c>
      <c r="J11"/>
      <c r="K11"/>
      <c r="L11"/>
      <c r="M11"/>
    </row>
    <row r="12" spans="1:13">
      <c r="A12" s="247">
        <f>+A11+1</f>
        <v>2</v>
      </c>
      <c r="B12" s="3"/>
      <c r="C12" s="393"/>
      <c r="E12" s="396"/>
      <c r="F12" s="395"/>
      <c r="G12" s="5"/>
      <c r="H12" s="247">
        <f>+H11+1</f>
        <v>2</v>
      </c>
      <c r="J12"/>
      <c r="K12"/>
      <c r="L12"/>
      <c r="M12"/>
    </row>
    <row r="13" spans="1:13" ht="18.5">
      <c r="A13" s="247">
        <f t="shared" ref="A13:A27" si="0">+A12+1</f>
        <v>3</v>
      </c>
      <c r="B13" s="3" t="s">
        <v>559</v>
      </c>
      <c r="C13" s="393"/>
      <c r="E13" s="397">
        <f>32531.389-E15</f>
        <v>16488.671549999999</v>
      </c>
      <c r="F13" s="395"/>
      <c r="G13" s="5" t="str">
        <f>"AI-1; Line "&amp;'AI-1'!A59</f>
        <v>AI-1; Line 50</v>
      </c>
      <c r="H13" s="247">
        <f t="shared" ref="H13:H27" si="1">+H12+1</f>
        <v>3</v>
      </c>
      <c r="J13"/>
      <c r="K13"/>
      <c r="L13"/>
      <c r="M13"/>
    </row>
    <row r="14" spans="1:13">
      <c r="A14" s="247">
        <f t="shared" si="0"/>
        <v>4</v>
      </c>
      <c r="B14" s="3"/>
      <c r="C14" s="393"/>
      <c r="E14" s="398"/>
      <c r="F14" s="395"/>
      <c r="G14" s="5"/>
      <c r="H14" s="247">
        <f t="shared" si="1"/>
        <v>4</v>
      </c>
      <c r="J14"/>
      <c r="K14"/>
      <c r="L14"/>
      <c r="M14"/>
    </row>
    <row r="15" spans="1:13" ht="18.5">
      <c r="A15" s="247">
        <f t="shared" si="0"/>
        <v>5</v>
      </c>
      <c r="B15" s="3" t="s">
        <v>560</v>
      </c>
      <c r="C15" s="393"/>
      <c r="E15" s="397">
        <f>'AI-1'!E57</f>
        <v>16042.717449999998</v>
      </c>
      <c r="F15" s="395"/>
      <c r="G15" s="5" t="str">
        <f>"AI-1; Line "&amp;'AI-1'!A57</f>
        <v>AI-1; Line 48</v>
      </c>
      <c r="H15" s="247">
        <f t="shared" si="1"/>
        <v>5</v>
      </c>
      <c r="J15"/>
      <c r="K15"/>
      <c r="L15"/>
      <c r="M15"/>
    </row>
    <row r="16" spans="1:13">
      <c r="A16" s="247">
        <f t="shared" si="0"/>
        <v>6</v>
      </c>
      <c r="B16" s="3"/>
      <c r="C16" s="393"/>
      <c r="E16" s="398"/>
      <c r="F16" s="395"/>
      <c r="G16" s="5"/>
      <c r="H16" s="247">
        <f t="shared" si="1"/>
        <v>6</v>
      </c>
      <c r="K16" s="393"/>
    </row>
    <row r="17" spans="1:11">
      <c r="A17" s="247">
        <f t="shared" si="0"/>
        <v>7</v>
      </c>
      <c r="B17" s="3" t="s">
        <v>561</v>
      </c>
      <c r="C17" s="5" t="s">
        <v>973</v>
      </c>
      <c r="E17" s="397">
        <v>77850.195999999996</v>
      </c>
      <c r="F17" s="395"/>
      <c r="G17" s="5"/>
      <c r="H17" s="247">
        <f t="shared" si="1"/>
        <v>7</v>
      </c>
      <c r="K17" s="393"/>
    </row>
    <row r="18" spans="1:11">
      <c r="A18" s="247">
        <f t="shared" si="0"/>
        <v>8</v>
      </c>
      <c r="B18" s="3"/>
      <c r="C18" s="5"/>
      <c r="E18" s="398"/>
      <c r="F18" s="395"/>
      <c r="G18" s="5"/>
      <c r="H18" s="247">
        <f t="shared" si="1"/>
        <v>8</v>
      </c>
      <c r="K18" s="393"/>
    </row>
    <row r="19" spans="1:11">
      <c r="A19" s="247">
        <f t="shared" si="0"/>
        <v>9</v>
      </c>
      <c r="B19" s="3" t="s">
        <v>562</v>
      </c>
      <c r="C19" s="5" t="s">
        <v>974</v>
      </c>
      <c r="E19" s="397">
        <v>19469.243999999999</v>
      </c>
      <c r="F19" s="395"/>
      <c r="G19" s="5"/>
      <c r="H19" s="247">
        <f t="shared" si="1"/>
        <v>9</v>
      </c>
      <c r="K19" s="393"/>
    </row>
    <row r="20" spans="1:11">
      <c r="A20" s="247">
        <f t="shared" si="0"/>
        <v>10</v>
      </c>
      <c r="B20" s="3"/>
      <c r="C20" s="5"/>
      <c r="E20" s="399"/>
      <c r="F20" s="395"/>
      <c r="G20" s="5"/>
      <c r="H20" s="247">
        <f t="shared" si="1"/>
        <v>10</v>
      </c>
      <c r="K20" s="393"/>
    </row>
    <row r="21" spans="1:11">
      <c r="A21" s="247">
        <f t="shared" si="0"/>
        <v>11</v>
      </c>
      <c r="B21" s="3" t="s">
        <v>563</v>
      </c>
      <c r="C21" s="5" t="s">
        <v>975</v>
      </c>
      <c r="E21" s="345">
        <v>18488.069</v>
      </c>
      <c r="F21" s="395"/>
      <c r="G21" s="5"/>
      <c r="H21" s="247">
        <f t="shared" si="1"/>
        <v>11</v>
      </c>
      <c r="K21" s="393"/>
    </row>
    <row r="22" spans="1:11">
      <c r="A22" s="247">
        <f t="shared" si="0"/>
        <v>12</v>
      </c>
      <c r="B22" s="3"/>
      <c r="C22" s="5"/>
      <c r="E22" s="396"/>
      <c r="F22" s="395"/>
      <c r="G22" s="5"/>
      <c r="H22" s="247">
        <f t="shared" si="1"/>
        <v>12</v>
      </c>
    </row>
    <row r="23" spans="1:11">
      <c r="A23" s="247">
        <f t="shared" si="0"/>
        <v>13</v>
      </c>
      <c r="B23" s="3" t="s">
        <v>564</v>
      </c>
      <c r="C23" s="5" t="s">
        <v>976</v>
      </c>
      <c r="E23" s="1000">
        <v>0</v>
      </c>
      <c r="F23" s="395"/>
      <c r="G23" s="5"/>
      <c r="H23" s="247">
        <f t="shared" si="1"/>
        <v>13</v>
      </c>
    </row>
    <row r="24" spans="1:11">
      <c r="A24" s="247">
        <f t="shared" si="0"/>
        <v>14</v>
      </c>
      <c r="B24" s="3"/>
      <c r="E24" s="400"/>
      <c r="F24" s="395"/>
      <c r="G24" s="5"/>
      <c r="H24" s="247">
        <f t="shared" si="1"/>
        <v>14</v>
      </c>
    </row>
    <row r="25" spans="1:11" ht="16" thickBot="1">
      <c r="A25" s="247">
        <f t="shared" si="0"/>
        <v>15</v>
      </c>
      <c r="B25" s="3" t="s">
        <v>565</v>
      </c>
      <c r="E25" s="1164">
        <f>SUM(E11:E23)</f>
        <v>162632.56299999999</v>
      </c>
      <c r="F25" s="395"/>
      <c r="G25" s="66" t="str">
        <f>"Sum Lines "&amp;A11&amp;" thru "&amp;A23</f>
        <v>Sum Lines 1 thru 13</v>
      </c>
      <c r="H25" s="247">
        <f t="shared" si="1"/>
        <v>15</v>
      </c>
      <c r="J25" s="908"/>
    </row>
    <row r="26" spans="1:11" ht="16" thickTop="1">
      <c r="A26" s="247">
        <f t="shared" si="0"/>
        <v>16</v>
      </c>
      <c r="B26" s="3"/>
      <c r="E26" s="400"/>
      <c r="F26" s="395"/>
      <c r="G26" s="66"/>
      <c r="H26" s="247">
        <f t="shared" si="1"/>
        <v>16</v>
      </c>
    </row>
    <row r="27" spans="1:11" ht="16" thickBot="1">
      <c r="A27" s="247">
        <f t="shared" si="0"/>
        <v>17</v>
      </c>
      <c r="B27" s="216" t="s">
        <v>198</v>
      </c>
      <c r="E27" s="1165">
        <f>E13/E25</f>
        <v>0.10138604007611932</v>
      </c>
      <c r="F27" s="402"/>
      <c r="G27" s="4" t="str">
        <f>"Line "&amp;A13&amp;" / Line "&amp;A25</f>
        <v>Line 3 / Line 15</v>
      </c>
      <c r="H27" s="247">
        <f t="shared" si="1"/>
        <v>17</v>
      </c>
    </row>
    <row r="28" spans="1:11" ht="16" thickTop="1">
      <c r="E28" s="403"/>
      <c r="F28" s="402"/>
      <c r="G28" s="247"/>
      <c r="H28" s="247"/>
    </row>
    <row r="29" spans="1:11">
      <c r="E29" s="403"/>
      <c r="F29" s="402"/>
      <c r="G29" s="401"/>
      <c r="H29" s="247"/>
    </row>
    <row r="30" spans="1:11" ht="18.5">
      <c r="A30" s="404">
        <v>1</v>
      </c>
      <c r="B30" s="3" t="s">
        <v>566</v>
      </c>
      <c r="E30" s="403"/>
      <c r="F30" s="402"/>
      <c r="G30" s="247"/>
      <c r="H30" s="247"/>
    </row>
    <row r="31" spans="1:11" ht="18.5">
      <c r="A31" s="404">
        <v>2</v>
      </c>
      <c r="B31" s="3" t="s">
        <v>567</v>
      </c>
    </row>
    <row r="32" spans="1:11" ht="18.5">
      <c r="A32" s="67"/>
      <c r="B32" s="3"/>
    </row>
    <row r="33" spans="1:2">
      <c r="A33" s="4"/>
      <c r="B33" s="3"/>
    </row>
    <row r="34" spans="1:2">
      <c r="B34" s="3"/>
    </row>
    <row r="35" spans="1:2">
      <c r="B35" s="3"/>
    </row>
    <row r="36" spans="1:2">
      <c r="B36" s="3"/>
    </row>
    <row r="37" spans="1:2">
      <c r="B37" s="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Roman,Regular"&amp;10AI</oddFooter>
  </headerFooter>
  <customProperties>
    <customPr name="_pios_id" r:id="rId2"/>
  </customPropertie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M66"/>
  <sheetViews>
    <sheetView zoomScale="80" zoomScaleNormal="80" workbookViewId="0"/>
  </sheetViews>
  <sheetFormatPr defaultColWidth="8.6328125" defaultRowHeight="15.5"/>
  <cols>
    <col min="1" max="1" width="5.08984375" style="104" bestFit="1" customWidth="1"/>
    <col min="2" max="2" width="11.08984375" style="13" customWidth="1"/>
    <col min="3" max="3" width="69.36328125" style="13" customWidth="1"/>
    <col min="4" max="5" width="18.54296875" style="13" customWidth="1"/>
    <col min="6" max="6" width="5.08984375" style="104" bestFit="1" customWidth="1"/>
    <col min="7" max="16384" width="8.6328125" style="13"/>
  </cols>
  <sheetData>
    <row r="2" spans="1:13">
      <c r="B2" s="1296" t="s">
        <v>0</v>
      </c>
      <c r="C2" s="1296"/>
      <c r="D2" s="1296"/>
      <c r="E2" s="1296"/>
      <c r="F2" s="110"/>
    </row>
    <row r="3" spans="1:13">
      <c r="B3" s="1290" t="s">
        <v>568</v>
      </c>
      <c r="C3" s="1290"/>
      <c r="D3" s="1290"/>
      <c r="E3" s="1290"/>
      <c r="F3" s="237"/>
      <c r="G3" s="237"/>
      <c r="I3"/>
      <c r="J3"/>
      <c r="K3"/>
      <c r="L3"/>
      <c r="M3"/>
    </row>
    <row r="4" spans="1:13">
      <c r="B4" s="1277" t="s">
        <v>569</v>
      </c>
      <c r="C4" s="1277"/>
      <c r="D4" s="1277"/>
      <c r="E4" s="1277"/>
      <c r="I4" s="809"/>
    </row>
    <row r="5" spans="1:13">
      <c r="B5" s="1277" t="str">
        <f>" 12 Months Ending December 31, "&amp;Automation!$B$3</f>
        <v xml:space="preserve"> 12 Months Ending December 31, 2023</v>
      </c>
      <c r="C5" s="1277"/>
      <c r="D5" s="1277"/>
      <c r="E5" s="1277"/>
    </row>
    <row r="6" spans="1:13">
      <c r="B6" s="1300" t="s">
        <v>3</v>
      </c>
      <c r="C6" s="1300"/>
      <c r="D6" s="1300"/>
      <c r="E6" s="1300"/>
      <c r="F6" s="110"/>
      <c r="G6" s="110"/>
    </row>
    <row r="7" spans="1:13" ht="16" thickBot="1">
      <c r="B7" s="77"/>
      <c r="C7" s="77"/>
      <c r="D7" s="77"/>
    </row>
    <row r="8" spans="1:13">
      <c r="A8" s="582" t="s">
        <v>4</v>
      </c>
      <c r="B8" s="585" t="s">
        <v>570</v>
      </c>
      <c r="C8" s="586"/>
      <c r="D8" s="587"/>
      <c r="E8" s="405"/>
      <c r="F8" s="583" t="s">
        <v>4</v>
      </c>
    </row>
    <row r="9" spans="1:13" ht="18.5">
      <c r="A9" s="582" t="s">
        <v>5</v>
      </c>
      <c r="B9" s="1195" t="s">
        <v>261</v>
      </c>
      <c r="C9" s="1001" t="s">
        <v>262</v>
      </c>
      <c r="D9" s="1002" t="s">
        <v>571</v>
      </c>
      <c r="E9" s="1003" t="s">
        <v>572</v>
      </c>
      <c r="F9" s="583" t="s">
        <v>5</v>
      </c>
    </row>
    <row r="10" spans="1:13">
      <c r="A10" s="582">
        <v>1</v>
      </c>
      <c r="B10" s="1198" t="s">
        <v>887</v>
      </c>
      <c r="C10" s="1199" t="s">
        <v>888</v>
      </c>
      <c r="D10" s="1200">
        <v>94.942520000000002</v>
      </c>
      <c r="E10" s="1197"/>
      <c r="F10" s="583">
        <f>A10</f>
        <v>1</v>
      </c>
    </row>
    <row r="11" spans="1:13">
      <c r="A11" s="582">
        <f>A10+1</f>
        <v>2</v>
      </c>
      <c r="B11" s="406" t="s">
        <v>573</v>
      </c>
      <c r="C11" s="83" t="s">
        <v>574</v>
      </c>
      <c r="D11" s="257">
        <v>4127.5900899999997</v>
      </c>
      <c r="E11" s="918"/>
      <c r="F11" s="583">
        <f>A11</f>
        <v>2</v>
      </c>
      <c r="H11" s="902"/>
      <c r="I11" s="902"/>
      <c r="J11" s="920"/>
    </row>
    <row r="12" spans="1:13">
      <c r="A12" s="582">
        <f t="shared" ref="A12:A60" si="0">A11+1</f>
        <v>3</v>
      </c>
      <c r="B12" s="406" t="s">
        <v>575</v>
      </c>
      <c r="C12" s="83" t="s">
        <v>576</v>
      </c>
      <c r="D12" s="257">
        <v>343.84771000000001</v>
      </c>
      <c r="E12" s="918"/>
      <c r="F12" s="583">
        <f t="shared" ref="F12:F60" si="1">A12</f>
        <v>3</v>
      </c>
      <c r="H12" s="902"/>
      <c r="I12" s="902"/>
      <c r="J12" s="920"/>
    </row>
    <row r="13" spans="1:13">
      <c r="A13" s="582">
        <f t="shared" si="0"/>
        <v>4</v>
      </c>
      <c r="B13" s="406" t="s">
        <v>577</v>
      </c>
      <c r="C13" s="83" t="s">
        <v>578</v>
      </c>
      <c r="D13" s="639">
        <v>1228.5705800000001</v>
      </c>
      <c r="E13" s="918"/>
      <c r="F13" s="583">
        <f t="shared" si="1"/>
        <v>4</v>
      </c>
      <c r="H13" s="902"/>
      <c r="I13" s="902"/>
      <c r="J13" s="920"/>
    </row>
    <row r="14" spans="1:13">
      <c r="A14" s="582">
        <f t="shared" si="0"/>
        <v>5</v>
      </c>
      <c r="B14" s="406" t="s">
        <v>579</v>
      </c>
      <c r="C14" s="83" t="s">
        <v>580</v>
      </c>
      <c r="D14" s="639">
        <v>472.83762999999999</v>
      </c>
      <c r="E14" s="918"/>
      <c r="F14" s="583">
        <f t="shared" si="1"/>
        <v>5</v>
      </c>
      <c r="H14" s="902"/>
      <c r="I14" s="902"/>
      <c r="J14" s="920"/>
    </row>
    <row r="15" spans="1:13">
      <c r="A15" s="582">
        <f t="shared" si="0"/>
        <v>6</v>
      </c>
      <c r="B15" s="406" t="s">
        <v>581</v>
      </c>
      <c r="C15" s="83" t="s">
        <v>582</v>
      </c>
      <c r="D15" s="639">
        <v>1311.15482</v>
      </c>
      <c r="E15" s="918"/>
      <c r="F15" s="583">
        <f t="shared" si="1"/>
        <v>6</v>
      </c>
      <c r="H15" s="902"/>
      <c r="I15" s="902"/>
      <c r="J15" s="920"/>
    </row>
    <row r="16" spans="1:13">
      <c r="A16" s="582">
        <f t="shared" si="0"/>
        <v>7</v>
      </c>
      <c r="B16" s="407" t="s">
        <v>583</v>
      </c>
      <c r="C16" s="83" t="s">
        <v>584</v>
      </c>
      <c r="D16" s="639">
        <v>211.68503000000001</v>
      </c>
      <c r="E16" s="918"/>
      <c r="F16" s="583">
        <f t="shared" si="1"/>
        <v>7</v>
      </c>
      <c r="H16" s="903"/>
      <c r="I16" s="903"/>
      <c r="J16" s="920"/>
    </row>
    <row r="17" spans="1:10">
      <c r="A17" s="582">
        <f t="shared" si="0"/>
        <v>8</v>
      </c>
      <c r="B17" s="407" t="s">
        <v>585</v>
      </c>
      <c r="C17" s="83" t="s">
        <v>586</v>
      </c>
      <c r="D17" s="639">
        <v>0</v>
      </c>
      <c r="E17" s="918"/>
      <c r="F17" s="583">
        <f t="shared" si="1"/>
        <v>8</v>
      </c>
      <c r="H17" s="903"/>
      <c r="I17" s="903"/>
      <c r="J17" s="920"/>
    </row>
    <row r="18" spans="1:10">
      <c r="A18" s="582">
        <f t="shared" si="0"/>
        <v>9</v>
      </c>
      <c r="B18" s="407" t="s">
        <v>587</v>
      </c>
      <c r="C18" s="83" t="s">
        <v>588</v>
      </c>
      <c r="D18" s="639">
        <v>88.964219999999997</v>
      </c>
      <c r="E18" s="918"/>
      <c r="F18" s="583">
        <f t="shared" si="1"/>
        <v>9</v>
      </c>
      <c r="H18" s="903"/>
      <c r="I18" s="903"/>
      <c r="J18" s="920"/>
    </row>
    <row r="19" spans="1:10">
      <c r="A19" s="582">
        <f t="shared" si="0"/>
        <v>10</v>
      </c>
      <c r="B19" s="406" t="s">
        <v>589</v>
      </c>
      <c r="C19" s="83" t="s">
        <v>590</v>
      </c>
      <c r="D19" s="639">
        <v>0</v>
      </c>
      <c r="E19" s="919"/>
      <c r="F19" s="583">
        <f t="shared" si="1"/>
        <v>10</v>
      </c>
      <c r="H19" s="902"/>
      <c r="I19" s="902"/>
      <c r="J19" s="920"/>
    </row>
    <row r="20" spans="1:10">
      <c r="A20" s="582">
        <f t="shared" si="0"/>
        <v>11</v>
      </c>
      <c r="B20" s="407" t="s">
        <v>591</v>
      </c>
      <c r="C20" s="83" t="s">
        <v>592</v>
      </c>
      <c r="D20" s="639">
        <v>0</v>
      </c>
      <c r="E20" s="919"/>
      <c r="F20" s="583">
        <f t="shared" si="1"/>
        <v>11</v>
      </c>
      <c r="H20" s="903"/>
      <c r="I20" s="903"/>
      <c r="J20" s="920"/>
    </row>
    <row r="21" spans="1:10">
      <c r="A21" s="582">
        <f t="shared" si="0"/>
        <v>12</v>
      </c>
      <c r="B21" s="407" t="s">
        <v>593</v>
      </c>
      <c r="C21" s="83" t="s">
        <v>594</v>
      </c>
      <c r="D21" s="639">
        <v>801.51909999999998</v>
      </c>
      <c r="E21" s="919"/>
      <c r="F21" s="583">
        <f t="shared" si="1"/>
        <v>12</v>
      </c>
      <c r="H21" s="903"/>
      <c r="I21" s="903"/>
      <c r="J21" s="920"/>
    </row>
    <row r="22" spans="1:10">
      <c r="A22" s="582">
        <f t="shared" si="0"/>
        <v>13</v>
      </c>
      <c r="B22" s="406" t="s">
        <v>595</v>
      </c>
      <c r="C22" s="83" t="s">
        <v>596</v>
      </c>
      <c r="D22" s="639">
        <v>205.61786999999998</v>
      </c>
      <c r="E22" s="1004">
        <f>D22</f>
        <v>205.61786999999998</v>
      </c>
      <c r="F22" s="583">
        <f t="shared" si="1"/>
        <v>13</v>
      </c>
      <c r="H22" s="902"/>
      <c r="I22" s="902"/>
      <c r="J22" s="920"/>
    </row>
    <row r="23" spans="1:10">
      <c r="A23" s="582">
        <f t="shared" si="0"/>
        <v>14</v>
      </c>
      <c r="B23" s="406" t="s">
        <v>597</v>
      </c>
      <c r="C23" s="83" t="s">
        <v>598</v>
      </c>
      <c r="D23" s="639">
        <v>2166.1308799999997</v>
      </c>
      <c r="E23" s="1005">
        <f>D23</f>
        <v>2166.1308799999997</v>
      </c>
      <c r="F23" s="583">
        <f t="shared" si="1"/>
        <v>14</v>
      </c>
      <c r="H23" s="902"/>
      <c r="I23" s="902"/>
      <c r="J23" s="920"/>
    </row>
    <row r="24" spans="1:10">
      <c r="A24" s="582">
        <f t="shared" si="0"/>
        <v>15</v>
      </c>
      <c r="B24" s="406" t="s">
        <v>599</v>
      </c>
      <c r="C24" s="83" t="s">
        <v>600</v>
      </c>
      <c r="D24" s="639">
        <v>1.5527299999999999</v>
      </c>
      <c r="E24" s="1005">
        <f>D24</f>
        <v>1.5527299999999999</v>
      </c>
      <c r="F24" s="583">
        <f t="shared" si="1"/>
        <v>15</v>
      </c>
      <c r="H24" s="902"/>
      <c r="I24" s="902"/>
      <c r="J24" s="920"/>
    </row>
    <row r="25" spans="1:10">
      <c r="A25" s="582">
        <f t="shared" si="0"/>
        <v>16</v>
      </c>
      <c r="B25" s="406" t="s">
        <v>601</v>
      </c>
      <c r="C25" s="83" t="s">
        <v>602</v>
      </c>
      <c r="D25" s="639">
        <v>840.43408999999997</v>
      </c>
      <c r="E25" s="1005">
        <f>D25</f>
        <v>840.43408999999997</v>
      </c>
      <c r="F25" s="583">
        <f t="shared" si="1"/>
        <v>16</v>
      </c>
      <c r="H25" s="902"/>
      <c r="I25" s="902"/>
      <c r="J25" s="920"/>
    </row>
    <row r="26" spans="1:10">
      <c r="A26" s="582">
        <f t="shared" si="0"/>
        <v>17</v>
      </c>
      <c r="B26" s="406" t="s">
        <v>603</v>
      </c>
      <c r="C26" s="83" t="s">
        <v>604</v>
      </c>
      <c r="D26" s="639">
        <v>0</v>
      </c>
      <c r="E26" s="1005">
        <f>D26</f>
        <v>0</v>
      </c>
      <c r="F26" s="583">
        <f t="shared" si="1"/>
        <v>17</v>
      </c>
      <c r="H26" s="902"/>
      <c r="I26" s="902"/>
      <c r="J26" s="920"/>
    </row>
    <row r="27" spans="1:10">
      <c r="A27" s="582">
        <f t="shared" si="0"/>
        <v>18</v>
      </c>
      <c r="B27" s="407" t="s">
        <v>605</v>
      </c>
      <c r="C27" s="83" t="s">
        <v>606</v>
      </c>
      <c r="D27" s="639">
        <v>7.2263500000000001</v>
      </c>
      <c r="E27" s="1005"/>
      <c r="F27" s="583">
        <f t="shared" si="1"/>
        <v>18</v>
      </c>
      <c r="H27" s="903"/>
      <c r="I27" s="903"/>
      <c r="J27" s="920"/>
    </row>
    <row r="28" spans="1:10">
      <c r="A28" s="582">
        <f t="shared" si="0"/>
        <v>19</v>
      </c>
      <c r="B28" s="406" t="s">
        <v>607</v>
      </c>
      <c r="C28" s="83" t="s">
        <v>608</v>
      </c>
      <c r="D28" s="639">
        <v>4638.5626299999994</v>
      </c>
      <c r="E28" s="918"/>
      <c r="F28" s="583">
        <f t="shared" si="1"/>
        <v>19</v>
      </c>
      <c r="H28" s="902"/>
      <c r="I28" s="902"/>
      <c r="J28" s="920"/>
    </row>
    <row r="29" spans="1:10">
      <c r="A29" s="582">
        <f t="shared" si="0"/>
        <v>20</v>
      </c>
      <c r="B29" s="406" t="s">
        <v>609</v>
      </c>
      <c r="C29" s="83" t="s">
        <v>610</v>
      </c>
      <c r="D29" s="639">
        <v>0</v>
      </c>
      <c r="E29" s="918"/>
      <c r="F29" s="583">
        <f t="shared" si="1"/>
        <v>20</v>
      </c>
      <c r="H29" s="902"/>
      <c r="I29" s="902"/>
      <c r="J29" s="920"/>
    </row>
    <row r="30" spans="1:10">
      <c r="A30" s="582">
        <f t="shared" si="0"/>
        <v>21</v>
      </c>
      <c r="B30" s="406" t="s">
        <v>611</v>
      </c>
      <c r="C30" s="83" t="s">
        <v>612</v>
      </c>
      <c r="D30" s="639">
        <v>0</v>
      </c>
      <c r="E30" s="918"/>
      <c r="F30" s="583">
        <f t="shared" si="1"/>
        <v>21</v>
      </c>
      <c r="H30" s="902"/>
      <c r="I30" s="902"/>
      <c r="J30" s="920"/>
    </row>
    <row r="31" spans="1:10">
      <c r="A31" s="582">
        <f t="shared" si="0"/>
        <v>22</v>
      </c>
      <c r="B31" s="406" t="s">
        <v>613</v>
      </c>
      <c r="C31" s="83" t="s">
        <v>614</v>
      </c>
      <c r="D31" s="639">
        <v>1100.4364599999999</v>
      </c>
      <c r="E31" s="918"/>
      <c r="F31" s="583">
        <f t="shared" si="1"/>
        <v>22</v>
      </c>
      <c r="H31" s="902"/>
      <c r="I31" s="902"/>
      <c r="J31" s="920"/>
    </row>
    <row r="32" spans="1:10">
      <c r="A32" s="582">
        <f t="shared" si="0"/>
        <v>23</v>
      </c>
      <c r="B32" s="406" t="s">
        <v>615</v>
      </c>
      <c r="C32" s="83" t="s">
        <v>616</v>
      </c>
      <c r="D32" s="639">
        <v>64.893619999999999</v>
      </c>
      <c r="E32" s="918"/>
      <c r="F32" s="583">
        <f t="shared" si="1"/>
        <v>23</v>
      </c>
      <c r="H32" s="902"/>
      <c r="I32" s="902"/>
      <c r="J32" s="920"/>
    </row>
    <row r="33" spans="1:10">
      <c r="A33" s="582">
        <f t="shared" si="0"/>
        <v>24</v>
      </c>
      <c r="B33" s="407" t="s">
        <v>617</v>
      </c>
      <c r="C33" s="83" t="s">
        <v>618</v>
      </c>
      <c r="D33" s="178">
        <v>22.64181</v>
      </c>
      <c r="E33" s="918"/>
      <c r="F33" s="583">
        <f t="shared" si="1"/>
        <v>24</v>
      </c>
      <c r="H33" s="903"/>
      <c r="I33" s="903"/>
      <c r="J33" s="920"/>
    </row>
    <row r="34" spans="1:10">
      <c r="A34" s="582">
        <f t="shared" si="0"/>
        <v>25</v>
      </c>
      <c r="B34" s="406" t="s">
        <v>619</v>
      </c>
      <c r="C34" s="83" t="s">
        <v>620</v>
      </c>
      <c r="D34" s="639">
        <v>708.01363000000003</v>
      </c>
      <c r="E34" s="918"/>
      <c r="F34" s="583">
        <f t="shared" si="1"/>
        <v>25</v>
      </c>
      <c r="H34" s="902"/>
      <c r="I34" s="902"/>
      <c r="J34" s="920"/>
    </row>
    <row r="35" spans="1:10">
      <c r="A35" s="582">
        <f t="shared" si="0"/>
        <v>26</v>
      </c>
      <c r="B35" s="406" t="s">
        <v>621</v>
      </c>
      <c r="C35" s="83" t="s">
        <v>622</v>
      </c>
      <c r="D35" s="639">
        <v>848.47132999999997</v>
      </c>
      <c r="E35" s="919"/>
      <c r="F35" s="583">
        <f t="shared" si="1"/>
        <v>26</v>
      </c>
      <c r="H35" s="902"/>
      <c r="I35" s="902"/>
      <c r="J35" s="920"/>
    </row>
    <row r="36" spans="1:10">
      <c r="A36" s="582">
        <f t="shared" si="0"/>
        <v>27</v>
      </c>
      <c r="B36" s="406" t="s">
        <v>623</v>
      </c>
      <c r="C36" s="83" t="s">
        <v>624</v>
      </c>
      <c r="D36" s="639">
        <v>0</v>
      </c>
      <c r="E36" s="919"/>
      <c r="F36" s="583">
        <f t="shared" si="1"/>
        <v>27</v>
      </c>
      <c r="H36" s="902"/>
      <c r="I36" s="902"/>
      <c r="J36" s="920"/>
    </row>
    <row r="37" spans="1:10">
      <c r="A37" s="582">
        <f t="shared" si="0"/>
        <v>28</v>
      </c>
      <c r="B37" s="406" t="s">
        <v>625</v>
      </c>
      <c r="C37" s="83" t="s">
        <v>626</v>
      </c>
      <c r="D37" s="639">
        <v>2.0043800000000003</v>
      </c>
      <c r="E37" s="919"/>
      <c r="F37" s="583">
        <f t="shared" si="1"/>
        <v>28</v>
      </c>
      <c r="H37" s="902"/>
      <c r="I37" s="902"/>
      <c r="J37" s="920"/>
    </row>
    <row r="38" spans="1:10">
      <c r="A38" s="582">
        <f t="shared" si="0"/>
        <v>29</v>
      </c>
      <c r="B38" s="406" t="s">
        <v>627</v>
      </c>
      <c r="C38" s="83" t="s">
        <v>628</v>
      </c>
      <c r="D38" s="639">
        <v>970.49509999999998</v>
      </c>
      <c r="E38" s="1005">
        <f>D38</f>
        <v>970.49509999999998</v>
      </c>
      <c r="F38" s="583">
        <f t="shared" si="1"/>
        <v>29</v>
      </c>
      <c r="H38" s="902"/>
      <c r="I38" s="902"/>
      <c r="J38" s="920"/>
    </row>
    <row r="39" spans="1:10">
      <c r="A39" s="582">
        <f t="shared" si="0"/>
        <v>30</v>
      </c>
      <c r="B39" s="406" t="s">
        <v>629</v>
      </c>
      <c r="C39" s="83" t="s">
        <v>630</v>
      </c>
      <c r="D39" s="639">
        <v>7510.0683399999998</v>
      </c>
      <c r="E39" s="1005">
        <f>D39</f>
        <v>7510.0683399999998</v>
      </c>
      <c r="F39" s="583">
        <f t="shared" si="1"/>
        <v>30</v>
      </c>
      <c r="H39" s="902"/>
      <c r="I39" s="902"/>
      <c r="J39" s="920"/>
    </row>
    <row r="40" spans="1:10">
      <c r="A40" s="582">
        <f t="shared" si="0"/>
        <v>31</v>
      </c>
      <c r="B40" s="406" t="s">
        <v>631</v>
      </c>
      <c r="C40" s="83" t="s">
        <v>632</v>
      </c>
      <c r="D40" s="639">
        <v>185.44855999999999</v>
      </c>
      <c r="E40" s="1005"/>
      <c r="F40" s="583">
        <f t="shared" si="1"/>
        <v>31</v>
      </c>
      <c r="H40" s="902"/>
      <c r="I40" s="902"/>
      <c r="J40" s="920"/>
    </row>
    <row r="41" spans="1:10">
      <c r="A41" s="582">
        <f t="shared" si="0"/>
        <v>32</v>
      </c>
      <c r="B41" s="406" t="s">
        <v>633</v>
      </c>
      <c r="C41" s="83" t="s">
        <v>634</v>
      </c>
      <c r="D41" s="639">
        <v>229.86107999999999</v>
      </c>
      <c r="E41" s="1005"/>
      <c r="F41" s="583">
        <f t="shared" si="1"/>
        <v>32</v>
      </c>
      <c r="H41" s="902"/>
      <c r="I41" s="902"/>
      <c r="J41" s="920"/>
    </row>
    <row r="42" spans="1:10">
      <c r="A42" s="582">
        <f t="shared" si="0"/>
        <v>33</v>
      </c>
      <c r="B42" s="406" t="s">
        <v>635</v>
      </c>
      <c r="C42" s="83" t="s">
        <v>636</v>
      </c>
      <c r="D42" s="639">
        <v>363.83279999999996</v>
      </c>
      <c r="E42" s="1005">
        <f t="shared" ref="E42:E54" si="2">D42</f>
        <v>363.83279999999996</v>
      </c>
      <c r="F42" s="583">
        <f t="shared" si="1"/>
        <v>33</v>
      </c>
      <c r="H42" s="902"/>
      <c r="I42" s="902"/>
      <c r="J42" s="920"/>
    </row>
    <row r="43" spans="1:10">
      <c r="A43" s="582">
        <f t="shared" si="0"/>
        <v>34</v>
      </c>
      <c r="B43" s="406" t="s">
        <v>637</v>
      </c>
      <c r="C43" s="83" t="s">
        <v>638</v>
      </c>
      <c r="D43" s="639">
        <v>380.92503000000005</v>
      </c>
      <c r="E43" s="1005">
        <f t="shared" si="2"/>
        <v>380.92503000000005</v>
      </c>
      <c r="F43" s="583">
        <f t="shared" si="1"/>
        <v>34</v>
      </c>
      <c r="H43" s="902"/>
      <c r="I43" s="902"/>
      <c r="J43" s="920"/>
    </row>
    <row r="44" spans="1:10">
      <c r="A44" s="582">
        <f t="shared" si="0"/>
        <v>35</v>
      </c>
      <c r="B44" s="406" t="s">
        <v>639</v>
      </c>
      <c r="C44" s="83" t="s">
        <v>640</v>
      </c>
      <c r="D44" s="639">
        <v>69.516019999999997</v>
      </c>
      <c r="E44" s="1005">
        <f t="shared" si="2"/>
        <v>69.516019999999997</v>
      </c>
      <c r="F44" s="583">
        <f t="shared" si="1"/>
        <v>35</v>
      </c>
      <c r="H44" s="902"/>
      <c r="I44" s="902"/>
      <c r="J44" s="920"/>
    </row>
    <row r="45" spans="1:10">
      <c r="A45" s="582">
        <f t="shared" si="0"/>
        <v>36</v>
      </c>
      <c r="B45" s="406" t="s">
        <v>641</v>
      </c>
      <c r="C45" s="83" t="s">
        <v>642</v>
      </c>
      <c r="D45" s="639">
        <v>1217.8450700000001</v>
      </c>
      <c r="E45" s="1005">
        <f t="shared" si="2"/>
        <v>1217.8450700000001</v>
      </c>
      <c r="F45" s="583">
        <f t="shared" si="1"/>
        <v>36</v>
      </c>
      <c r="H45" s="902"/>
      <c r="I45" s="902"/>
      <c r="J45" s="920"/>
    </row>
    <row r="46" spans="1:10">
      <c r="A46" s="582">
        <f t="shared" si="0"/>
        <v>37</v>
      </c>
      <c r="B46" s="406" t="s">
        <v>643</v>
      </c>
      <c r="C46" s="83" t="s">
        <v>644</v>
      </c>
      <c r="D46" s="639">
        <v>800.99265000000003</v>
      </c>
      <c r="E46" s="1005">
        <f t="shared" si="2"/>
        <v>800.99265000000003</v>
      </c>
      <c r="F46" s="583">
        <f t="shared" si="1"/>
        <v>37</v>
      </c>
      <c r="H46" s="902"/>
      <c r="I46" s="902"/>
      <c r="J46" s="920"/>
    </row>
    <row r="47" spans="1:10">
      <c r="A47" s="582">
        <f t="shared" si="0"/>
        <v>38</v>
      </c>
      <c r="B47" s="406" t="s">
        <v>645</v>
      </c>
      <c r="C47" s="83" t="s">
        <v>646</v>
      </c>
      <c r="D47" s="639">
        <v>9.8040000000000003</v>
      </c>
      <c r="E47" s="1005">
        <f t="shared" si="2"/>
        <v>9.8040000000000003</v>
      </c>
      <c r="F47" s="583">
        <f t="shared" si="1"/>
        <v>38</v>
      </c>
      <c r="H47" s="902"/>
      <c r="I47" s="902"/>
      <c r="J47" s="920"/>
    </row>
    <row r="48" spans="1:10">
      <c r="A48" s="582">
        <f t="shared" si="0"/>
        <v>39</v>
      </c>
      <c r="B48" s="406" t="s">
        <v>647</v>
      </c>
      <c r="C48" s="83" t="s">
        <v>648</v>
      </c>
      <c r="D48" s="639">
        <v>120.4676</v>
      </c>
      <c r="E48" s="1005">
        <f t="shared" si="2"/>
        <v>120.4676</v>
      </c>
      <c r="F48" s="583">
        <f t="shared" si="1"/>
        <v>39</v>
      </c>
      <c r="H48" s="902"/>
      <c r="I48" s="902"/>
      <c r="J48" s="920"/>
    </row>
    <row r="49" spans="1:10">
      <c r="A49" s="582">
        <f t="shared" si="0"/>
        <v>40</v>
      </c>
      <c r="B49" s="406" t="s">
        <v>649</v>
      </c>
      <c r="C49" s="83" t="s">
        <v>650</v>
      </c>
      <c r="D49" s="639">
        <v>346.72058000000004</v>
      </c>
      <c r="E49" s="1005">
        <f t="shared" si="2"/>
        <v>346.72058000000004</v>
      </c>
      <c r="F49" s="583">
        <f t="shared" si="1"/>
        <v>40</v>
      </c>
      <c r="H49" s="902"/>
      <c r="I49" s="902"/>
      <c r="J49" s="920"/>
    </row>
    <row r="50" spans="1:10">
      <c r="A50" s="582">
        <f t="shared" si="0"/>
        <v>41</v>
      </c>
      <c r="B50" s="406" t="s">
        <v>651</v>
      </c>
      <c r="C50" s="83" t="s">
        <v>652</v>
      </c>
      <c r="D50" s="639">
        <v>203.94607999999999</v>
      </c>
      <c r="E50" s="1005">
        <f t="shared" si="2"/>
        <v>203.94607999999999</v>
      </c>
      <c r="F50" s="583">
        <f t="shared" si="1"/>
        <v>41</v>
      </c>
      <c r="H50" s="902"/>
      <c r="I50" s="902"/>
      <c r="J50" s="920"/>
    </row>
    <row r="51" spans="1:10">
      <c r="A51" s="582">
        <f t="shared" si="0"/>
        <v>42</v>
      </c>
      <c r="B51" s="407" t="s">
        <v>653</v>
      </c>
      <c r="C51" s="83" t="s">
        <v>654</v>
      </c>
      <c r="D51" s="639">
        <v>0</v>
      </c>
      <c r="E51" s="1005">
        <f t="shared" si="2"/>
        <v>0</v>
      </c>
      <c r="F51" s="583">
        <f t="shared" si="1"/>
        <v>42</v>
      </c>
      <c r="H51" s="903"/>
      <c r="I51" s="903"/>
      <c r="J51" s="920"/>
    </row>
    <row r="52" spans="1:10">
      <c r="A52" s="582">
        <f t="shared" si="0"/>
        <v>43</v>
      </c>
      <c r="B52" s="407" t="s">
        <v>655</v>
      </c>
      <c r="C52" s="83" t="s">
        <v>656</v>
      </c>
      <c r="D52" s="639">
        <v>0</v>
      </c>
      <c r="E52" s="1005">
        <f t="shared" si="2"/>
        <v>0</v>
      </c>
      <c r="F52" s="583">
        <f t="shared" si="1"/>
        <v>43</v>
      </c>
      <c r="H52" s="903"/>
      <c r="I52" s="903"/>
      <c r="J52" s="920"/>
    </row>
    <row r="53" spans="1:10">
      <c r="A53" s="582">
        <f t="shared" si="0"/>
        <v>44</v>
      </c>
      <c r="B53" s="406" t="s">
        <v>657</v>
      </c>
      <c r="C53" s="83" t="s">
        <v>658</v>
      </c>
      <c r="D53" s="639">
        <v>0.23061000000000001</v>
      </c>
      <c r="E53" s="1005">
        <f t="shared" si="2"/>
        <v>0.23061000000000001</v>
      </c>
      <c r="F53" s="583">
        <f t="shared" si="1"/>
        <v>44</v>
      </c>
      <c r="H53" s="902"/>
      <c r="I53" s="902"/>
      <c r="J53" s="920"/>
    </row>
    <row r="54" spans="1:10">
      <c r="A54" s="582">
        <f t="shared" si="0"/>
        <v>45</v>
      </c>
      <c r="B54" s="406" t="s">
        <v>659</v>
      </c>
      <c r="C54" s="83" t="s">
        <v>660</v>
      </c>
      <c r="D54" s="639">
        <v>834.13800000000003</v>
      </c>
      <c r="E54" s="1005">
        <f t="shared" si="2"/>
        <v>834.13800000000003</v>
      </c>
      <c r="F54" s="583">
        <f t="shared" si="1"/>
        <v>45</v>
      </c>
      <c r="H54" s="902"/>
      <c r="I54" s="902"/>
      <c r="J54" s="920"/>
    </row>
    <row r="55" spans="1:10">
      <c r="A55" s="582">
        <f t="shared" si="0"/>
        <v>46</v>
      </c>
      <c r="B55" s="1196" t="s">
        <v>661</v>
      </c>
      <c r="C55" s="1006" t="s">
        <v>662</v>
      </c>
      <c r="D55" s="1007">
        <v>0</v>
      </c>
      <c r="E55" s="1008"/>
      <c r="F55" s="583">
        <f t="shared" si="1"/>
        <v>46</v>
      </c>
      <c r="H55" s="902"/>
      <c r="I55" s="902"/>
      <c r="J55" s="920"/>
    </row>
    <row r="56" spans="1:10">
      <c r="A56" s="582">
        <f t="shared" si="0"/>
        <v>47</v>
      </c>
      <c r="B56" s="408"/>
      <c r="C56" s="410"/>
      <c r="D56" s="640"/>
      <c r="E56" s="1009"/>
      <c r="F56" s="583">
        <f t="shared" si="1"/>
        <v>47</v>
      </c>
    </row>
    <row r="57" spans="1:10" ht="16" thickBot="1">
      <c r="A57" s="582">
        <f t="shared" si="0"/>
        <v>48</v>
      </c>
      <c r="B57" s="408" t="s">
        <v>663</v>
      </c>
      <c r="C57" s="84"/>
      <c r="D57" s="1166">
        <f>SUM(D10:D55)</f>
        <v>32531.388999999999</v>
      </c>
      <c r="E57" s="641">
        <f>SUM(E10:E55)</f>
        <v>16042.717449999998</v>
      </c>
      <c r="F57" s="583">
        <f t="shared" si="1"/>
        <v>48</v>
      </c>
    </row>
    <row r="58" spans="1:10" ht="16" thickTop="1">
      <c r="A58" s="582">
        <f t="shared" si="0"/>
        <v>49</v>
      </c>
      <c r="B58" s="408"/>
      <c r="C58" s="410"/>
      <c r="D58" s="640"/>
      <c r="E58" s="1009"/>
      <c r="F58" s="583">
        <f t="shared" si="1"/>
        <v>49</v>
      </c>
    </row>
    <row r="59" spans="1:10" ht="16" thickBot="1">
      <c r="A59" s="582">
        <f t="shared" si="0"/>
        <v>50</v>
      </c>
      <c r="B59" s="408" t="s">
        <v>664</v>
      </c>
      <c r="C59" s="84"/>
      <c r="D59" s="642"/>
      <c r="E59" s="643">
        <f>D57-E57</f>
        <v>16488.671549999999</v>
      </c>
      <c r="F59" s="583">
        <f t="shared" si="1"/>
        <v>50</v>
      </c>
    </row>
    <row r="60" spans="1:10" ht="16.5" thickTop="1" thickBot="1">
      <c r="A60" s="582">
        <f t="shared" si="0"/>
        <v>51</v>
      </c>
      <c r="B60" s="409"/>
      <c r="C60" s="411"/>
      <c r="D60" s="1010"/>
      <c r="E60" s="644"/>
      <c r="F60" s="583">
        <f t="shared" si="1"/>
        <v>51</v>
      </c>
    </row>
    <row r="61" spans="1:10">
      <c r="A61" s="582"/>
      <c r="B61" s="80"/>
      <c r="C61" s="80"/>
      <c r="D61" s="81"/>
      <c r="E61" s="82"/>
      <c r="F61" s="582"/>
    </row>
    <row r="62" spans="1:10">
      <c r="A62" s="764"/>
      <c r="B62" s="765"/>
      <c r="C62" s="765"/>
      <c r="D62" s="81"/>
      <c r="E62" s="82"/>
      <c r="F62" s="582"/>
    </row>
    <row r="63" spans="1:10" ht="18">
      <c r="A63" s="766">
        <v>1</v>
      </c>
      <c r="B63" s="767" t="s">
        <v>665</v>
      </c>
      <c r="C63" s="765"/>
      <c r="D63" s="80"/>
      <c r="E63" s="80"/>
      <c r="F63" s="582"/>
    </row>
    <row r="64" spans="1:10" ht="18">
      <c r="A64" s="766">
        <v>2</v>
      </c>
      <c r="B64" s="767" t="s">
        <v>666</v>
      </c>
      <c r="C64" s="765"/>
      <c r="D64" s="80"/>
      <c r="E64" s="80"/>
      <c r="F64" s="582"/>
    </row>
    <row r="65" spans="1:3" ht="18.5">
      <c r="A65" s="768"/>
      <c r="B65" s="3"/>
      <c r="C65" s="3"/>
    </row>
    <row r="66" spans="1:3">
      <c r="A66" s="247"/>
      <c r="B66" s="3"/>
      <c r="C66" s="3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1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/>
  </sheetViews>
  <sheetFormatPr defaultColWidth="8.6328125" defaultRowHeight="15.5"/>
  <cols>
    <col min="1" max="1" width="5.08984375" style="247" customWidth="1"/>
    <col min="2" max="2" width="69.08984375" style="136" bestFit="1" customWidth="1"/>
    <col min="3" max="3" width="21.08984375" style="350" customWidth="1"/>
    <col min="4" max="4" width="1.54296875" style="136" customWidth="1"/>
    <col min="5" max="5" width="16.6328125" style="136" customWidth="1"/>
    <col min="6" max="6" width="1.54296875" style="136" customWidth="1"/>
    <col min="7" max="7" width="34.54296875" style="136" customWidth="1"/>
    <col min="8" max="8" width="5.08984375" style="119" customWidth="1"/>
    <col min="9" max="9" width="20.36328125" style="136" bestFit="1" customWidth="1"/>
    <col min="10" max="16384" width="8.6328125" style="136"/>
  </cols>
  <sheetData>
    <row r="1" spans="1:8">
      <c r="B1" s="18"/>
      <c r="E1" s="342"/>
      <c r="F1" s="355"/>
      <c r="G1" s="119"/>
    </row>
    <row r="2" spans="1:8">
      <c r="B2" s="1296" t="s">
        <v>0</v>
      </c>
      <c r="C2" s="1296"/>
      <c r="D2" s="1296"/>
      <c r="E2" s="1296"/>
      <c r="F2" s="1296"/>
      <c r="G2" s="1296"/>
    </row>
    <row r="3" spans="1:8">
      <c r="B3" s="1296" t="s">
        <v>667</v>
      </c>
      <c r="C3" s="1296"/>
      <c r="D3" s="1296"/>
      <c r="E3" s="1296"/>
      <c r="F3" s="1296"/>
      <c r="G3" s="1296"/>
    </row>
    <row r="4" spans="1:8">
      <c r="B4" s="1296" t="s">
        <v>668</v>
      </c>
      <c r="C4" s="1296"/>
      <c r="D4" s="1296"/>
      <c r="E4" s="1296"/>
      <c r="F4" s="1296"/>
      <c r="G4" s="1296"/>
    </row>
    <row r="5" spans="1:8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</row>
    <row r="6" spans="1:8" ht="15.75" customHeight="1">
      <c r="B6" s="1309">
        <v>-1000</v>
      </c>
      <c r="C6" s="1309"/>
      <c r="D6" s="1309"/>
      <c r="E6" s="1309"/>
      <c r="F6" s="1309"/>
      <c r="G6" s="1309"/>
    </row>
    <row r="7" spans="1:8">
      <c r="B7" s="119"/>
      <c r="D7" s="119"/>
      <c r="E7" s="119"/>
      <c r="F7" s="109"/>
      <c r="G7" s="119"/>
    </row>
    <row r="8" spans="1:8">
      <c r="A8" s="119" t="s">
        <v>4</v>
      </c>
      <c r="B8" s="109"/>
      <c r="C8" s="247" t="s">
        <v>189</v>
      </c>
      <c r="D8" s="109"/>
      <c r="E8" s="341"/>
      <c r="F8" s="109"/>
      <c r="G8" s="119"/>
      <c r="H8" s="119" t="s">
        <v>4</v>
      </c>
    </row>
    <row r="9" spans="1:8">
      <c r="A9" s="119" t="s">
        <v>5</v>
      </c>
      <c r="B9" s="109"/>
      <c r="C9" s="997" t="s">
        <v>191</v>
      </c>
      <c r="D9" s="109"/>
      <c r="E9" s="1011" t="s">
        <v>7</v>
      </c>
      <c r="F9" s="109"/>
      <c r="G9" s="1012" t="s">
        <v>8</v>
      </c>
      <c r="H9" s="119" t="s">
        <v>5</v>
      </c>
    </row>
    <row r="10" spans="1:8">
      <c r="A10" s="119"/>
      <c r="B10" s="109"/>
      <c r="C10" s="378"/>
      <c r="D10" s="109"/>
      <c r="E10" s="119"/>
      <c r="F10" s="109"/>
      <c r="G10" s="119"/>
    </row>
    <row r="11" spans="1:8">
      <c r="A11" s="247">
        <v>1</v>
      </c>
      <c r="B11" s="16" t="s">
        <v>669</v>
      </c>
      <c r="C11" s="119"/>
      <c r="D11" s="119"/>
      <c r="E11" s="887">
        <v>0</v>
      </c>
      <c r="F11" s="119"/>
      <c r="G11" s="354" t="s">
        <v>307</v>
      </c>
      <c r="H11" s="247">
        <f>A11</f>
        <v>1</v>
      </c>
    </row>
    <row r="12" spans="1:8">
      <c r="A12" s="247">
        <v>2</v>
      </c>
      <c r="B12" s="16"/>
      <c r="E12" s="388"/>
      <c r="F12" s="352"/>
      <c r="G12" s="354"/>
      <c r="H12" s="247">
        <f>H11+1</f>
        <v>2</v>
      </c>
    </row>
    <row r="13" spans="1:8">
      <c r="A13" s="247">
        <v>3</v>
      </c>
      <c r="B13" s="16" t="s">
        <v>670</v>
      </c>
      <c r="C13" s="119" t="s">
        <v>977</v>
      </c>
      <c r="E13" s="888">
        <v>0</v>
      </c>
      <c r="F13" s="352"/>
      <c r="G13" s="354" t="s">
        <v>307</v>
      </c>
      <c r="H13" s="247">
        <f t="shared" ref="H13:H33" si="0">H12+1</f>
        <v>3</v>
      </c>
    </row>
    <row r="14" spans="1:8">
      <c r="A14" s="247">
        <v>4</v>
      </c>
      <c r="C14" s="119"/>
      <c r="E14" s="388"/>
      <c r="F14" s="352"/>
      <c r="G14" s="354"/>
      <c r="H14" s="247">
        <f t="shared" si="0"/>
        <v>4</v>
      </c>
    </row>
    <row r="15" spans="1:8">
      <c r="A15" s="119">
        <v>5</v>
      </c>
      <c r="B15" s="16" t="s">
        <v>918</v>
      </c>
      <c r="C15" s="119" t="s">
        <v>978</v>
      </c>
      <c r="E15" s="884">
        <f>'AJ-1'!C15</f>
        <v>26427.473339999971</v>
      </c>
      <c r="F15" s="355"/>
      <c r="G15" s="354" t="str">
        <f>"AJ-1; Line "&amp;'AJ-1'!A15</f>
        <v>AJ-1; Line 1</v>
      </c>
      <c r="H15" s="247">
        <f t="shared" si="0"/>
        <v>5</v>
      </c>
    </row>
    <row r="16" spans="1:8">
      <c r="A16" s="119">
        <v>6</v>
      </c>
      <c r="B16" s="193"/>
      <c r="E16" s="361"/>
      <c r="F16" s="355"/>
      <c r="G16" s="354"/>
      <c r="H16" s="247">
        <f t="shared" si="0"/>
        <v>6</v>
      </c>
    </row>
    <row r="17" spans="1:8">
      <c r="A17" s="119">
        <v>7</v>
      </c>
      <c r="B17" s="136" t="s">
        <v>671</v>
      </c>
      <c r="C17" s="119" t="s">
        <v>979</v>
      </c>
      <c r="E17" s="390">
        <f>'AJ-2'!D15</f>
        <v>164469.95111599998</v>
      </c>
      <c r="F17" s="119"/>
      <c r="G17" s="354" t="str">
        <f>"AJ-2; Line "&amp;'AJ-2'!A15</f>
        <v>AJ-2; Line 3</v>
      </c>
      <c r="H17" s="247">
        <f t="shared" si="0"/>
        <v>7</v>
      </c>
    </row>
    <row r="18" spans="1:8">
      <c r="A18" s="247">
        <v>8</v>
      </c>
      <c r="B18" s="810"/>
      <c r="E18" s="356"/>
      <c r="H18" s="247">
        <f t="shared" si="0"/>
        <v>8</v>
      </c>
    </row>
    <row r="19" spans="1:8">
      <c r="A19" s="247">
        <v>9</v>
      </c>
      <c r="B19" s="136" t="s">
        <v>198</v>
      </c>
      <c r="C19" s="119"/>
      <c r="E19" s="1013">
        <f>'Stmt AI'!E27</f>
        <v>0.10138604007611932</v>
      </c>
      <c r="G19" s="247" t="str">
        <f>"Statement AI; Line "&amp;'Stmt AI'!A27</f>
        <v>Statement AI; Line 17</v>
      </c>
      <c r="H19" s="247">
        <f t="shared" si="0"/>
        <v>9</v>
      </c>
    </row>
    <row r="20" spans="1:8">
      <c r="A20" s="247">
        <v>10</v>
      </c>
      <c r="E20" s="885"/>
      <c r="H20" s="247">
        <f t="shared" si="0"/>
        <v>10</v>
      </c>
    </row>
    <row r="21" spans="1:8">
      <c r="A21" s="247">
        <v>11</v>
      </c>
      <c r="B21" s="136" t="s">
        <v>672</v>
      </c>
      <c r="E21" s="886">
        <f>E13*$E$19</f>
        <v>0</v>
      </c>
      <c r="G21" s="446" t="str">
        <f>"Line "&amp;A13&amp;" x Line "&amp;A19</f>
        <v>Line 3 x Line 9</v>
      </c>
      <c r="H21" s="247">
        <f t="shared" si="0"/>
        <v>11</v>
      </c>
    </row>
    <row r="22" spans="1:8">
      <c r="A22" s="247">
        <v>12</v>
      </c>
      <c r="E22" s="885"/>
      <c r="G22" s="437"/>
      <c r="H22" s="247">
        <f t="shared" si="0"/>
        <v>12</v>
      </c>
    </row>
    <row r="23" spans="1:8">
      <c r="A23" s="247">
        <v>13</v>
      </c>
      <c r="B23" s="136" t="s">
        <v>673</v>
      </c>
      <c r="E23" s="366">
        <f>E15*$E$19</f>
        <v>2679.3768711598118</v>
      </c>
      <c r="G23" s="446" t="str">
        <f>"Line "&amp;A15&amp;" x Line "&amp;A19</f>
        <v>Line 5 x Line 9</v>
      </c>
      <c r="H23" s="247">
        <f t="shared" si="0"/>
        <v>13</v>
      </c>
    </row>
    <row r="24" spans="1:8">
      <c r="A24" s="247">
        <v>14</v>
      </c>
      <c r="B24" s="136" t="s">
        <v>186</v>
      </c>
      <c r="E24" s="391"/>
      <c r="G24" s="437"/>
      <c r="H24" s="247">
        <f t="shared" si="0"/>
        <v>14</v>
      </c>
    </row>
    <row r="25" spans="1:8">
      <c r="A25" s="247">
        <v>15</v>
      </c>
      <c r="B25" s="136" t="s">
        <v>674</v>
      </c>
      <c r="E25" s="1014">
        <f>E17*$E$19</f>
        <v>16674.957055164159</v>
      </c>
      <c r="G25" s="446" t="str">
        <f>"Line "&amp;A17&amp;" x Line "&amp;A19</f>
        <v>Line 7 x Line 9</v>
      </c>
      <c r="H25" s="247">
        <f t="shared" si="0"/>
        <v>15</v>
      </c>
    </row>
    <row r="26" spans="1:8">
      <c r="A26" s="247">
        <v>16</v>
      </c>
      <c r="E26" s="391"/>
      <c r="H26" s="247">
        <f t="shared" si="0"/>
        <v>16</v>
      </c>
    </row>
    <row r="27" spans="1:8" ht="16" thickBot="1">
      <c r="A27" s="247">
        <v>17</v>
      </c>
      <c r="B27" s="136" t="s">
        <v>675</v>
      </c>
      <c r="E27" s="1167">
        <f>E11+E21+E23+E25</f>
        <v>19354.333926323972</v>
      </c>
      <c r="G27" s="354" t="str">
        <f>"Line "&amp;A11&amp;" + (Sum Lines "&amp;A21&amp;" thru "&amp;A25&amp;")"</f>
        <v>Line 1 + (Sum Lines 11 thru 15)</v>
      </c>
      <c r="H27" s="247">
        <f t="shared" si="0"/>
        <v>17</v>
      </c>
    </row>
    <row r="28" spans="1:8" ht="16" thickTop="1">
      <c r="A28" s="247">
        <v>18</v>
      </c>
      <c r="E28" s="351"/>
      <c r="H28" s="247">
        <f t="shared" si="0"/>
        <v>18</v>
      </c>
    </row>
    <row r="29" spans="1:8" ht="16" thickBot="1">
      <c r="A29" s="247">
        <v>19</v>
      </c>
      <c r="B29" s="136" t="s">
        <v>676</v>
      </c>
      <c r="E29" s="882">
        <v>0</v>
      </c>
      <c r="G29" s="119" t="s">
        <v>307</v>
      </c>
      <c r="H29" s="247">
        <f t="shared" si="0"/>
        <v>19</v>
      </c>
    </row>
    <row r="30" spans="1:8" ht="16" thickTop="1">
      <c r="A30" s="247">
        <v>20</v>
      </c>
      <c r="H30" s="247">
        <f t="shared" si="0"/>
        <v>20</v>
      </c>
    </row>
    <row r="31" spans="1:8" ht="19" thickBot="1">
      <c r="A31" s="247">
        <v>21</v>
      </c>
      <c r="B31" s="136" t="s">
        <v>919</v>
      </c>
      <c r="E31" s="1168">
        <v>0</v>
      </c>
      <c r="G31" s="119" t="str">
        <f>"Not Applicable to "&amp;Automation!B3&amp;" Base Period"</f>
        <v>Not Applicable to 2023 Base Period</v>
      </c>
      <c r="H31" s="247">
        <f t="shared" si="0"/>
        <v>21</v>
      </c>
    </row>
    <row r="32" spans="1:8" ht="16" thickTop="1">
      <c r="A32" s="247">
        <v>22</v>
      </c>
      <c r="E32" s="361"/>
      <c r="H32" s="247">
        <f t="shared" si="0"/>
        <v>22</v>
      </c>
    </row>
    <row r="33" spans="1:9" ht="16" thickBot="1">
      <c r="A33" s="247">
        <v>23</v>
      </c>
      <c r="B33" s="136" t="s">
        <v>677</v>
      </c>
      <c r="E33" s="882">
        <v>0</v>
      </c>
      <c r="G33" s="119" t="s">
        <v>307</v>
      </c>
      <c r="H33" s="247">
        <f t="shared" si="0"/>
        <v>23</v>
      </c>
    </row>
    <row r="34" spans="1:9" ht="16" thickTop="1"/>
    <row r="36" spans="1:9" ht="18">
      <c r="A36" s="477">
        <v>1</v>
      </c>
      <c r="B36" s="136" t="s">
        <v>678</v>
      </c>
    </row>
    <row r="38" spans="1:9">
      <c r="I38" s="193"/>
    </row>
    <row r="39" spans="1:9">
      <c r="I39" s="193"/>
    </row>
    <row r="41" spans="1:9" ht="18">
      <c r="A41" s="47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Roman,Regular"&amp;10AJ</oddFooter>
  </headerFooter>
  <customProperties>
    <customPr name="_pios_id" r:id="rId2"/>
  </customPropertie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G37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41.54296875" style="110" customWidth="1"/>
    <col min="3" max="3" width="22.6328125" style="110" customWidth="1"/>
    <col min="4" max="4" width="50.54296875" style="110" customWidth="1"/>
    <col min="5" max="5" width="5.08984375" style="109" customWidth="1"/>
    <col min="6" max="6" width="11" style="110" customWidth="1"/>
    <col min="7" max="7" width="9.08984375" style="110" bestFit="1" customWidth="1"/>
    <col min="8" max="8" width="9.08984375" style="110" customWidth="1"/>
    <col min="9" max="9" width="14" style="110" customWidth="1"/>
    <col min="10" max="10" width="13.36328125" style="110" customWidth="1"/>
    <col min="11" max="16384" width="9.08984375" style="110"/>
  </cols>
  <sheetData>
    <row r="2" spans="1:7">
      <c r="B2" s="1296" t="s">
        <v>0</v>
      </c>
      <c r="C2" s="1296"/>
      <c r="D2" s="1296"/>
    </row>
    <row r="3" spans="1:7">
      <c r="B3" s="1296" t="s">
        <v>679</v>
      </c>
      <c r="C3" s="1296"/>
      <c r="D3" s="1296"/>
    </row>
    <row r="4" spans="1:7">
      <c r="B4" s="1296" t="s">
        <v>680</v>
      </c>
      <c r="C4" s="1296"/>
      <c r="D4" s="1296"/>
    </row>
    <row r="5" spans="1:7">
      <c r="B5" s="1296" t="str">
        <f>"BASE PERIOD / TRUE UP PERIOD - 12/31/"&amp;Automation!$B$3&amp;" PER BOOK"</f>
        <v>BASE PERIOD / TRUE UP PERIOD - 12/31/2023 PER BOOK</v>
      </c>
      <c r="C5" s="1296"/>
      <c r="D5" s="1296"/>
    </row>
    <row r="6" spans="1:7">
      <c r="B6" s="1300" t="s">
        <v>3</v>
      </c>
      <c r="C6" s="1300"/>
      <c r="D6" s="1300"/>
    </row>
    <row r="7" spans="1:7">
      <c r="B7" s="111"/>
      <c r="C7" s="111"/>
      <c r="D7" s="111"/>
    </row>
    <row r="8" spans="1:7">
      <c r="B8" s="1296" t="s">
        <v>292</v>
      </c>
      <c r="C8" s="1296"/>
      <c r="D8" s="1296"/>
    </row>
    <row r="10" spans="1:7" ht="15.5">
      <c r="B10" s="857"/>
      <c r="C10" s="971" t="s">
        <v>376</v>
      </c>
      <c r="D10" s="967"/>
      <c r="E10" s="119"/>
    </row>
    <row r="11" spans="1:7" ht="15.5">
      <c r="A11" s="119"/>
      <c r="B11" s="116"/>
      <c r="C11" s="116" t="s">
        <v>681</v>
      </c>
      <c r="D11" s="118"/>
      <c r="E11" s="119"/>
    </row>
    <row r="12" spans="1:7" ht="15.5">
      <c r="A12" s="119" t="s">
        <v>4</v>
      </c>
      <c r="B12" s="116"/>
      <c r="C12" s="116" t="s">
        <v>238</v>
      </c>
      <c r="D12" s="118"/>
      <c r="E12" s="119" t="s">
        <v>4</v>
      </c>
    </row>
    <row r="13" spans="1:7" ht="15.5">
      <c r="A13" s="119" t="s">
        <v>5</v>
      </c>
      <c r="B13" s="1015" t="s">
        <v>124</v>
      </c>
      <c r="C13" s="1015" t="s">
        <v>682</v>
      </c>
      <c r="D13" s="1015" t="s">
        <v>8</v>
      </c>
      <c r="E13" s="119" t="s">
        <v>5</v>
      </c>
    </row>
    <row r="14" spans="1:7" ht="15.5">
      <c r="A14" s="119"/>
      <c r="B14" s="120"/>
      <c r="C14" s="196"/>
      <c r="D14" s="205"/>
      <c r="E14" s="119"/>
    </row>
    <row r="15" spans="1:7" ht="15.5">
      <c r="A15" s="119">
        <v>1</v>
      </c>
      <c r="B15" s="331" t="str">
        <f>"Dec-"&amp;RIGHT(Automation!$B$3,2)</f>
        <v>Dec-23</v>
      </c>
      <c r="C15" s="199">
        <v>26427.473339999971</v>
      </c>
      <c r="D15" s="1242" t="s">
        <v>980</v>
      </c>
      <c r="E15" s="119">
        <f>A15</f>
        <v>1</v>
      </c>
      <c r="F15" s="418"/>
      <c r="G15" s="1205"/>
    </row>
    <row r="16" spans="1:7" ht="15.5">
      <c r="A16" s="119">
        <f>A15+1</f>
        <v>2</v>
      </c>
      <c r="B16" s="1016"/>
      <c r="C16" s="1017"/>
      <c r="D16" s="1017"/>
      <c r="E16" s="119">
        <f>E15+1</f>
        <v>2</v>
      </c>
    </row>
    <row r="17" spans="1:6" ht="15.5">
      <c r="A17" s="119"/>
      <c r="B17" s="136"/>
      <c r="C17" s="204"/>
      <c r="D17" s="136"/>
      <c r="E17" s="119"/>
    </row>
    <row r="18" spans="1:6" ht="15.5">
      <c r="B18" s="136"/>
      <c r="C18" s="136"/>
      <c r="D18" s="136"/>
    </row>
    <row r="19" spans="1:6" ht="18">
      <c r="A19" s="135"/>
      <c r="B19" s="136"/>
      <c r="C19" s="136"/>
      <c r="D19" s="136"/>
    </row>
    <row r="20" spans="1:6" ht="15.5">
      <c r="B20" s="136"/>
      <c r="C20" s="136"/>
      <c r="D20" s="136"/>
    </row>
    <row r="21" spans="1:6" ht="15.5">
      <c r="B21" s="136"/>
      <c r="C21" s="136"/>
      <c r="D21" s="136"/>
    </row>
    <row r="22" spans="1:6" ht="15.5">
      <c r="B22" s="136"/>
      <c r="C22" s="136"/>
      <c r="D22" s="136"/>
      <c r="F22" s="193"/>
    </row>
    <row r="23" spans="1:6" ht="15.5">
      <c r="B23" s="136"/>
      <c r="C23" s="136"/>
      <c r="D23" s="136"/>
      <c r="F23" s="193"/>
    </row>
    <row r="24" spans="1:6" ht="15.5">
      <c r="B24" s="136"/>
      <c r="C24" s="136"/>
      <c r="D24" s="136"/>
    </row>
    <row r="25" spans="1:6" ht="15.5">
      <c r="B25" s="136"/>
      <c r="C25" s="136"/>
      <c r="D25" s="136"/>
    </row>
    <row r="26" spans="1:6" ht="15.5">
      <c r="B26" s="136"/>
      <c r="C26" s="136"/>
      <c r="D26" s="136"/>
    </row>
    <row r="27" spans="1:6" ht="15.5">
      <c r="B27" s="136"/>
      <c r="C27" s="136"/>
      <c r="D27" s="136"/>
    </row>
    <row r="28" spans="1:6" ht="15.5">
      <c r="B28" s="136"/>
      <c r="C28" s="136"/>
      <c r="D28" s="136"/>
    </row>
    <row r="29" spans="1:6" ht="15.5">
      <c r="B29" s="136"/>
      <c r="C29" s="136"/>
      <c r="D29" s="136"/>
    </row>
    <row r="30" spans="1:6" ht="15.5">
      <c r="B30" s="136"/>
      <c r="C30" s="136"/>
      <c r="D30" s="136"/>
    </row>
    <row r="31" spans="1:6" s="136" customFormat="1" ht="15.5">
      <c r="A31" s="119"/>
      <c r="E31" s="119"/>
    </row>
    <row r="32" spans="1:6" s="136" customFormat="1" ht="15.5">
      <c r="A32" s="119"/>
      <c r="E32" s="119"/>
    </row>
    <row r="33" spans="1:5" s="136" customFormat="1" ht="15.5">
      <c r="A33" s="119"/>
      <c r="E33" s="119"/>
    </row>
    <row r="34" spans="1:5" s="136" customFormat="1" ht="15.5">
      <c r="A34" s="119"/>
      <c r="E34" s="119"/>
    </row>
    <row r="35" spans="1:5" s="136" customFormat="1" ht="15.5">
      <c r="A35" s="119"/>
      <c r="E35" s="119"/>
    </row>
    <row r="36" spans="1:5" s="136" customFormat="1" ht="15.5">
      <c r="A36" s="119"/>
      <c r="E36" s="119"/>
    </row>
    <row r="37" spans="1:5" s="136" customFormat="1" ht="15.5">
      <c r="A37" s="119"/>
      <c r="E37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/>
  </sheetViews>
  <sheetFormatPr defaultColWidth="9.08984375" defaultRowHeight="15"/>
  <cols>
    <col min="1" max="1" width="5.08984375" style="109" customWidth="1"/>
    <col min="2" max="2" width="8.54296875" style="110" customWidth="1"/>
    <col min="3" max="3" width="41.08984375" style="110" customWidth="1"/>
    <col min="4" max="4" width="18.54296875" style="110" customWidth="1"/>
    <col min="5" max="5" width="62.54296875" style="110" customWidth="1"/>
    <col min="6" max="6" width="5.08984375" style="109" customWidth="1"/>
    <col min="7" max="7" width="24" style="110" customWidth="1"/>
    <col min="8" max="8" width="11" style="110" customWidth="1"/>
    <col min="9" max="9" width="7.08984375" style="110" customWidth="1"/>
    <col min="10" max="10" width="9.08984375" style="110" customWidth="1"/>
    <col min="11" max="11" width="14" style="110" customWidth="1"/>
    <col min="12" max="12" width="13.36328125" style="110" customWidth="1"/>
    <col min="13" max="16384" width="9.08984375" style="110"/>
  </cols>
  <sheetData>
    <row r="2" spans="1:7">
      <c r="B2" s="1296" t="s">
        <v>0</v>
      </c>
      <c r="C2" s="1296"/>
      <c r="D2" s="1296"/>
      <c r="E2" s="1296"/>
    </row>
    <row r="3" spans="1:7">
      <c r="B3" s="1296" t="s">
        <v>679</v>
      </c>
      <c r="C3" s="1296"/>
      <c r="D3" s="1296"/>
      <c r="E3" s="1296"/>
    </row>
    <row r="4" spans="1:7">
      <c r="B4" s="1296" t="s">
        <v>680</v>
      </c>
      <c r="C4" s="1296"/>
      <c r="D4" s="1296"/>
      <c r="E4" s="1296"/>
    </row>
    <row r="5" spans="1:7">
      <c r="B5" s="1310" t="str">
        <f>"BASE PERIOD / TRUE UP PERIOD - 12/31/"&amp;Automation!$B$3&amp;" PER BOOK"</f>
        <v>BASE PERIOD / TRUE UP PERIOD - 12/31/2023 PER BOOK</v>
      </c>
      <c r="C5" s="1310"/>
      <c r="D5" s="1310"/>
      <c r="E5" s="1310"/>
      <c r="F5" s="1090"/>
    </row>
    <row r="6" spans="1:7">
      <c r="B6" s="1311" t="s">
        <v>3</v>
      </c>
      <c r="C6" s="1311"/>
      <c r="D6" s="1311"/>
      <c r="E6" s="1311"/>
      <c r="F6" s="1090"/>
      <c r="G6"/>
    </row>
    <row r="7" spans="1:7">
      <c r="B7" s="531"/>
      <c r="C7" s="531"/>
      <c r="D7" s="531"/>
      <c r="E7" s="531"/>
      <c r="F7" s="1090"/>
    </row>
    <row r="8" spans="1:7">
      <c r="B8" s="1310" t="s">
        <v>294</v>
      </c>
      <c r="C8" s="1310"/>
      <c r="D8" s="1310"/>
      <c r="E8" s="1310"/>
      <c r="F8" s="1090"/>
    </row>
    <row r="9" spans="1:7">
      <c r="B9" s="530"/>
      <c r="C9" s="530"/>
      <c r="D9" s="530"/>
      <c r="E9" s="530"/>
      <c r="F9" s="1090"/>
    </row>
    <row r="10" spans="1:7" ht="15.5">
      <c r="A10" s="119" t="s">
        <v>4</v>
      </c>
      <c r="B10" s="524"/>
      <c r="C10" s="524"/>
      <c r="D10" s="525"/>
      <c r="E10" s="965"/>
      <c r="F10" s="119" t="s">
        <v>4</v>
      </c>
    </row>
    <row r="11" spans="1:7" ht="15.5">
      <c r="A11" s="119" t="s">
        <v>5</v>
      </c>
      <c r="B11" s="1018" t="s">
        <v>124</v>
      </c>
      <c r="C11" s="1018" t="s">
        <v>262</v>
      </c>
      <c r="D11" s="1018" t="s">
        <v>7</v>
      </c>
      <c r="E11" s="1015" t="s">
        <v>8</v>
      </c>
      <c r="F11" s="119" t="s">
        <v>5</v>
      </c>
    </row>
    <row r="12" spans="1:7" ht="15.5">
      <c r="A12" s="119"/>
      <c r="B12" s="968"/>
      <c r="C12" s="968"/>
      <c r="D12" s="968"/>
      <c r="E12" s="527"/>
      <c r="F12" s="584"/>
      <c r="G12" s="418"/>
    </row>
    <row r="13" spans="1:7" ht="15.5">
      <c r="A13" s="119">
        <v>1</v>
      </c>
      <c r="B13" s="198" t="str">
        <f>"Dec-"&amp;RIGHT(Automation!$B$3,2)</f>
        <v>Dec-23</v>
      </c>
      <c r="C13" s="198" t="s">
        <v>295</v>
      </c>
      <c r="D13" s="1247">
        <v>222557.44399999999</v>
      </c>
      <c r="E13" s="1243" t="s">
        <v>1017</v>
      </c>
      <c r="F13" s="119">
        <f>A13</f>
        <v>1</v>
      </c>
      <c r="G13" s="418"/>
    </row>
    <row r="14" spans="1:7" ht="15.5">
      <c r="A14" s="119">
        <f>A13+1</f>
        <v>2</v>
      </c>
      <c r="B14" s="198"/>
      <c r="C14" s="198" t="s">
        <v>296</v>
      </c>
      <c r="D14" s="1019">
        <v>0.73899999999999999</v>
      </c>
      <c r="E14" s="1244" t="s">
        <v>1018</v>
      </c>
      <c r="F14" s="119">
        <f>F13+1</f>
        <v>2</v>
      </c>
      <c r="G14" s="418"/>
    </row>
    <row r="15" spans="1:7" ht="15.5">
      <c r="A15" s="119">
        <f t="shared" ref="A15:A16" si="0">A14+1</f>
        <v>3</v>
      </c>
      <c r="B15" s="198"/>
      <c r="C15" s="198" t="s">
        <v>683</v>
      </c>
      <c r="D15" s="532">
        <f>D13*D14</f>
        <v>164469.95111599998</v>
      </c>
      <c r="E15" s="1242" t="s">
        <v>981</v>
      </c>
      <c r="F15" s="119">
        <f t="shared" ref="F15:F16" si="1">F14+1</f>
        <v>3</v>
      </c>
      <c r="G15" s="418"/>
    </row>
    <row r="16" spans="1:7" ht="15.5">
      <c r="A16" s="119">
        <f t="shared" si="0"/>
        <v>4</v>
      </c>
      <c r="B16" s="1020"/>
      <c r="C16" s="1018"/>
      <c r="D16" s="1020"/>
      <c r="E16" s="1021"/>
      <c r="F16" s="119">
        <f t="shared" si="1"/>
        <v>4</v>
      </c>
      <c r="G16" s="418"/>
    </row>
    <row r="17" spans="1:7" ht="15.5">
      <c r="A17" s="119"/>
      <c r="B17" s="136"/>
      <c r="C17" s="136"/>
      <c r="D17" s="159"/>
      <c r="E17" s="136"/>
      <c r="F17" s="119"/>
      <c r="G17" s="418"/>
    </row>
    <row r="18" spans="1:7" ht="15.5">
      <c r="B18" s="136"/>
      <c r="C18" s="136"/>
      <c r="D18" s="136"/>
      <c r="E18" s="136"/>
      <c r="F18" s="119"/>
      <c r="G18" s="418"/>
    </row>
    <row r="19" spans="1:7" ht="15.5">
      <c r="B19" s="136"/>
      <c r="C19" s="136"/>
      <c r="D19" s="136"/>
      <c r="E19" s="136"/>
      <c r="G19" s="418"/>
    </row>
    <row r="20" spans="1:7" ht="15.5">
      <c r="B20" s="136"/>
      <c r="C20" s="136"/>
      <c r="D20" s="136"/>
      <c r="E20" s="136"/>
      <c r="G20" s="418"/>
    </row>
    <row r="21" spans="1:7">
      <c r="G21" s="418"/>
    </row>
    <row r="22" spans="1:7">
      <c r="G22" s="15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0"/>
  <sheetViews>
    <sheetView zoomScale="80" zoomScaleNormal="80" zoomScalePageLayoutView="80" workbookViewId="0"/>
  </sheetViews>
  <sheetFormatPr defaultColWidth="8.6328125" defaultRowHeight="15.5"/>
  <cols>
    <col min="1" max="1" width="5.08984375" style="119" bestFit="1" customWidth="1"/>
    <col min="2" max="2" width="62.08984375" style="136" customWidth="1"/>
    <col min="3" max="3" width="25.36328125" style="136" customWidth="1"/>
    <col min="4" max="4" width="1.54296875" style="136" customWidth="1"/>
    <col min="5" max="5" width="16.6328125" style="136" customWidth="1"/>
    <col min="6" max="6" width="1.54296875" style="136" customWidth="1"/>
    <col min="7" max="7" width="35.6328125" style="136" customWidth="1"/>
    <col min="8" max="8" width="5.08984375" style="136" bestFit="1" customWidth="1"/>
    <col min="9" max="9" width="8.6328125" style="136"/>
    <col min="10" max="10" width="19.08984375" style="136" customWidth="1"/>
    <col min="11" max="11" width="17.6328125" style="136" customWidth="1"/>
    <col min="12" max="12" width="17.54296875" style="136" customWidth="1"/>
    <col min="13" max="16384" width="8.6328125" style="136"/>
  </cols>
  <sheetData>
    <row r="1" spans="1:11">
      <c r="A1" s="119" t="s">
        <v>186</v>
      </c>
      <c r="G1" s="119"/>
      <c r="H1" s="119"/>
    </row>
    <row r="2" spans="1:11">
      <c r="B2" s="1296" t="s">
        <v>0</v>
      </c>
      <c r="C2" s="1296"/>
      <c r="D2" s="1296"/>
      <c r="E2" s="1296"/>
      <c r="F2" s="1296"/>
      <c r="G2" s="1296"/>
      <c r="H2" s="119"/>
    </row>
    <row r="3" spans="1:11">
      <c r="B3" s="1296" t="s">
        <v>684</v>
      </c>
      <c r="C3" s="1296"/>
      <c r="D3" s="1296"/>
      <c r="E3" s="1296"/>
      <c r="F3" s="1296"/>
      <c r="G3" s="1296"/>
      <c r="H3" s="119"/>
    </row>
    <row r="4" spans="1:11">
      <c r="B4" s="1296" t="s">
        <v>685</v>
      </c>
      <c r="C4" s="1296"/>
      <c r="D4" s="1296"/>
      <c r="E4" s="1296"/>
      <c r="F4" s="1296"/>
      <c r="G4" s="1296"/>
      <c r="H4" s="119"/>
    </row>
    <row r="5" spans="1:11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  <c r="H5" s="119"/>
    </row>
    <row r="6" spans="1:11">
      <c r="B6" s="1300" t="s">
        <v>3</v>
      </c>
      <c r="C6" s="1297"/>
      <c r="D6" s="1297"/>
      <c r="E6" s="1297"/>
      <c r="F6" s="1297"/>
      <c r="G6" s="1297"/>
      <c r="H6" s="119"/>
    </row>
    <row r="7" spans="1:11">
      <c r="B7" s="119"/>
      <c r="C7" s="119"/>
      <c r="D7" s="119"/>
      <c r="E7" s="119"/>
      <c r="F7" s="119"/>
      <c r="G7" s="119"/>
      <c r="H7" s="119"/>
    </row>
    <row r="8" spans="1:11">
      <c r="A8" s="119" t="s">
        <v>4</v>
      </c>
      <c r="B8" s="109"/>
      <c r="C8" s="247" t="s">
        <v>189</v>
      </c>
      <c r="D8" s="109"/>
      <c r="E8" s="109"/>
      <c r="F8" s="109"/>
      <c r="G8" s="119"/>
      <c r="H8" s="119" t="s">
        <v>4</v>
      </c>
    </row>
    <row r="9" spans="1:11">
      <c r="A9" s="119" t="s">
        <v>5</v>
      </c>
      <c r="B9" s="109"/>
      <c r="C9" s="997" t="s">
        <v>191</v>
      </c>
      <c r="D9" s="109"/>
      <c r="E9" s="1011" t="s">
        <v>7</v>
      </c>
      <c r="F9" s="109"/>
      <c r="G9" s="1012" t="s">
        <v>8</v>
      </c>
      <c r="H9" s="119" t="s">
        <v>5</v>
      </c>
    </row>
    <row r="10" spans="1:11">
      <c r="B10" s="119"/>
      <c r="C10" s="119"/>
      <c r="D10" s="119"/>
      <c r="E10" s="119"/>
      <c r="F10" s="109"/>
      <c r="G10" s="119"/>
      <c r="H10" s="119"/>
    </row>
    <row r="11" spans="1:11" ht="18">
      <c r="A11" s="119">
        <v>1</v>
      </c>
      <c r="B11" s="136" t="s">
        <v>686</v>
      </c>
      <c r="C11" s="247" t="s">
        <v>982</v>
      </c>
      <c r="E11" s="353">
        <v>184142.45431999999</v>
      </c>
      <c r="F11" s="109"/>
      <c r="G11" s="354"/>
      <c r="H11" s="119">
        <f>A11</f>
        <v>1</v>
      </c>
      <c r="K11" s="162"/>
    </row>
    <row r="12" spans="1:11" ht="16.25" customHeight="1">
      <c r="A12" s="119">
        <f>+A11+1</f>
        <v>2</v>
      </c>
      <c r="E12" s="373"/>
      <c r="F12" s="109"/>
      <c r="G12" s="374"/>
      <c r="H12" s="119">
        <f>+H11+1</f>
        <v>2</v>
      </c>
    </row>
    <row r="13" spans="1:11" ht="18">
      <c r="A13" s="119">
        <f t="shared" ref="A13:A38" si="0">+A12+1</f>
        <v>3</v>
      </c>
      <c r="B13" s="136" t="s">
        <v>687</v>
      </c>
      <c r="C13" s="247"/>
      <c r="E13" s="1022">
        <v>0</v>
      </c>
      <c r="F13" s="109"/>
      <c r="G13" s="354" t="str">
        <f>"Not Applicable to "&amp;Automation!B3&amp;" Base Period"</f>
        <v>Not Applicable to 2023 Base Period</v>
      </c>
      <c r="H13" s="119">
        <f t="shared" ref="H13:H38" si="1">+H12+1</f>
        <v>3</v>
      </c>
    </row>
    <row r="14" spans="1:11">
      <c r="A14" s="119">
        <f t="shared" si="0"/>
        <v>4</v>
      </c>
      <c r="E14" s="375"/>
      <c r="F14" s="109"/>
      <c r="H14" s="119">
        <f t="shared" si="1"/>
        <v>4</v>
      </c>
    </row>
    <row r="15" spans="1:11">
      <c r="A15" s="119">
        <f t="shared" si="0"/>
        <v>5</v>
      </c>
      <c r="B15" s="136" t="s">
        <v>688</v>
      </c>
      <c r="E15" s="373">
        <f>E11+E13</f>
        <v>184142.45431999999</v>
      </c>
      <c r="F15" s="109"/>
      <c r="G15" s="354" t="str">
        <f>"Line "&amp;A11&amp;" + Line "&amp;A13</f>
        <v>Line 1 + Line 3</v>
      </c>
      <c r="H15" s="119">
        <f t="shared" si="1"/>
        <v>5</v>
      </c>
    </row>
    <row r="16" spans="1:11">
      <c r="A16" s="119">
        <f t="shared" si="0"/>
        <v>6</v>
      </c>
      <c r="E16" s="373"/>
      <c r="F16" s="109"/>
      <c r="G16" s="354"/>
      <c r="H16" s="119">
        <f t="shared" si="1"/>
        <v>6</v>
      </c>
    </row>
    <row r="17" spans="1:10">
      <c r="A17" s="119">
        <f t="shared" si="0"/>
        <v>7</v>
      </c>
      <c r="B17" s="383" t="s">
        <v>689</v>
      </c>
      <c r="C17" s="247" t="s">
        <v>1029</v>
      </c>
      <c r="E17" s="1000">
        <v>296.15600000000001</v>
      </c>
      <c r="F17" s="109"/>
      <c r="G17" s="1237"/>
      <c r="H17" s="119">
        <f t="shared" si="1"/>
        <v>7</v>
      </c>
    </row>
    <row r="18" spans="1:10">
      <c r="A18" s="119">
        <f t="shared" si="0"/>
        <v>8</v>
      </c>
      <c r="B18" s="383"/>
      <c r="E18" s="384"/>
      <c r="F18" s="109"/>
      <c r="G18" s="354"/>
      <c r="H18" s="119">
        <f t="shared" si="1"/>
        <v>8</v>
      </c>
    </row>
    <row r="19" spans="1:10">
      <c r="A19" s="119">
        <f t="shared" si="0"/>
        <v>9</v>
      </c>
      <c r="B19" s="16" t="s">
        <v>690</v>
      </c>
      <c r="E19" s="384">
        <f>E15+E17</f>
        <v>184438.61031999998</v>
      </c>
      <c r="F19" s="109"/>
      <c r="G19" s="354" t="str">
        <f>"Line "&amp;A15&amp;" + Line "&amp;A17</f>
        <v>Line 5 + Line 7</v>
      </c>
      <c r="H19" s="119">
        <f t="shared" si="1"/>
        <v>9</v>
      </c>
    </row>
    <row r="20" spans="1:10">
      <c r="A20" s="119">
        <f t="shared" si="0"/>
        <v>10</v>
      </c>
      <c r="E20" s="373"/>
      <c r="F20" s="109"/>
      <c r="H20" s="119">
        <f t="shared" si="1"/>
        <v>10</v>
      </c>
    </row>
    <row r="21" spans="1:10" ht="18">
      <c r="A21" s="119">
        <f t="shared" si="0"/>
        <v>11</v>
      </c>
      <c r="B21" s="136" t="s">
        <v>691</v>
      </c>
      <c r="C21" s="247"/>
      <c r="E21" s="1022">
        <v>0</v>
      </c>
      <c r="F21" s="109"/>
      <c r="G21" s="354" t="str">
        <f>"Not Applicable to "&amp;Automation!B3&amp;" Base Period"</f>
        <v>Not Applicable to 2023 Base Period</v>
      </c>
      <c r="H21" s="119">
        <f t="shared" si="1"/>
        <v>11</v>
      </c>
      <c r="J21" s="376"/>
    </row>
    <row r="22" spans="1:10">
      <c r="A22" s="119">
        <f t="shared" si="0"/>
        <v>12</v>
      </c>
      <c r="E22" s="1023"/>
      <c r="F22" s="109"/>
      <c r="G22" s="354"/>
      <c r="H22" s="119">
        <f t="shared" si="1"/>
        <v>12</v>
      </c>
    </row>
    <row r="23" spans="1:10" ht="16" thickBot="1">
      <c r="A23" s="119">
        <f t="shared" si="0"/>
        <v>13</v>
      </c>
      <c r="B23" s="136" t="s">
        <v>692</v>
      </c>
      <c r="C23" s="247"/>
      <c r="D23" s="204"/>
      <c r="E23" s="1169">
        <f>E19+E21</f>
        <v>184438.61031999998</v>
      </c>
      <c r="F23" s="109"/>
      <c r="G23" s="354" t="str">
        <f>"Line "&amp;A19&amp;" + Line "&amp;A21</f>
        <v>Line 9 + Line 11</v>
      </c>
      <c r="H23" s="119">
        <f t="shared" si="1"/>
        <v>13</v>
      </c>
      <c r="J23" s="377"/>
    </row>
    <row r="24" spans="1:10" ht="16" thickTop="1">
      <c r="A24" s="119">
        <f t="shared" si="0"/>
        <v>14</v>
      </c>
      <c r="C24" s="204"/>
      <c r="D24" s="204"/>
      <c r="F24" s="109"/>
      <c r="G24" s="119"/>
      <c r="H24" s="119">
        <f t="shared" si="1"/>
        <v>14</v>
      </c>
    </row>
    <row r="25" spans="1:10">
      <c r="A25" s="119">
        <f t="shared" si="0"/>
        <v>15</v>
      </c>
      <c r="B25" s="17" t="s">
        <v>693</v>
      </c>
      <c r="C25" s="204"/>
      <c r="D25" s="204"/>
      <c r="E25" s="1024">
        <f>'Stmt AH'!E68</f>
        <v>0.37792817731381073</v>
      </c>
      <c r="F25" s="109"/>
      <c r="G25" s="70" t="str">
        <f>"Statement AH; Line "&amp;'Stmt AH'!A68</f>
        <v>Statement AH; Line 58</v>
      </c>
      <c r="H25" s="119">
        <f t="shared" si="1"/>
        <v>15</v>
      </c>
    </row>
    <row r="26" spans="1:10">
      <c r="A26" s="119">
        <f t="shared" si="0"/>
        <v>16</v>
      </c>
      <c r="B26" s="803"/>
      <c r="C26" s="204"/>
      <c r="D26" s="204"/>
      <c r="E26" s="444"/>
      <c r="F26" s="109"/>
      <c r="G26" s="70"/>
      <c r="H26" s="119">
        <f t="shared" si="1"/>
        <v>16</v>
      </c>
    </row>
    <row r="27" spans="1:10" ht="16" thickBot="1">
      <c r="A27" s="119">
        <f t="shared" si="0"/>
        <v>17</v>
      </c>
      <c r="B27" s="16" t="s">
        <v>694</v>
      </c>
      <c r="C27" s="204"/>
      <c r="D27" s="204"/>
      <c r="E27" s="1170">
        <f>E23*E25</f>
        <v>69704.5478245298</v>
      </c>
      <c r="G27" s="5" t="str">
        <f>"Line "&amp;A23&amp;" x Line "&amp;A25</f>
        <v>Line 13 x Line 15</v>
      </c>
      <c r="H27" s="119">
        <f t="shared" si="1"/>
        <v>17</v>
      </c>
    </row>
    <row r="28" spans="1:10" ht="16.5" thickTop="1" thickBot="1">
      <c r="A28" s="119">
        <f t="shared" si="0"/>
        <v>18</v>
      </c>
      <c r="B28" s="385"/>
      <c r="C28" s="380"/>
      <c r="D28" s="380"/>
      <c r="E28" s="379"/>
      <c r="F28" s="386"/>
      <c r="G28" s="387"/>
      <c r="H28" s="119">
        <f t="shared" si="1"/>
        <v>18</v>
      </c>
    </row>
    <row r="29" spans="1:10">
      <c r="A29" s="119">
        <f t="shared" si="0"/>
        <v>19</v>
      </c>
      <c r="C29" s="204"/>
      <c r="D29" s="204"/>
      <c r="H29" s="119">
        <f t="shared" si="1"/>
        <v>19</v>
      </c>
    </row>
    <row r="30" spans="1:10" ht="18">
      <c r="A30" s="119">
        <f t="shared" si="0"/>
        <v>20</v>
      </c>
      <c r="B30" s="136" t="s">
        <v>695</v>
      </c>
      <c r="C30" s="247" t="s">
        <v>983</v>
      </c>
      <c r="E30" s="353">
        <v>19228.440409999999</v>
      </c>
      <c r="F30" s="109"/>
      <c r="G30" s="4"/>
      <c r="H30" s="119">
        <f t="shared" si="1"/>
        <v>20</v>
      </c>
      <c r="J30" s="164"/>
    </row>
    <row r="31" spans="1:10">
      <c r="A31" s="119">
        <f t="shared" si="0"/>
        <v>21</v>
      </c>
      <c r="E31" s="342"/>
      <c r="F31" s="109"/>
      <c r="G31" s="4"/>
      <c r="H31" s="119">
        <f t="shared" si="1"/>
        <v>21</v>
      </c>
      <c r="J31" s="164"/>
    </row>
    <row r="32" spans="1:10">
      <c r="A32" s="119">
        <f t="shared" si="0"/>
        <v>22</v>
      </c>
      <c r="B32" s="383" t="s">
        <v>696</v>
      </c>
      <c r="C32" s="247" t="s">
        <v>1027</v>
      </c>
      <c r="E32" s="1000">
        <v>8.7420000000000009</v>
      </c>
      <c r="F32" s="109"/>
      <c r="G32" s="1237"/>
      <c r="H32" s="119">
        <f t="shared" si="1"/>
        <v>22</v>
      </c>
      <c r="J32" s="164"/>
    </row>
    <row r="33" spans="1:10">
      <c r="A33" s="119">
        <f t="shared" si="0"/>
        <v>23</v>
      </c>
      <c r="B33" s="383"/>
      <c r="E33" s="60"/>
      <c r="F33" s="109"/>
      <c r="G33" s="4"/>
      <c r="H33" s="119">
        <f t="shared" si="1"/>
        <v>23</v>
      </c>
      <c r="J33" s="164"/>
    </row>
    <row r="34" spans="1:10">
      <c r="A34" s="119">
        <f t="shared" si="0"/>
        <v>24</v>
      </c>
      <c r="B34" s="383" t="s">
        <v>697</v>
      </c>
      <c r="E34" s="60">
        <f>E30+E32</f>
        <v>19237.182409999998</v>
      </c>
      <c r="F34" s="109"/>
      <c r="G34" s="4" t="str">
        <f>"Line "&amp;A30&amp;" + Line "&amp;A32</f>
        <v>Line 20 + Line 22</v>
      </c>
      <c r="H34" s="119">
        <f t="shared" si="1"/>
        <v>24</v>
      </c>
      <c r="J34" s="164"/>
    </row>
    <row r="35" spans="1:10">
      <c r="A35" s="119">
        <f t="shared" si="0"/>
        <v>25</v>
      </c>
      <c r="E35" s="342"/>
      <c r="F35" s="109"/>
      <c r="G35" s="4"/>
      <c r="H35" s="119">
        <f t="shared" si="1"/>
        <v>25</v>
      </c>
    </row>
    <row r="36" spans="1:10">
      <c r="A36" s="119">
        <f t="shared" si="0"/>
        <v>26</v>
      </c>
      <c r="B36" s="136" t="s">
        <v>198</v>
      </c>
      <c r="E36" s="1025">
        <f>'Stmt AI'!E27</f>
        <v>0.10138604007611932</v>
      </c>
      <c r="F36" s="109"/>
      <c r="G36" s="4" t="str">
        <f>"Statement AI; Line "&amp;'Stmt AI'!A27</f>
        <v>Statement AI; Line 17</v>
      </c>
      <c r="H36" s="119">
        <f t="shared" si="1"/>
        <v>26</v>
      </c>
    </row>
    <row r="37" spans="1:10">
      <c r="A37" s="119">
        <f t="shared" si="0"/>
        <v>27</v>
      </c>
      <c r="E37" s="381"/>
      <c r="F37" s="109"/>
      <c r="G37" s="4"/>
      <c r="H37" s="119">
        <f t="shared" si="1"/>
        <v>27</v>
      </c>
    </row>
    <row r="38" spans="1:10" ht="16" thickBot="1">
      <c r="A38" s="119">
        <f t="shared" si="0"/>
        <v>28</v>
      </c>
      <c r="B38" s="136" t="s">
        <v>698</v>
      </c>
      <c r="E38" s="1171">
        <f>E34*E36</f>
        <v>1950.3817467718773</v>
      </c>
      <c r="F38" s="109"/>
      <c r="G38" s="5" t="str">
        <f>"Line "&amp;A34&amp;" x Line "&amp;A36</f>
        <v>Line 24 x Line 26</v>
      </c>
      <c r="H38" s="119">
        <f t="shared" si="1"/>
        <v>28</v>
      </c>
    </row>
    <row r="39" spans="1:10" ht="16" thickTop="1">
      <c r="E39" s="382"/>
      <c r="F39" s="109"/>
      <c r="G39" s="769"/>
      <c r="H39" s="119"/>
      <c r="J39" s="247"/>
    </row>
    <row r="40" spans="1:10">
      <c r="B40" s="136" t="s">
        <v>186</v>
      </c>
      <c r="E40" s="342"/>
      <c r="F40" s="342"/>
      <c r="J40" s="204"/>
    </row>
    <row r="41" spans="1:10" ht="18">
      <c r="A41" s="135">
        <v>1</v>
      </c>
      <c r="B41" s="136" t="s">
        <v>1010</v>
      </c>
    </row>
    <row r="42" spans="1:10" ht="18">
      <c r="A42" s="135">
        <v>2</v>
      </c>
      <c r="B42" s="136" t="s">
        <v>984</v>
      </c>
    </row>
    <row r="43" spans="1:10" ht="18">
      <c r="A43" s="135">
        <v>3</v>
      </c>
      <c r="B43" s="136" t="s">
        <v>896</v>
      </c>
    </row>
    <row r="44" spans="1:10" ht="18">
      <c r="A44" s="135">
        <v>4</v>
      </c>
      <c r="B44" s="136" t="s">
        <v>1009</v>
      </c>
    </row>
    <row r="45" spans="1:10">
      <c r="A45"/>
      <c r="B45"/>
    </row>
    <row r="46" spans="1:10">
      <c r="A46"/>
      <c r="B46"/>
      <c r="C46" s="16"/>
    </row>
    <row r="47" spans="1:10">
      <c r="A47"/>
      <c r="B47"/>
      <c r="C47" s="16"/>
    </row>
    <row r="48" spans="1:10" ht="18">
      <c r="A48" s="135"/>
      <c r="B48" s="1211"/>
      <c r="C48" s="16"/>
    </row>
    <row r="49" spans="2:3">
      <c r="B49" s="1211"/>
      <c r="C49" s="16"/>
    </row>
    <row r="50" spans="2:3">
      <c r="B50" s="1211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Roman,Regular"&amp;10AK</oddFooter>
  </headerFooter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/>
  </sheetViews>
  <sheetFormatPr defaultColWidth="9.08984375" defaultRowHeight="15.5"/>
  <cols>
    <col min="1" max="1" width="5.08984375" style="247" customWidth="1"/>
    <col min="2" max="2" width="12.54296875" style="216" customWidth="1"/>
    <col min="3" max="3" width="20" style="216" customWidth="1"/>
    <col min="4" max="7" width="21.54296875" style="216" customWidth="1"/>
    <col min="8" max="8" width="22.6328125" style="216" bestFit="1" customWidth="1"/>
    <col min="9" max="13" width="21.54296875" style="216" customWidth="1"/>
    <col min="14" max="14" width="5.08984375" style="247" customWidth="1"/>
    <col min="15" max="15" width="13.54296875" style="216" customWidth="1"/>
    <col min="16" max="16" width="12.54296875" style="216" customWidth="1"/>
    <col min="17" max="16384" width="9.08984375" style="216"/>
  </cols>
  <sheetData>
    <row r="1" spans="1:14">
      <c r="I1" s="237"/>
    </row>
    <row r="2" spans="1:14">
      <c r="B2" s="1290" t="str">
        <f>'Summary of Cost Components'!B2:D2</f>
        <v>SAN DIEGO GAS &amp; ELECTRIC COMPANY</v>
      </c>
      <c r="C2" s="1290"/>
      <c r="D2" s="1290"/>
      <c r="E2" s="1290"/>
      <c r="F2" s="1290"/>
      <c r="G2" s="1290"/>
      <c r="H2" s="1290"/>
      <c r="I2" s="1290"/>
      <c r="J2" s="1290"/>
      <c r="K2" s="1290"/>
      <c r="L2" s="1290"/>
      <c r="M2" s="1290"/>
      <c r="N2" s="1290"/>
    </row>
    <row r="3" spans="1:14">
      <c r="B3" s="1277" t="str">
        <f>'Summary of Cost Components'!B3:D3</f>
        <v>CITIZENS' SHARE OF THE SX-PQ UNDERGROUND LINE SEGMENT</v>
      </c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1277"/>
    </row>
    <row r="4" spans="1:14">
      <c r="B4" s="1277" t="s">
        <v>101</v>
      </c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1277"/>
    </row>
    <row r="5" spans="1:14">
      <c r="B5" s="1289" t="str">
        <f>"True-Up Period - January 1, "&amp;Automation!$B$3&amp;" to December 31, "&amp;Automation!$B$3</f>
        <v>True-Up Period - January 1, 2023 to December 31, 2023</v>
      </c>
      <c r="C5" s="1289"/>
      <c r="D5" s="1289"/>
      <c r="E5" s="1289"/>
      <c r="F5" s="1289"/>
      <c r="G5" s="1289"/>
      <c r="H5" s="1289"/>
      <c r="I5" s="1289"/>
      <c r="J5" s="1289"/>
      <c r="K5" s="1289"/>
      <c r="L5" s="1289"/>
      <c r="M5" s="1289"/>
      <c r="N5" s="1289"/>
    </row>
    <row r="6" spans="1:14">
      <c r="B6" s="1288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  <c r="L6" s="1288"/>
      <c r="M6" s="1288"/>
      <c r="N6" s="551"/>
    </row>
    <row r="7" spans="1:14">
      <c r="A7" s="551"/>
      <c r="B7" s="551"/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</row>
    <row r="8" spans="1:14">
      <c r="A8" s="247" t="s">
        <v>4</v>
      </c>
      <c r="B8" s="466"/>
      <c r="E8" s="420"/>
      <c r="F8" s="500"/>
      <c r="G8" s="500"/>
      <c r="N8" s="247" t="s">
        <v>4</v>
      </c>
    </row>
    <row r="9" spans="1:14">
      <c r="A9" s="247" t="s">
        <v>5</v>
      </c>
      <c r="B9" s="466"/>
      <c r="E9" s="420"/>
      <c r="F9" s="500"/>
      <c r="G9" s="500"/>
      <c r="N9" s="247" t="s">
        <v>5</v>
      </c>
    </row>
    <row r="10" spans="1:14">
      <c r="A10" s="247">
        <v>1</v>
      </c>
      <c r="E10" s="420"/>
      <c r="I10" s="712"/>
      <c r="J10" s="712"/>
      <c r="N10" s="247">
        <v>1</v>
      </c>
    </row>
    <row r="11" spans="1:14">
      <c r="A11" s="247">
        <f t="shared" ref="A11:A31" si="0">A10+1</f>
        <v>2</v>
      </c>
      <c r="C11" s="668" t="s">
        <v>102</v>
      </c>
      <c r="D11" s="668" t="s">
        <v>103</v>
      </c>
      <c r="E11" s="668" t="s">
        <v>104</v>
      </c>
      <c r="F11" s="668" t="s">
        <v>105</v>
      </c>
      <c r="G11" s="668" t="s">
        <v>106</v>
      </c>
      <c r="H11" s="668" t="s">
        <v>107</v>
      </c>
      <c r="I11" s="668" t="s">
        <v>108</v>
      </c>
      <c r="J11" s="668" t="s">
        <v>109</v>
      </c>
      <c r="K11" s="668" t="s">
        <v>110</v>
      </c>
      <c r="L11" s="668" t="s">
        <v>111</v>
      </c>
      <c r="M11" s="668" t="s">
        <v>112</v>
      </c>
      <c r="N11" s="247">
        <f t="shared" ref="N11:N31" si="1">N10+1</f>
        <v>2</v>
      </c>
    </row>
    <row r="12" spans="1:14">
      <c r="A12" s="247">
        <f t="shared" si="0"/>
        <v>3</v>
      </c>
      <c r="B12" s="420" t="s">
        <v>113</v>
      </c>
      <c r="C12" s="247"/>
      <c r="D12" s="247"/>
      <c r="E12" s="247"/>
      <c r="F12" s="247" t="str">
        <f>"= "&amp;F11&amp;"; Line "&amp;A31&amp;" / 12"</f>
        <v>= Col. 4; Line 22 / 12</v>
      </c>
      <c r="G12" s="247"/>
      <c r="H12" s="412" t="str">
        <f>"= Sum "&amp;E11&amp;" thru "&amp;G11</f>
        <v>= Sum Col. 3 thru Col. 5</v>
      </c>
      <c r="I12" s="412" t="str">
        <f>"= "&amp;D11&amp;" - "&amp;H11</f>
        <v>= Col. 2 - Col. 6</v>
      </c>
      <c r="J12" s="247"/>
      <c r="K12" s="247" t="str">
        <f>"See Footnote "&amp;A40</f>
        <v>See Footnote 6</v>
      </c>
      <c r="L12" s="247" t="str">
        <f>"See Footnote "&amp;A41</f>
        <v>See Footnote 7</v>
      </c>
      <c r="M12" s="412" t="str">
        <f>"= "&amp;K11&amp;" + "&amp;L11</f>
        <v>= Col. 9 + Col. 10</v>
      </c>
      <c r="N12" s="247">
        <f t="shared" si="1"/>
        <v>3</v>
      </c>
    </row>
    <row r="13" spans="1:14">
      <c r="A13" s="247">
        <f t="shared" si="0"/>
        <v>4</v>
      </c>
      <c r="B13" s="420"/>
      <c r="C13" s="247"/>
      <c r="D13" s="247"/>
      <c r="E13" s="247"/>
      <c r="F13" s="247"/>
      <c r="G13" s="247"/>
      <c r="H13" s="412"/>
      <c r="I13" s="412"/>
      <c r="J13" s="247"/>
      <c r="K13" s="247"/>
      <c r="L13" s="247"/>
      <c r="M13" s="412"/>
      <c r="N13" s="247">
        <f t="shared" si="1"/>
        <v>4</v>
      </c>
    </row>
    <row r="14" spans="1:14">
      <c r="A14" s="247">
        <f t="shared" si="0"/>
        <v>5</v>
      </c>
      <c r="C14" s="668"/>
      <c r="H14" s="551"/>
      <c r="K14" s="551" t="s">
        <v>114</v>
      </c>
      <c r="M14" s="551" t="s">
        <v>114</v>
      </c>
      <c r="N14" s="247">
        <f t="shared" si="1"/>
        <v>5</v>
      </c>
    </row>
    <row r="15" spans="1:14">
      <c r="A15" s="247">
        <f t="shared" si="0"/>
        <v>6</v>
      </c>
      <c r="C15" s="668"/>
      <c r="F15" s="551"/>
      <c r="G15" s="551"/>
      <c r="H15" s="551"/>
      <c r="I15" s="551" t="s">
        <v>115</v>
      </c>
      <c r="J15" s="551"/>
      <c r="K15" s="551" t="s">
        <v>116</v>
      </c>
      <c r="M15" s="551" t="s">
        <v>116</v>
      </c>
      <c r="N15" s="247">
        <f t="shared" si="1"/>
        <v>6</v>
      </c>
    </row>
    <row r="16" spans="1:14">
      <c r="A16" s="247">
        <f t="shared" si="0"/>
        <v>7</v>
      </c>
      <c r="C16" s="551"/>
      <c r="D16" s="551" t="s">
        <v>115</v>
      </c>
      <c r="E16" s="551" t="s">
        <v>115</v>
      </c>
      <c r="F16" s="551" t="s">
        <v>117</v>
      </c>
      <c r="G16" s="551"/>
      <c r="H16" s="551" t="s">
        <v>118</v>
      </c>
      <c r="I16" s="551" t="s">
        <v>116</v>
      </c>
      <c r="J16" s="551" t="s">
        <v>115</v>
      </c>
      <c r="K16" s="551" t="s">
        <v>119</v>
      </c>
      <c r="M16" s="551" t="s">
        <v>119</v>
      </c>
      <c r="N16" s="247">
        <f t="shared" si="1"/>
        <v>7</v>
      </c>
    </row>
    <row r="17" spans="1:17">
      <c r="A17" s="247">
        <f t="shared" si="0"/>
        <v>8</v>
      </c>
      <c r="C17" s="551"/>
      <c r="D17" s="551" t="s">
        <v>120</v>
      </c>
      <c r="E17" s="551" t="s">
        <v>120</v>
      </c>
      <c r="F17" s="551" t="s">
        <v>120</v>
      </c>
      <c r="G17" s="551" t="s">
        <v>121</v>
      </c>
      <c r="H17" s="551" t="s">
        <v>120</v>
      </c>
      <c r="I17" s="551" t="s">
        <v>119</v>
      </c>
      <c r="J17" s="551" t="s">
        <v>122</v>
      </c>
      <c r="K17" s="551" t="s">
        <v>123</v>
      </c>
      <c r="L17" s="551"/>
      <c r="M17" s="551" t="s">
        <v>123</v>
      </c>
      <c r="N17" s="247">
        <f t="shared" si="1"/>
        <v>8</v>
      </c>
    </row>
    <row r="18" spans="1:17" ht="18">
      <c r="A18" s="247">
        <f t="shared" si="0"/>
        <v>9</v>
      </c>
      <c r="B18" s="669" t="s">
        <v>124</v>
      </c>
      <c r="C18" s="669" t="s">
        <v>125</v>
      </c>
      <c r="D18" s="500" t="s">
        <v>126</v>
      </c>
      <c r="E18" s="500" t="s">
        <v>127</v>
      </c>
      <c r="F18" s="500" t="s">
        <v>128</v>
      </c>
      <c r="G18" s="500" t="s">
        <v>129</v>
      </c>
      <c r="H18" s="500" t="s">
        <v>130</v>
      </c>
      <c r="I18" s="500" t="s">
        <v>123</v>
      </c>
      <c r="J18" s="500" t="s">
        <v>131</v>
      </c>
      <c r="K18" s="500" t="s">
        <v>132</v>
      </c>
      <c r="L18" s="500" t="s">
        <v>122</v>
      </c>
      <c r="M18" s="500" t="s">
        <v>133</v>
      </c>
      <c r="N18" s="247">
        <f t="shared" si="1"/>
        <v>9</v>
      </c>
    </row>
    <row r="19" spans="1:17">
      <c r="A19" s="247">
        <f t="shared" si="0"/>
        <v>10</v>
      </c>
      <c r="B19" s="18" t="s">
        <v>134</v>
      </c>
      <c r="C19" s="671" t="str">
        <f>RIGHT(B5,4)</f>
        <v>2023</v>
      </c>
      <c r="D19" s="474">
        <f>'Summary of Cost Components'!C$40</f>
        <v>73.707964782634846</v>
      </c>
      <c r="E19" s="474">
        <f>'D2. Sec.4 - C5 Invoice Summary'!$C$48</f>
        <v>74.281529334409029</v>
      </c>
      <c r="F19" s="474">
        <f>-('D2. Sec.4 - C5 Invoice Summary'!$C$42+'D2. Sec.4 - C5 Invoice Summary'!$C$44)</f>
        <v>-1.5645661490686082</v>
      </c>
      <c r="G19" s="474">
        <f>-'D2. Sec.4 - C5 Invoice Summary'!$C$46</f>
        <v>9.3769483602556842E-3</v>
      </c>
      <c r="H19" s="672">
        <f>SUM(E19:G19)</f>
        <v>72.726340133700674</v>
      </c>
      <c r="I19" s="473">
        <f>D19-H19</f>
        <v>0.98162464893417223</v>
      </c>
      <c r="J19" s="713">
        <v>5.4000000000000003E-3</v>
      </c>
      <c r="K19" s="401">
        <f>I19</f>
        <v>0.98162464893417223</v>
      </c>
      <c r="L19" s="1214">
        <f>(I19/2)*J19</f>
        <v>2.6503865521222652E-3</v>
      </c>
      <c r="M19" s="714">
        <f t="shared" ref="M19:M30" si="2">K19+L19</f>
        <v>0.98427503548629447</v>
      </c>
      <c r="N19" s="247">
        <f t="shared" si="1"/>
        <v>10</v>
      </c>
      <c r="O19" s="164"/>
    </row>
    <row r="20" spans="1:17">
      <c r="A20" s="247">
        <f t="shared" si="0"/>
        <v>11</v>
      </c>
      <c r="B20" s="18" t="s">
        <v>135</v>
      </c>
      <c r="C20" s="671" t="str">
        <f>C19</f>
        <v>2023</v>
      </c>
      <c r="D20" s="715">
        <f>$D$19</f>
        <v>73.707964782634846</v>
      </c>
      <c r="E20" s="491">
        <f>$E$19</f>
        <v>74.281529334409029</v>
      </c>
      <c r="F20" s="491">
        <f>$F$19</f>
        <v>-1.5645661490686082</v>
      </c>
      <c r="G20" s="491">
        <f>$G$19</f>
        <v>9.3769483602556842E-3</v>
      </c>
      <c r="H20" s="674">
        <f>SUM(E20:G20)</f>
        <v>72.726340133700674</v>
      </c>
      <c r="I20" s="491">
        <f t="shared" ref="I20:I30" si="3">D20-H20</f>
        <v>0.98162464893417223</v>
      </c>
      <c r="J20" s="713">
        <v>4.7999999999999996E-3</v>
      </c>
      <c r="K20" s="716">
        <f>M19+I20</f>
        <v>1.9658996844204668</v>
      </c>
      <c r="L20" s="1215">
        <f t="shared" ref="L20:L30" si="4">(M19+K20)/2*J20</f>
        <v>7.0804193277762264E-3</v>
      </c>
      <c r="M20" s="717">
        <f t="shared" si="2"/>
        <v>1.9729801037482431</v>
      </c>
      <c r="N20" s="247">
        <f t="shared" si="1"/>
        <v>11</v>
      </c>
      <c r="O20" s="499"/>
    </row>
    <row r="21" spans="1:17">
      <c r="A21" s="247">
        <f t="shared" si="0"/>
        <v>12</v>
      </c>
      <c r="B21" s="18" t="s">
        <v>136</v>
      </c>
      <c r="C21" s="671" t="str">
        <f>C19</f>
        <v>2023</v>
      </c>
      <c r="D21" s="715">
        <f t="shared" ref="D21:D30" si="5">$D$19</f>
        <v>73.707964782634846</v>
      </c>
      <c r="E21" s="491">
        <f t="shared" ref="E21:E30" si="6">$E$19</f>
        <v>74.281529334409029</v>
      </c>
      <c r="F21" s="491">
        <f t="shared" ref="F21:F30" si="7">$F$19</f>
        <v>-1.5645661490686082</v>
      </c>
      <c r="G21" s="491">
        <f t="shared" ref="G21:G30" si="8">$G$19</f>
        <v>9.3769483602556842E-3</v>
      </c>
      <c r="H21" s="674">
        <f t="shared" ref="H21:H29" si="9">SUM(E21:G21)</f>
        <v>72.726340133700674</v>
      </c>
      <c r="I21" s="491">
        <f t="shared" si="3"/>
        <v>0.98162464893417223</v>
      </c>
      <c r="J21" s="713">
        <v>5.4000000000000003E-3</v>
      </c>
      <c r="K21" s="716">
        <f t="shared" ref="K21:K30" si="10">M20+I21</f>
        <v>2.9546047526824153</v>
      </c>
      <c r="L21" s="1215">
        <f>(M20+K21)/2*J21</f>
        <v>1.3304479112362778E-2</v>
      </c>
      <c r="M21" s="717">
        <f t="shared" si="2"/>
        <v>2.9679092317947782</v>
      </c>
      <c r="N21" s="247">
        <f t="shared" si="1"/>
        <v>12</v>
      </c>
      <c r="O21" s="499"/>
    </row>
    <row r="22" spans="1:17">
      <c r="A22" s="247">
        <f t="shared" si="0"/>
        <v>13</v>
      </c>
      <c r="B22" s="18" t="s">
        <v>137</v>
      </c>
      <c r="C22" s="671" t="str">
        <f>C19</f>
        <v>2023</v>
      </c>
      <c r="D22" s="715">
        <f t="shared" si="5"/>
        <v>73.707964782634846</v>
      </c>
      <c r="E22" s="491">
        <f t="shared" si="6"/>
        <v>74.281529334409029</v>
      </c>
      <c r="F22" s="491">
        <f t="shared" si="7"/>
        <v>-1.5645661490686082</v>
      </c>
      <c r="G22" s="491">
        <f t="shared" si="8"/>
        <v>9.3769483602556842E-3</v>
      </c>
      <c r="H22" s="674">
        <f t="shared" si="9"/>
        <v>72.726340133700674</v>
      </c>
      <c r="I22" s="491">
        <f>D22-H22</f>
        <v>0.98162464893417223</v>
      </c>
      <c r="J22" s="713">
        <v>6.1999999999999998E-3</v>
      </c>
      <c r="K22" s="716">
        <f t="shared" si="10"/>
        <v>3.9495338807289504</v>
      </c>
      <c r="L22" s="1215">
        <f>(M21+K22)/2*J22</f>
        <v>2.1444073648823558E-2</v>
      </c>
      <c r="M22" s="717">
        <f t="shared" si="2"/>
        <v>3.9709779543777741</v>
      </c>
      <c r="N22" s="247">
        <f t="shared" si="1"/>
        <v>13</v>
      </c>
      <c r="O22" s="499"/>
      <c r="Q22" s="718"/>
    </row>
    <row r="23" spans="1:17">
      <c r="A23" s="247">
        <f t="shared" si="0"/>
        <v>14</v>
      </c>
      <c r="B23" s="18" t="s">
        <v>138</v>
      </c>
      <c r="C23" s="671" t="str">
        <f>C19</f>
        <v>2023</v>
      </c>
      <c r="D23" s="715">
        <f t="shared" si="5"/>
        <v>73.707964782634846</v>
      </c>
      <c r="E23" s="491">
        <f t="shared" si="6"/>
        <v>74.281529334409029</v>
      </c>
      <c r="F23" s="491">
        <f t="shared" si="7"/>
        <v>-1.5645661490686082</v>
      </c>
      <c r="G23" s="491">
        <f t="shared" si="8"/>
        <v>9.3769483602556842E-3</v>
      </c>
      <c r="H23" s="674">
        <f t="shared" si="9"/>
        <v>72.726340133700674</v>
      </c>
      <c r="I23" s="491">
        <f t="shared" si="3"/>
        <v>0.98162464893417223</v>
      </c>
      <c r="J23" s="713">
        <v>6.4000000000000003E-3</v>
      </c>
      <c r="K23" s="716">
        <f t="shared" si="10"/>
        <v>4.9526026033119468</v>
      </c>
      <c r="L23" s="1215">
        <f t="shared" si="4"/>
        <v>2.8555457784607111E-2</v>
      </c>
      <c r="M23" s="717">
        <f t="shared" si="2"/>
        <v>4.9811580610965542</v>
      </c>
      <c r="N23" s="247">
        <f t="shared" si="1"/>
        <v>14</v>
      </c>
      <c r="O23" s="499"/>
    </row>
    <row r="24" spans="1:17">
      <c r="A24" s="247">
        <f t="shared" si="0"/>
        <v>15</v>
      </c>
      <c r="B24" s="18" t="s">
        <v>139</v>
      </c>
      <c r="C24" s="671" t="str">
        <f>C19</f>
        <v>2023</v>
      </c>
      <c r="D24" s="715">
        <f t="shared" si="5"/>
        <v>73.707964782634846</v>
      </c>
      <c r="E24" s="491">
        <f t="shared" si="6"/>
        <v>74.281529334409029</v>
      </c>
      <c r="F24" s="491">
        <f t="shared" si="7"/>
        <v>-1.5645661490686082</v>
      </c>
      <c r="G24" s="491">
        <f t="shared" si="8"/>
        <v>9.3769483602556842E-3</v>
      </c>
      <c r="H24" s="674">
        <f t="shared" si="9"/>
        <v>72.726340133700674</v>
      </c>
      <c r="I24" s="491">
        <f t="shared" si="3"/>
        <v>0.98162464893417223</v>
      </c>
      <c r="J24" s="713">
        <v>6.1999999999999998E-3</v>
      </c>
      <c r="K24" s="716">
        <f t="shared" si="10"/>
        <v>5.9627827100307265</v>
      </c>
      <c r="L24" s="1215">
        <f>(M23+K24)/2*J24</f>
        <v>3.3926216390494569E-2</v>
      </c>
      <c r="M24" s="717">
        <f t="shared" si="2"/>
        <v>5.9967089264212214</v>
      </c>
      <c r="N24" s="247">
        <f t="shared" si="1"/>
        <v>15</v>
      </c>
      <c r="O24" s="499"/>
    </row>
    <row r="25" spans="1:17">
      <c r="A25" s="247">
        <f t="shared" si="0"/>
        <v>16</v>
      </c>
      <c r="B25" s="18" t="s">
        <v>140</v>
      </c>
      <c r="C25" s="671" t="str">
        <f>C19</f>
        <v>2023</v>
      </c>
      <c r="D25" s="715">
        <f t="shared" si="5"/>
        <v>73.707964782634846</v>
      </c>
      <c r="E25" s="491">
        <f t="shared" si="6"/>
        <v>74.281529334409029</v>
      </c>
      <c r="F25" s="491">
        <f t="shared" si="7"/>
        <v>-1.5645661490686082</v>
      </c>
      <c r="G25" s="491">
        <f t="shared" si="8"/>
        <v>9.3769483602556842E-3</v>
      </c>
      <c r="H25" s="674">
        <f t="shared" si="9"/>
        <v>72.726340133700674</v>
      </c>
      <c r="I25" s="491">
        <f t="shared" si="3"/>
        <v>0.98162464893417223</v>
      </c>
      <c r="J25" s="713">
        <v>6.7999999999999996E-3</v>
      </c>
      <c r="K25" s="716">
        <f t="shared" si="10"/>
        <v>6.9783335753553937</v>
      </c>
      <c r="L25" s="1215">
        <f t="shared" si="4"/>
        <v>4.4115144506040489E-2</v>
      </c>
      <c r="M25" s="717">
        <f t="shared" si="2"/>
        <v>7.0224487198614343</v>
      </c>
      <c r="N25" s="247">
        <f t="shared" si="1"/>
        <v>16</v>
      </c>
      <c r="O25" s="499"/>
    </row>
    <row r="26" spans="1:17">
      <c r="A26" s="247">
        <f t="shared" si="0"/>
        <v>17</v>
      </c>
      <c r="B26" s="18" t="s">
        <v>141</v>
      </c>
      <c r="C26" s="671" t="str">
        <f>C19</f>
        <v>2023</v>
      </c>
      <c r="D26" s="715">
        <f t="shared" si="5"/>
        <v>73.707964782634846</v>
      </c>
      <c r="E26" s="491">
        <f t="shared" si="6"/>
        <v>74.281529334409029</v>
      </c>
      <c r="F26" s="491">
        <f t="shared" si="7"/>
        <v>-1.5645661490686082</v>
      </c>
      <c r="G26" s="491">
        <f t="shared" si="8"/>
        <v>9.3769483602556842E-3</v>
      </c>
      <c r="H26" s="674">
        <f t="shared" si="9"/>
        <v>72.726340133700674</v>
      </c>
      <c r="I26" s="491">
        <f t="shared" si="3"/>
        <v>0.98162464893417223</v>
      </c>
      <c r="J26" s="713">
        <v>6.7999999999999996E-3</v>
      </c>
      <c r="K26" s="716">
        <f t="shared" si="10"/>
        <v>8.0040733687956056</v>
      </c>
      <c r="L26" s="1215">
        <f t="shared" si="4"/>
        <v>5.1090175101433932E-2</v>
      </c>
      <c r="M26" s="717">
        <f t="shared" si="2"/>
        <v>8.0551635438970397</v>
      </c>
      <c r="N26" s="247">
        <f t="shared" si="1"/>
        <v>17</v>
      </c>
      <c r="O26" s="499"/>
    </row>
    <row r="27" spans="1:17">
      <c r="A27" s="247">
        <f t="shared" si="0"/>
        <v>18</v>
      </c>
      <c r="B27" s="18" t="s">
        <v>142</v>
      </c>
      <c r="C27" s="671" t="str">
        <f>C19</f>
        <v>2023</v>
      </c>
      <c r="D27" s="715">
        <f t="shared" si="5"/>
        <v>73.707964782634846</v>
      </c>
      <c r="E27" s="491">
        <f t="shared" si="6"/>
        <v>74.281529334409029</v>
      </c>
      <c r="F27" s="491">
        <f t="shared" si="7"/>
        <v>-1.5645661490686082</v>
      </c>
      <c r="G27" s="491">
        <f t="shared" si="8"/>
        <v>9.3769483602556842E-3</v>
      </c>
      <c r="H27" s="674">
        <f t="shared" si="9"/>
        <v>72.726340133700674</v>
      </c>
      <c r="I27" s="491">
        <f t="shared" si="3"/>
        <v>0.98162464893417223</v>
      </c>
      <c r="J27" s="713">
        <v>6.6E-3</v>
      </c>
      <c r="K27" s="716">
        <f t="shared" si="10"/>
        <v>9.0367881928312119</v>
      </c>
      <c r="L27" s="1215">
        <f t="shared" si="4"/>
        <v>5.6403440731203229E-2</v>
      </c>
      <c r="M27" s="717">
        <f t="shared" si="2"/>
        <v>9.0931916335624159</v>
      </c>
      <c r="N27" s="247">
        <f t="shared" si="1"/>
        <v>18</v>
      </c>
      <c r="O27" s="499"/>
    </row>
    <row r="28" spans="1:17">
      <c r="A28" s="247">
        <f t="shared" si="0"/>
        <v>19</v>
      </c>
      <c r="B28" s="18" t="s">
        <v>143</v>
      </c>
      <c r="C28" s="671" t="str">
        <f>C19</f>
        <v>2023</v>
      </c>
      <c r="D28" s="715">
        <f t="shared" si="5"/>
        <v>73.707964782634846</v>
      </c>
      <c r="E28" s="491">
        <f t="shared" si="6"/>
        <v>74.281529334409029</v>
      </c>
      <c r="F28" s="491">
        <f t="shared" si="7"/>
        <v>-1.5645661490686082</v>
      </c>
      <c r="G28" s="491">
        <f t="shared" si="8"/>
        <v>9.3769483602556842E-3</v>
      </c>
      <c r="H28" s="674">
        <f t="shared" si="9"/>
        <v>72.726340133700674</v>
      </c>
      <c r="I28" s="491">
        <f t="shared" si="3"/>
        <v>0.98162464893417223</v>
      </c>
      <c r="J28" s="713">
        <v>7.1000000000000004E-3</v>
      </c>
      <c r="K28" s="716">
        <f t="shared" si="10"/>
        <v>10.074816282496588</v>
      </c>
      <c r="L28" s="1215">
        <f t="shared" si="4"/>
        <v>6.8046428102009462E-2</v>
      </c>
      <c r="M28" s="717">
        <f t="shared" si="2"/>
        <v>10.142862710598598</v>
      </c>
      <c r="N28" s="247">
        <f t="shared" si="1"/>
        <v>19</v>
      </c>
      <c r="O28" s="499"/>
    </row>
    <row r="29" spans="1:17">
      <c r="A29" s="247">
        <f t="shared" si="0"/>
        <v>20</v>
      </c>
      <c r="B29" s="18" t="s">
        <v>144</v>
      </c>
      <c r="C29" s="671" t="str">
        <f>C19</f>
        <v>2023</v>
      </c>
      <c r="D29" s="715">
        <f t="shared" si="5"/>
        <v>73.707964782634846</v>
      </c>
      <c r="E29" s="491">
        <f t="shared" si="6"/>
        <v>74.281529334409029</v>
      </c>
      <c r="F29" s="491">
        <f t="shared" si="7"/>
        <v>-1.5645661490686082</v>
      </c>
      <c r="G29" s="491">
        <f t="shared" si="8"/>
        <v>9.3769483602556842E-3</v>
      </c>
      <c r="H29" s="674">
        <f t="shared" si="9"/>
        <v>72.726340133700674</v>
      </c>
      <c r="I29" s="491">
        <f t="shared" si="3"/>
        <v>0.98162464893417223</v>
      </c>
      <c r="J29" s="713">
        <v>6.8999999999999999E-3</v>
      </c>
      <c r="K29" s="716">
        <f t="shared" si="10"/>
        <v>11.12448735953277</v>
      </c>
      <c r="L29" s="1215">
        <f t="shared" si="4"/>
        <v>7.337235774195322E-2</v>
      </c>
      <c r="M29" s="717">
        <f t="shared" si="2"/>
        <v>11.197859717274723</v>
      </c>
      <c r="N29" s="247">
        <f t="shared" si="1"/>
        <v>20</v>
      </c>
      <c r="O29" s="499"/>
    </row>
    <row r="30" spans="1:17">
      <c r="A30" s="247">
        <f t="shared" si="0"/>
        <v>21</v>
      </c>
      <c r="B30" s="950" t="s">
        <v>145</v>
      </c>
      <c r="C30" s="951" t="str">
        <f>C19</f>
        <v>2023</v>
      </c>
      <c r="D30" s="715">
        <f t="shared" si="5"/>
        <v>73.707964782634846</v>
      </c>
      <c r="E30" s="491">
        <f t="shared" si="6"/>
        <v>74.281529334409029</v>
      </c>
      <c r="F30" s="491">
        <f t="shared" si="7"/>
        <v>-1.5645661490686082</v>
      </c>
      <c r="G30" s="491">
        <f t="shared" si="8"/>
        <v>9.3769483602556842E-3</v>
      </c>
      <c r="H30" s="952">
        <f>SUM(E30:G30)</f>
        <v>72.726340133700674</v>
      </c>
      <c r="I30" s="948">
        <f t="shared" si="3"/>
        <v>0.98162464893417223</v>
      </c>
      <c r="J30" s="953">
        <v>7.1000000000000004E-3</v>
      </c>
      <c r="K30" s="954">
        <f t="shared" si="10"/>
        <v>12.179484366208895</v>
      </c>
      <c r="L30" s="1216">
        <f t="shared" si="4"/>
        <v>8.2989571496366848E-2</v>
      </c>
      <c r="M30" s="952">
        <f t="shared" si="2"/>
        <v>12.262473937705261</v>
      </c>
      <c r="N30" s="247">
        <f t="shared" si="1"/>
        <v>21</v>
      </c>
      <c r="O30" s="499"/>
    </row>
    <row r="31" spans="1:17" ht="16" thickBot="1">
      <c r="A31" s="247">
        <f t="shared" si="0"/>
        <v>22</v>
      </c>
      <c r="D31" s="719">
        <f t="shared" ref="D31:I31" si="11">SUM(D19:D30)</f>
        <v>884.49557739161799</v>
      </c>
      <c r="E31" s="719">
        <f t="shared" si="11"/>
        <v>891.37835201290829</v>
      </c>
      <c r="F31" s="719">
        <f t="shared" si="11"/>
        <v>-18.774793788823295</v>
      </c>
      <c r="G31" s="719">
        <f t="shared" si="11"/>
        <v>0.1125233803230682</v>
      </c>
      <c r="H31" s="719">
        <f t="shared" si="11"/>
        <v>872.71608160440803</v>
      </c>
      <c r="I31" s="719">
        <f t="shared" si="11"/>
        <v>11.779495787210067</v>
      </c>
      <c r="J31" s="720"/>
      <c r="K31" s="721"/>
      <c r="L31" s="1217">
        <f>SUM(L19:L30)</f>
        <v>0.48297815049519366</v>
      </c>
      <c r="M31" s="721"/>
      <c r="N31" s="247">
        <f t="shared" si="1"/>
        <v>22</v>
      </c>
    </row>
    <row r="32" spans="1:17" ht="16" thickTop="1">
      <c r="D32" s="722"/>
      <c r="E32" s="722"/>
      <c r="F32" s="722"/>
      <c r="G32" s="722"/>
      <c r="H32" s="722"/>
      <c r="I32" s="722"/>
      <c r="J32" s="722"/>
      <c r="K32" s="722"/>
      <c r="L32" s="722"/>
      <c r="M32" s="722"/>
    </row>
    <row r="33" spans="1:7">
      <c r="B33" s="723"/>
      <c r="F33" s="724"/>
      <c r="G33" s="724"/>
    </row>
    <row r="34" spans="1:7" ht="18">
      <c r="A34" s="677">
        <v>1</v>
      </c>
      <c r="B34" s="216" t="s">
        <v>894</v>
      </c>
      <c r="F34" s="724"/>
      <c r="G34" s="724"/>
    </row>
    <row r="35" spans="1:7" ht="18">
      <c r="A35" s="677">
        <v>2</v>
      </c>
      <c r="B35" s="216" t="s">
        <v>146</v>
      </c>
    </row>
    <row r="36" spans="1:7" ht="18">
      <c r="A36" s="677">
        <v>3</v>
      </c>
      <c r="B36" s="216" t="s">
        <v>147</v>
      </c>
    </row>
    <row r="37" spans="1:7" ht="18">
      <c r="A37" s="677">
        <v>4</v>
      </c>
      <c r="B37" s="216" t="s">
        <v>148</v>
      </c>
    </row>
    <row r="38" spans="1:7" ht="18">
      <c r="A38" s="677"/>
      <c r="B38" s="216" t="s">
        <v>149</v>
      </c>
    </row>
    <row r="39" spans="1:7" ht="18">
      <c r="A39" s="677">
        <v>5</v>
      </c>
      <c r="B39" s="216" t="s">
        <v>150</v>
      </c>
      <c r="C39" s="237"/>
    </row>
    <row r="40" spans="1:7" ht="18">
      <c r="A40" s="677">
        <v>6</v>
      </c>
      <c r="B40" s="216" t="s">
        <v>151</v>
      </c>
    </row>
    <row r="41" spans="1:7" ht="18">
      <c r="A41" s="677">
        <v>7</v>
      </c>
      <c r="B41" s="216" t="s">
        <v>152</v>
      </c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Roman,Regular"&amp;10Section 4
TU</oddFooter>
  </headerFooter>
  <rowBreaks count="1" manualBreakCount="1">
    <brk id="48" max="14" man="1"/>
  </rowBreaks>
  <customProperties>
    <customPr name="_pios_id" r:id="rId2"/>
  </customPropertie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/>
  </sheetViews>
  <sheetFormatPr defaultColWidth="8.6328125" defaultRowHeight="15.5"/>
  <cols>
    <col min="1" max="1" width="5.08984375" style="119" bestFit="1" customWidth="1"/>
    <col min="2" max="2" width="68.6328125" style="136" customWidth="1"/>
    <col min="3" max="3" width="25.90625" style="350" bestFit="1" customWidth="1"/>
    <col min="4" max="4" width="1.54296875" style="136" customWidth="1"/>
    <col min="5" max="5" width="16.6328125" style="136" customWidth="1"/>
    <col min="6" max="6" width="1.54296875" style="136" customWidth="1"/>
    <col min="7" max="7" width="16.6328125" style="136" customWidth="1"/>
    <col min="8" max="8" width="1.54296875" style="136" customWidth="1"/>
    <col min="9" max="9" width="37.6328125" style="136" customWidth="1"/>
    <col min="10" max="10" width="5.08984375" style="136" customWidth="1"/>
    <col min="11" max="16384" width="8.6328125" style="136"/>
  </cols>
  <sheetData>
    <row r="1" spans="1:10">
      <c r="H1" s="119"/>
      <c r="I1" s="119"/>
      <c r="J1" s="119"/>
    </row>
    <row r="2" spans="1:10">
      <c r="B2" s="1296" t="s">
        <v>0</v>
      </c>
      <c r="C2" s="1312"/>
      <c r="D2" s="1312"/>
      <c r="E2" s="1312"/>
      <c r="F2" s="1312"/>
      <c r="G2" s="1312"/>
      <c r="H2" s="1312"/>
      <c r="I2" s="1312"/>
      <c r="J2" s="109"/>
    </row>
    <row r="3" spans="1:10">
      <c r="B3" s="1296" t="s">
        <v>699</v>
      </c>
      <c r="C3" s="1312"/>
      <c r="D3" s="1312"/>
      <c r="E3" s="1312"/>
      <c r="F3" s="1312"/>
      <c r="G3" s="1312"/>
      <c r="H3" s="1312"/>
      <c r="I3" s="1312"/>
      <c r="J3" s="109"/>
    </row>
    <row r="4" spans="1:10">
      <c r="B4" s="1296" t="s">
        <v>700</v>
      </c>
      <c r="C4" s="1312"/>
      <c r="D4" s="1312"/>
      <c r="E4" s="1312"/>
      <c r="F4" s="1312"/>
      <c r="G4" s="1312"/>
      <c r="H4" s="1312"/>
      <c r="I4" s="1312"/>
      <c r="J4" s="109"/>
    </row>
    <row r="5" spans="1:10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  <c r="H5" s="1298"/>
      <c r="I5" s="1298"/>
      <c r="J5" s="109"/>
    </row>
    <row r="6" spans="1:10">
      <c r="B6" s="1300" t="s">
        <v>3</v>
      </c>
      <c r="C6" s="1300"/>
      <c r="D6" s="1300"/>
      <c r="E6" s="1300"/>
      <c r="F6" s="1300"/>
      <c r="G6" s="1300"/>
      <c r="H6" s="1300"/>
      <c r="I6" s="1300"/>
      <c r="J6" s="110"/>
    </row>
    <row r="7" spans="1:10">
      <c r="B7" s="119"/>
      <c r="D7" s="119"/>
      <c r="E7" s="119"/>
      <c r="F7" s="119"/>
      <c r="G7" s="119"/>
      <c r="H7" s="109"/>
      <c r="I7" s="109"/>
      <c r="J7" s="109"/>
    </row>
    <row r="8" spans="1:10">
      <c r="A8" s="119" t="s">
        <v>4</v>
      </c>
      <c r="B8" s="109"/>
      <c r="C8" s="247" t="s">
        <v>189</v>
      </c>
      <c r="D8" s="119"/>
      <c r="E8" s="119" t="s">
        <v>701</v>
      </c>
      <c r="F8" s="119"/>
      <c r="G8" s="119" t="s">
        <v>702</v>
      </c>
      <c r="H8" s="109"/>
      <c r="I8" s="109"/>
      <c r="J8" s="119" t="s">
        <v>4</v>
      </c>
    </row>
    <row r="9" spans="1:10">
      <c r="A9" s="119" t="s">
        <v>5</v>
      </c>
      <c r="B9" s="109"/>
      <c r="C9" s="997" t="s">
        <v>191</v>
      </c>
      <c r="D9" s="109"/>
      <c r="E9" s="1011" t="s">
        <v>703</v>
      </c>
      <c r="F9" s="109"/>
      <c r="G9" s="1011" t="s">
        <v>192</v>
      </c>
      <c r="H9" s="109"/>
      <c r="I9" s="1012" t="s">
        <v>8</v>
      </c>
      <c r="J9" s="119" t="s">
        <v>5</v>
      </c>
    </row>
    <row r="10" spans="1:10">
      <c r="B10" s="119"/>
      <c r="D10" s="119"/>
      <c r="E10" s="119"/>
      <c r="F10" s="119"/>
      <c r="G10" s="119"/>
      <c r="H10" s="119"/>
      <c r="I10" s="119"/>
      <c r="J10" s="119"/>
    </row>
    <row r="11" spans="1:10" ht="18">
      <c r="A11" s="119">
        <v>1</v>
      </c>
      <c r="B11" s="136" t="s">
        <v>920</v>
      </c>
      <c r="C11" s="247" t="s">
        <v>1011</v>
      </c>
      <c r="E11" s="351"/>
      <c r="F11" s="352"/>
      <c r="G11" s="353">
        <f>'AL-1'!C32</f>
        <v>134439.87015384616</v>
      </c>
      <c r="H11" s="352"/>
      <c r="I11" s="354" t="str">
        <f>"AL-1; Line "&amp;'AL-1'!A32</f>
        <v>AL-1; Line 18</v>
      </c>
      <c r="J11" s="119">
        <f>A11</f>
        <v>1</v>
      </c>
    </row>
    <row r="12" spans="1:10">
      <c r="A12" s="119">
        <f>+A11+1</f>
        <v>2</v>
      </c>
      <c r="C12" s="119"/>
      <c r="E12" s="342"/>
      <c r="F12" s="355"/>
      <c r="G12" s="355"/>
      <c r="H12" s="355"/>
      <c r="I12" s="354"/>
      <c r="J12" s="119">
        <f>+J11+1</f>
        <v>2</v>
      </c>
    </row>
    <row r="13" spans="1:10">
      <c r="A13" s="119">
        <f t="shared" ref="A13:A29" si="0">+A12+1</f>
        <v>3</v>
      </c>
      <c r="B13" s="136" t="s">
        <v>704</v>
      </c>
      <c r="C13" s="119"/>
      <c r="E13" s="356"/>
      <c r="F13" s="357"/>
      <c r="G13" s="1013">
        <f>'Stmt AD'!I45</f>
        <v>0.37642804644396022</v>
      </c>
      <c r="H13" s="352"/>
      <c r="I13" s="354" t="str">
        <f>"Statement AD; Line "&amp;'Stmt AD'!A45</f>
        <v>Statement AD; Line 35</v>
      </c>
      <c r="J13" s="119">
        <f t="shared" ref="J13:J29" si="1">+J12+1</f>
        <v>3</v>
      </c>
    </row>
    <row r="14" spans="1:10">
      <c r="A14" s="119">
        <f t="shared" si="0"/>
        <v>4</v>
      </c>
      <c r="C14" s="119"/>
      <c r="E14" s="342"/>
      <c r="F14" s="355"/>
      <c r="G14" s="342"/>
      <c r="H14" s="355"/>
      <c r="I14" s="354"/>
      <c r="J14" s="119">
        <f t="shared" si="1"/>
        <v>4</v>
      </c>
    </row>
    <row r="15" spans="1:10" ht="16" thickBot="1">
      <c r="A15" s="119">
        <f t="shared" si="0"/>
        <v>5</v>
      </c>
      <c r="B15" s="136" t="s">
        <v>705</v>
      </c>
      <c r="C15" s="119"/>
      <c r="E15" s="358"/>
      <c r="F15" s="355"/>
      <c r="G15" s="359">
        <f>G11*G13</f>
        <v>50606.937686191981</v>
      </c>
      <c r="H15" s="352"/>
      <c r="I15" s="354" t="str">
        <f>"Line "&amp;A11&amp;" x Line "&amp;A13</f>
        <v>Line 1 x Line 3</v>
      </c>
      <c r="J15" s="119">
        <f t="shared" si="1"/>
        <v>5</v>
      </c>
    </row>
    <row r="16" spans="1:10" ht="16" thickTop="1">
      <c r="A16" s="119">
        <f t="shared" si="0"/>
        <v>6</v>
      </c>
      <c r="C16" s="119"/>
      <c r="E16" s="183"/>
      <c r="F16" s="119"/>
      <c r="G16" s="119"/>
      <c r="H16" s="119"/>
      <c r="I16" s="354"/>
      <c r="J16" s="119">
        <f t="shared" si="1"/>
        <v>6</v>
      </c>
    </row>
    <row r="17" spans="1:11" ht="18">
      <c r="A17" s="119">
        <f t="shared" si="0"/>
        <v>7</v>
      </c>
      <c r="B17" s="216" t="s">
        <v>1002</v>
      </c>
      <c r="C17" s="119" t="s">
        <v>1012</v>
      </c>
      <c r="D17" s="349"/>
      <c r="E17" s="351"/>
      <c r="F17" s="355"/>
      <c r="G17" s="1026">
        <f>'AL-2'!C30</f>
        <v>100558.3896923077</v>
      </c>
      <c r="H17" s="352"/>
      <c r="I17" s="354" t="str">
        <f>"AL-2; Line "&amp;'AL-2'!A30</f>
        <v>AL-2; Line 18</v>
      </c>
      <c r="J17" s="119">
        <f t="shared" si="1"/>
        <v>7</v>
      </c>
    </row>
    <row r="18" spans="1:11">
      <c r="A18" s="119">
        <f t="shared" si="0"/>
        <v>8</v>
      </c>
      <c r="C18" s="119"/>
      <c r="E18" s="360"/>
      <c r="F18" s="355"/>
      <c r="G18" s="355"/>
      <c r="H18" s="355"/>
      <c r="I18" s="354"/>
      <c r="J18" s="119">
        <f t="shared" si="1"/>
        <v>8</v>
      </c>
    </row>
    <row r="19" spans="1:11" ht="16" thickBot="1">
      <c r="A19" s="119">
        <f t="shared" si="0"/>
        <v>9</v>
      </c>
      <c r="B19" s="136" t="s">
        <v>706</v>
      </c>
      <c r="E19" s="351"/>
      <c r="F19" s="355"/>
      <c r="G19" s="359">
        <f>G13*G17</f>
        <v>37852.998185425851</v>
      </c>
      <c r="H19" s="352"/>
      <c r="I19" s="354" t="str">
        <f>"Line "&amp;A13&amp;" x Line "&amp;A17</f>
        <v>Line 3 x Line 7</v>
      </c>
      <c r="J19" s="119">
        <f t="shared" si="1"/>
        <v>9</v>
      </c>
    </row>
    <row r="20" spans="1:11" ht="16" thickTop="1">
      <c r="A20" s="119">
        <f t="shared" si="0"/>
        <v>10</v>
      </c>
      <c r="E20" s="361"/>
      <c r="F20" s="355"/>
      <c r="G20" s="355"/>
      <c r="H20" s="355"/>
      <c r="I20" s="354"/>
      <c r="J20" s="119">
        <f t="shared" si="1"/>
        <v>10</v>
      </c>
    </row>
    <row r="21" spans="1:11">
      <c r="A21" s="119">
        <f t="shared" si="0"/>
        <v>11</v>
      </c>
      <c r="B21" s="362" t="s">
        <v>707</v>
      </c>
      <c r="E21" s="361"/>
      <c r="F21" s="355"/>
      <c r="G21" s="355"/>
      <c r="H21" s="355"/>
      <c r="I21" s="354"/>
      <c r="J21" s="119">
        <f t="shared" si="1"/>
        <v>11</v>
      </c>
    </row>
    <row r="22" spans="1:11">
      <c r="A22" s="119">
        <f t="shared" si="0"/>
        <v>12</v>
      </c>
      <c r="B22" s="136" t="s">
        <v>708</v>
      </c>
      <c r="E22" s="363">
        <f>'Stmt AH'!E27</f>
        <v>39967.459040000016</v>
      </c>
      <c r="F22" s="355"/>
      <c r="G22" s="364"/>
      <c r="H22" s="355"/>
      <c r="I22" s="354" t="str">
        <f>"Statement AH; Line "&amp;'Stmt AH'!A27</f>
        <v>Statement AH; Line 17</v>
      </c>
      <c r="J22" s="119">
        <f t="shared" si="1"/>
        <v>12</v>
      </c>
    </row>
    <row r="23" spans="1:11">
      <c r="A23" s="119">
        <f t="shared" si="0"/>
        <v>13</v>
      </c>
      <c r="B23" s="136" t="s">
        <v>709</v>
      </c>
      <c r="E23" s="365">
        <f>'Stmt AH'!E49</f>
        <v>52975.259899078766</v>
      </c>
      <c r="F23" s="110"/>
      <c r="G23" s="366"/>
      <c r="H23" s="355"/>
      <c r="I23" s="354" t="str">
        <f>"Statement AH; Line "&amp;'Stmt AH'!A49</f>
        <v>Statement AH; Line 39</v>
      </c>
      <c r="J23" s="119">
        <f t="shared" si="1"/>
        <v>13</v>
      </c>
    </row>
    <row r="24" spans="1:11">
      <c r="A24" s="119">
        <f t="shared" si="0"/>
        <v>14</v>
      </c>
      <c r="B24" s="136" t="s">
        <v>403</v>
      </c>
      <c r="E24" s="1027">
        <f>-'Stmt AH'!E34</f>
        <v>0</v>
      </c>
      <c r="F24" s="355"/>
      <c r="G24" s="366"/>
      <c r="H24" s="355"/>
      <c r="I24" s="354" t="str">
        <f>"Negative of Statement AH; Line "&amp;'Stmt AH'!A34</f>
        <v>Negative of Statement AH; Line 24</v>
      </c>
      <c r="J24" s="119">
        <f t="shared" si="1"/>
        <v>14</v>
      </c>
      <c r="K24" s="193"/>
    </row>
    <row r="25" spans="1:11">
      <c r="A25" s="119">
        <f t="shared" si="0"/>
        <v>15</v>
      </c>
      <c r="B25" s="136" t="s">
        <v>710</v>
      </c>
      <c r="E25" s="367">
        <f>SUM(E22:E24)</f>
        <v>92942.718939078783</v>
      </c>
      <c r="F25" s="110"/>
      <c r="G25" s="349"/>
      <c r="H25" s="354"/>
      <c r="I25" s="354" t="str">
        <f>"Sum Lines "&amp;A22&amp;" thru "&amp;A24</f>
        <v>Sum Lines 12 thru 14</v>
      </c>
      <c r="J25" s="119">
        <f t="shared" si="1"/>
        <v>15</v>
      </c>
    </row>
    <row r="26" spans="1:11">
      <c r="A26" s="119">
        <f t="shared" si="0"/>
        <v>16</v>
      </c>
      <c r="F26" s="119"/>
      <c r="H26" s="119"/>
      <c r="I26" s="354"/>
      <c r="J26" s="119">
        <f t="shared" si="1"/>
        <v>16</v>
      </c>
    </row>
    <row r="27" spans="1:11">
      <c r="A27" s="119">
        <f t="shared" si="0"/>
        <v>17</v>
      </c>
      <c r="B27" s="136" t="s">
        <v>711</v>
      </c>
      <c r="E27" s="1028">
        <f>1/8</f>
        <v>0.125</v>
      </c>
      <c r="F27" s="119"/>
      <c r="G27" s="368"/>
      <c r="H27" s="119"/>
      <c r="I27" s="354" t="s">
        <v>28</v>
      </c>
      <c r="J27" s="119">
        <f t="shared" si="1"/>
        <v>17</v>
      </c>
    </row>
    <row r="28" spans="1:11">
      <c r="A28" s="119">
        <f t="shared" si="0"/>
        <v>18</v>
      </c>
      <c r="E28" s="342" t="s">
        <v>186</v>
      </c>
      <c r="F28" s="355"/>
      <c r="G28" s="342"/>
      <c r="H28" s="355"/>
      <c r="I28" s="354"/>
      <c r="J28" s="119">
        <f t="shared" si="1"/>
        <v>18</v>
      </c>
    </row>
    <row r="29" spans="1:11" ht="16" thickBot="1">
      <c r="A29" s="119">
        <f t="shared" si="0"/>
        <v>19</v>
      </c>
      <c r="B29" s="136" t="s">
        <v>712</v>
      </c>
      <c r="E29" s="359">
        <f>E25*E27</f>
        <v>11617.839867384848</v>
      </c>
      <c r="F29" s="110"/>
      <c r="G29" s="358"/>
      <c r="H29" s="355"/>
      <c r="I29" s="119" t="str">
        <f>"Line "&amp;A25&amp;" x Line "&amp;A27</f>
        <v>Line 15 x Line 17</v>
      </c>
      <c r="J29" s="119">
        <f t="shared" si="1"/>
        <v>19</v>
      </c>
    </row>
    <row r="30" spans="1:11" ht="16" thickTop="1">
      <c r="B30" s="371"/>
    </row>
    <row r="32" spans="1:11" ht="18">
      <c r="A32" s="372">
        <v>1</v>
      </c>
      <c r="B32" s="136" t="s">
        <v>713</v>
      </c>
    </row>
    <row r="33" spans="1:2">
      <c r="A33"/>
      <c r="B33"/>
    </row>
    <row r="34" spans="1:2">
      <c r="A34"/>
      <c r="B3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Roman,Regular"&amp;10AL</oddFooter>
  </headerFooter>
  <customProperties>
    <customPr name="_pios_id" r:id="rId2"/>
  </customPropertie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/>
  </sheetViews>
  <sheetFormatPr defaultColWidth="9.08984375" defaultRowHeight="15"/>
  <cols>
    <col min="1" max="1" width="5.08984375" style="109" customWidth="1"/>
    <col min="2" max="2" width="43.08984375" style="110" customWidth="1"/>
    <col min="3" max="3" width="20.54296875" style="114" customWidth="1"/>
    <col min="4" max="4" width="48.36328125" style="173" customWidth="1"/>
    <col min="5" max="5" width="5.08984375" style="173" customWidth="1"/>
    <col min="6" max="6" width="21.08984375" style="114" customWidth="1"/>
    <col min="7" max="7" width="20.08984375" style="114" customWidth="1"/>
    <col min="8" max="8" width="17.36328125" style="114" customWidth="1"/>
    <col min="9" max="9" width="16.6328125" style="114" customWidth="1"/>
    <col min="10" max="10" width="21.08984375" style="110" customWidth="1"/>
    <col min="11" max="11" width="15" style="110" customWidth="1"/>
    <col min="12" max="12" width="11" style="110" customWidth="1"/>
    <col min="13" max="13" width="7.08984375" style="110" customWidth="1"/>
    <col min="14" max="14" width="9.08984375" style="110" customWidth="1"/>
    <col min="15" max="15" width="14" style="110" customWidth="1"/>
    <col min="16" max="16" width="13.36328125" style="110" customWidth="1"/>
    <col min="17" max="16384" width="9.08984375" style="110"/>
  </cols>
  <sheetData>
    <row r="2" spans="1:6">
      <c r="B2" s="1296" t="s">
        <v>0</v>
      </c>
      <c r="C2" s="1296"/>
      <c r="D2" s="1296"/>
      <c r="E2" s="173" t="s">
        <v>186</v>
      </c>
      <c r="F2" s="110"/>
    </row>
    <row r="3" spans="1:6">
      <c r="B3" s="1296" t="s">
        <v>714</v>
      </c>
      <c r="C3" s="1296"/>
      <c r="D3" s="1296"/>
      <c r="E3" s="173" t="s">
        <v>186</v>
      </c>
      <c r="F3" s="110"/>
    </row>
    <row r="4" spans="1:6">
      <c r="B4" s="1296" t="s">
        <v>715</v>
      </c>
      <c r="C4" s="1296"/>
      <c r="D4" s="1296"/>
      <c r="E4" s="173" t="s">
        <v>186</v>
      </c>
      <c r="F4" s="110"/>
    </row>
    <row r="5" spans="1:6">
      <c r="B5" s="1296" t="str">
        <f>"BASE PERIOD / TRUE UP PERIOD - 12/31/"&amp;Automation!$B$3&amp;" PER BOOK"</f>
        <v>BASE PERIOD / TRUE UP PERIOD - 12/31/2023 PER BOOK</v>
      </c>
      <c r="C5" s="1296"/>
      <c r="D5" s="1296"/>
      <c r="E5" s="109"/>
      <c r="F5" s="110"/>
    </row>
    <row r="6" spans="1:6">
      <c r="B6" s="1313" t="s">
        <v>3</v>
      </c>
      <c r="C6" s="1313"/>
      <c r="D6" s="1313"/>
      <c r="E6" s="173" t="s">
        <v>186</v>
      </c>
      <c r="F6" s="112"/>
    </row>
    <row r="7" spans="1:6">
      <c r="B7" s="333"/>
      <c r="C7" s="112"/>
      <c r="F7" s="112"/>
    </row>
    <row r="8" spans="1:6">
      <c r="B8" s="1296" t="s">
        <v>716</v>
      </c>
      <c r="C8" s="1296"/>
      <c r="D8" s="1296"/>
      <c r="E8" s="109"/>
      <c r="F8" s="112"/>
    </row>
    <row r="9" spans="1:6">
      <c r="B9" s="1296" t="s">
        <v>717</v>
      </c>
      <c r="C9" s="1296"/>
      <c r="D9" s="1296"/>
      <c r="E9" s="109"/>
    </row>
    <row r="10" spans="1:6" ht="15.5">
      <c r="B10" s="1029"/>
      <c r="C10" s="1030"/>
      <c r="D10" s="214"/>
      <c r="E10" s="173" t="s">
        <v>186</v>
      </c>
    </row>
    <row r="11" spans="1:6" ht="15.5">
      <c r="B11" s="857"/>
      <c r="C11" s="958" t="s">
        <v>80</v>
      </c>
      <c r="D11" s="859"/>
      <c r="E11" s="119"/>
      <c r="F11" s="136"/>
    </row>
    <row r="12" spans="1:6" ht="15.5">
      <c r="B12" s="120"/>
      <c r="C12" s="116" t="s">
        <v>718</v>
      </c>
      <c r="D12" s="116"/>
      <c r="E12" s="119"/>
      <c r="F12" s="136"/>
    </row>
    <row r="13" spans="1:6" ht="15.5">
      <c r="A13" s="119" t="s">
        <v>4</v>
      </c>
      <c r="B13" s="116"/>
      <c r="C13" s="116" t="s">
        <v>719</v>
      </c>
      <c r="D13" s="116"/>
      <c r="E13" s="119" t="s">
        <v>4</v>
      </c>
      <c r="F13" s="136"/>
    </row>
    <row r="14" spans="1:6" ht="15.5">
      <c r="A14" s="119" t="s">
        <v>5</v>
      </c>
      <c r="B14" s="1015" t="s">
        <v>124</v>
      </c>
      <c r="C14" s="116" t="s">
        <v>720</v>
      </c>
      <c r="D14" s="1015" t="s">
        <v>8</v>
      </c>
      <c r="E14" s="119" t="s">
        <v>5</v>
      </c>
      <c r="F14" s="136"/>
    </row>
    <row r="15" spans="1:6" ht="15.5">
      <c r="A15" s="334">
        <v>1</v>
      </c>
      <c r="B15" s="122" t="str">
        <f>"Dec-"&amp;RIGHT(Automation!$B$3-1,2)</f>
        <v>Dec-22</v>
      </c>
      <c r="C15" s="1031">
        <v>125709.182</v>
      </c>
      <c r="D15" s="207" t="s">
        <v>216</v>
      </c>
      <c r="E15" s="334">
        <f>A15</f>
        <v>1</v>
      </c>
      <c r="F15" s="335"/>
    </row>
    <row r="16" spans="1:6" ht="15.5">
      <c r="A16" s="334">
        <f>A15+1</f>
        <v>2</v>
      </c>
      <c r="B16" s="122" t="str">
        <f>"Jan-"&amp;RIGHT(Automation!$B$3,2)</f>
        <v>Jan-23</v>
      </c>
      <c r="C16" s="182">
        <v>133597.03200000001</v>
      </c>
      <c r="D16" s="207"/>
      <c r="E16" s="334">
        <f>E15+1</f>
        <v>2</v>
      </c>
      <c r="F16" s="335"/>
    </row>
    <row r="17" spans="1:8" ht="15.5">
      <c r="A17" s="334">
        <f t="shared" ref="A17:A32" si="0">A16+1</f>
        <v>3</v>
      </c>
      <c r="B17" s="122" t="s">
        <v>217</v>
      </c>
      <c r="C17" s="182">
        <v>134218.87</v>
      </c>
      <c r="D17" s="207"/>
      <c r="E17" s="334">
        <f t="shared" ref="E17:E32" si="1">E16+1</f>
        <v>3</v>
      </c>
      <c r="F17" s="335"/>
    </row>
    <row r="18" spans="1:8" ht="15.5">
      <c r="A18" s="334">
        <f t="shared" si="0"/>
        <v>4</v>
      </c>
      <c r="B18" s="122" t="s">
        <v>218</v>
      </c>
      <c r="C18" s="182">
        <v>133444.23000000001</v>
      </c>
      <c r="D18" s="207"/>
      <c r="E18" s="334">
        <f t="shared" si="1"/>
        <v>4</v>
      </c>
      <c r="F18" s="335"/>
    </row>
    <row r="19" spans="1:8" ht="15.5">
      <c r="A19" s="334">
        <f t="shared" si="0"/>
        <v>5</v>
      </c>
      <c r="B19" s="122" t="s">
        <v>219</v>
      </c>
      <c r="C19" s="182">
        <v>134071.856</v>
      </c>
      <c r="D19" s="207"/>
      <c r="E19" s="334">
        <f t="shared" si="1"/>
        <v>5</v>
      </c>
      <c r="F19" s="335"/>
    </row>
    <row r="20" spans="1:8" ht="15.5">
      <c r="A20" s="334">
        <f t="shared" si="0"/>
        <v>6</v>
      </c>
      <c r="B20" s="122" t="s">
        <v>161</v>
      </c>
      <c r="C20" s="182">
        <v>133642.514</v>
      </c>
      <c r="D20" s="207"/>
      <c r="E20" s="334">
        <f t="shared" si="1"/>
        <v>6</v>
      </c>
      <c r="F20" s="335"/>
    </row>
    <row r="21" spans="1:8" ht="15.5">
      <c r="A21" s="334">
        <f t="shared" si="0"/>
        <v>7</v>
      </c>
      <c r="B21" s="122" t="s">
        <v>220</v>
      </c>
      <c r="C21" s="182">
        <v>133450.408</v>
      </c>
      <c r="D21" s="207"/>
      <c r="E21" s="334">
        <f t="shared" si="1"/>
        <v>7</v>
      </c>
      <c r="F21" s="335"/>
    </row>
    <row r="22" spans="1:8" ht="15.5">
      <c r="A22" s="334">
        <f t="shared" si="0"/>
        <v>8</v>
      </c>
      <c r="B22" s="122" t="s">
        <v>221</v>
      </c>
      <c r="C22" s="182">
        <v>131639.28700000001</v>
      </c>
      <c r="D22" s="207"/>
      <c r="E22" s="334">
        <f t="shared" si="1"/>
        <v>8</v>
      </c>
      <c r="F22" s="335"/>
    </row>
    <row r="23" spans="1:8" ht="15.5">
      <c r="A23" s="334">
        <f t="shared" si="0"/>
        <v>9</v>
      </c>
      <c r="B23" s="122" t="s">
        <v>222</v>
      </c>
      <c r="C23" s="182">
        <v>132704.78700000001</v>
      </c>
      <c r="D23" s="207"/>
      <c r="E23" s="334">
        <f t="shared" si="1"/>
        <v>9</v>
      </c>
      <c r="F23" s="335"/>
    </row>
    <row r="24" spans="1:8" ht="15.5">
      <c r="A24" s="334">
        <f t="shared" si="0"/>
        <v>10</v>
      </c>
      <c r="B24" s="122" t="s">
        <v>223</v>
      </c>
      <c r="C24" s="182">
        <v>135792.51999999999</v>
      </c>
      <c r="D24" s="207"/>
      <c r="E24" s="334">
        <f t="shared" si="1"/>
        <v>10</v>
      </c>
      <c r="F24" s="335"/>
    </row>
    <row r="25" spans="1:8" ht="15.5">
      <c r="A25" s="334">
        <f t="shared" si="0"/>
        <v>11</v>
      </c>
      <c r="B25" s="122" t="s">
        <v>224</v>
      </c>
      <c r="C25" s="182">
        <v>137062.08799999999</v>
      </c>
      <c r="D25" s="207"/>
      <c r="E25" s="334">
        <f t="shared" si="1"/>
        <v>11</v>
      </c>
      <c r="F25" s="335"/>
    </row>
    <row r="26" spans="1:8" ht="15.5">
      <c r="A26" s="334">
        <f t="shared" si="0"/>
        <v>12</v>
      </c>
      <c r="B26" s="122" t="s">
        <v>225</v>
      </c>
      <c r="C26" s="182">
        <v>140765.24299999999</v>
      </c>
      <c r="D26" s="208"/>
      <c r="E26" s="334">
        <f t="shared" si="1"/>
        <v>12</v>
      </c>
      <c r="F26" s="335"/>
    </row>
    <row r="27" spans="1:8" ht="15.5">
      <c r="A27" s="334">
        <f t="shared" si="0"/>
        <v>13</v>
      </c>
      <c r="B27" s="1032" t="str">
        <f>"Dec-"&amp;RIGHT(Automation!$B$3,2)</f>
        <v>Dec-23</v>
      </c>
      <c r="C27" s="1033">
        <v>141620.29500000001</v>
      </c>
      <c r="D27" s="1034" t="s">
        <v>216</v>
      </c>
      <c r="E27" s="334">
        <f t="shared" si="1"/>
        <v>13</v>
      </c>
      <c r="F27" s="335"/>
    </row>
    <row r="28" spans="1:8" ht="15.5">
      <c r="A28" s="334">
        <f t="shared" si="0"/>
        <v>14</v>
      </c>
      <c r="B28" s="1035"/>
      <c r="C28" s="1036"/>
      <c r="D28" s="1037"/>
      <c r="E28" s="334">
        <f t="shared" si="1"/>
        <v>14</v>
      </c>
      <c r="F28" s="136"/>
    </row>
    <row r="29" spans="1:8" ht="15.5">
      <c r="A29" s="334">
        <f t="shared" si="0"/>
        <v>15</v>
      </c>
      <c r="B29" s="130" t="s">
        <v>226</v>
      </c>
      <c r="C29" s="234">
        <f>SUM(C15:C27)</f>
        <v>1747718.3119999999</v>
      </c>
      <c r="D29" s="336" t="str">
        <f>"Sum Lines "&amp;A15&amp;" thru "&amp;A27</f>
        <v>Sum Lines 1 thru 13</v>
      </c>
      <c r="E29" s="334">
        <f t="shared" si="1"/>
        <v>15</v>
      </c>
      <c r="F29" s="136"/>
    </row>
    <row r="30" spans="1:8" ht="15.5">
      <c r="A30" s="334">
        <f t="shared" si="0"/>
        <v>16</v>
      </c>
      <c r="B30" s="1016"/>
      <c r="C30" s="1038"/>
      <c r="D30" s="1034"/>
      <c r="E30" s="334">
        <f t="shared" si="1"/>
        <v>16</v>
      </c>
      <c r="F30" s="136"/>
    </row>
    <row r="31" spans="1:8" ht="15.5">
      <c r="A31" s="334">
        <f t="shared" si="0"/>
        <v>17</v>
      </c>
      <c r="B31" s="857"/>
      <c r="C31" s="1039"/>
      <c r="D31" s="1040"/>
      <c r="E31" s="334">
        <f t="shared" si="1"/>
        <v>17</v>
      </c>
      <c r="F31" s="136"/>
    </row>
    <row r="32" spans="1:8" ht="15.5">
      <c r="A32" s="334">
        <f t="shared" si="0"/>
        <v>18</v>
      </c>
      <c r="B32" s="130" t="s">
        <v>227</v>
      </c>
      <c r="C32" s="202">
        <f>C29/13</f>
        <v>134439.87015384616</v>
      </c>
      <c r="D32" s="1235" t="s">
        <v>1013</v>
      </c>
      <c r="E32" s="334">
        <f t="shared" si="1"/>
        <v>18</v>
      </c>
      <c r="H32" s="110"/>
    </row>
    <row r="33" spans="1:6" ht="15.5">
      <c r="A33" s="334">
        <f>A32+1</f>
        <v>19</v>
      </c>
      <c r="B33" s="1016"/>
      <c r="C33" s="1041"/>
      <c r="D33" s="1042"/>
      <c r="E33" s="334">
        <f>E32+1</f>
        <v>19</v>
      </c>
      <c r="F33" s="136"/>
    </row>
    <row r="34" spans="1:6" ht="15.5">
      <c r="A34" s="119"/>
    </row>
    <row r="36" spans="1:6" ht="18">
      <c r="A36" s="135"/>
      <c r="B36" s="1211"/>
      <c r="C36" s="337"/>
    </row>
    <row r="37" spans="1:6" ht="15.5">
      <c r="A37" s="119"/>
      <c r="B37" s="1211"/>
      <c r="C37" s="337"/>
    </row>
    <row r="38" spans="1:6" ht="15.5">
      <c r="A38" s="119"/>
      <c r="B38" s="1211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1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/>
  </sheetViews>
  <sheetFormatPr defaultColWidth="9.08984375" defaultRowHeight="15.5"/>
  <cols>
    <col min="1" max="1" width="5.08984375" style="109" customWidth="1"/>
    <col min="2" max="2" width="35.08984375" style="110" customWidth="1"/>
    <col min="3" max="3" width="18.54296875" style="114" customWidth="1"/>
    <col min="4" max="4" width="62.54296875" style="114" customWidth="1"/>
    <col min="5" max="5" width="5.08984375" style="340" customWidth="1"/>
    <col min="6" max="6" width="9.36328125" style="110" bestFit="1" customWidth="1"/>
    <col min="7" max="16384" width="9.08984375" style="110"/>
  </cols>
  <sheetData>
    <row r="2" spans="1:6" s="136" customFormat="1">
      <c r="A2" s="119"/>
      <c r="B2" s="1296" t="s">
        <v>0</v>
      </c>
      <c r="C2" s="1296"/>
      <c r="D2" s="1296"/>
      <c r="E2" s="119"/>
      <c r="F2" s="110"/>
    </row>
    <row r="3" spans="1:6" s="136" customFormat="1">
      <c r="A3" s="119"/>
      <c r="B3" s="1296" t="s">
        <v>714</v>
      </c>
      <c r="C3" s="1296"/>
      <c r="D3" s="1296"/>
      <c r="E3" s="119"/>
      <c r="F3" s="110"/>
    </row>
    <row r="4" spans="1:6" s="136" customFormat="1">
      <c r="A4" s="119"/>
      <c r="B4" s="1296" t="s">
        <v>715</v>
      </c>
      <c r="C4" s="1296"/>
      <c r="D4" s="1296"/>
      <c r="E4" s="119"/>
      <c r="F4" s="110"/>
    </row>
    <row r="5" spans="1:6" s="136" customFormat="1">
      <c r="A5" s="119"/>
      <c r="B5" s="1296" t="str">
        <f>"BASE PERIOD / TRUE UP PERIOD - 12/31/"&amp;Automation!$B$3&amp;" PER BOOK"</f>
        <v>BASE PERIOD / TRUE UP PERIOD - 12/31/2023 PER BOOK</v>
      </c>
      <c r="C5" s="1296"/>
      <c r="D5" s="1296"/>
      <c r="E5" s="119"/>
      <c r="F5" s="110"/>
    </row>
    <row r="6" spans="1:6" s="136" customFormat="1">
      <c r="A6" s="119"/>
      <c r="B6" s="1313" t="s">
        <v>3</v>
      </c>
      <c r="C6" s="1313"/>
      <c r="D6" s="1313"/>
      <c r="E6" s="340" t="s">
        <v>186</v>
      </c>
    </row>
    <row r="7" spans="1:6" s="136" customFormat="1">
      <c r="A7" s="119"/>
      <c r="B7" s="1091"/>
      <c r="C7" s="1091"/>
      <c r="D7" s="1091"/>
      <c r="E7" s="340"/>
    </row>
    <row r="8" spans="1:6" s="136" customFormat="1">
      <c r="A8" s="119"/>
      <c r="B8" s="1296" t="s">
        <v>721</v>
      </c>
      <c r="C8" s="1296"/>
      <c r="D8" s="1296"/>
      <c r="E8" s="340" t="s">
        <v>186</v>
      </c>
    </row>
    <row r="9" spans="1:6" s="136" customFormat="1">
      <c r="A9" s="119"/>
      <c r="B9" s="1043"/>
      <c r="C9" s="1030"/>
      <c r="D9" s="337"/>
      <c r="E9" s="340"/>
    </row>
    <row r="10" spans="1:6" s="136" customFormat="1">
      <c r="A10" s="119"/>
      <c r="B10" s="1044"/>
      <c r="C10" s="958" t="s">
        <v>80</v>
      </c>
      <c r="D10" s="859"/>
    </row>
    <row r="11" spans="1:6" s="136" customFormat="1">
      <c r="A11" s="119" t="s">
        <v>4</v>
      </c>
      <c r="B11" s="116"/>
      <c r="C11" s="116" t="s">
        <v>718</v>
      </c>
      <c r="D11" s="116"/>
      <c r="E11" s="119" t="s">
        <v>4</v>
      </c>
    </row>
    <row r="12" spans="1:6" s="136" customFormat="1">
      <c r="A12" s="119" t="s">
        <v>5</v>
      </c>
      <c r="B12" s="1015" t="s">
        <v>124</v>
      </c>
      <c r="C12" s="116" t="s">
        <v>722</v>
      </c>
      <c r="D12" s="1015" t="s">
        <v>8</v>
      </c>
      <c r="E12" s="119" t="s">
        <v>5</v>
      </c>
    </row>
    <row r="13" spans="1:6" s="136" customFormat="1">
      <c r="A13" s="334">
        <v>1</v>
      </c>
      <c r="B13" s="122" t="str">
        <f>"Dec-"&amp;RIGHT(Automation!$B$3-1,2)</f>
        <v>Dec-22</v>
      </c>
      <c r="C13" s="1031">
        <v>109565.29300000001</v>
      </c>
      <c r="D13" s="207" t="s">
        <v>216</v>
      </c>
      <c r="E13" s="334">
        <f>A13</f>
        <v>1</v>
      </c>
      <c r="F13" s="338"/>
    </row>
    <row r="14" spans="1:6" s="136" customFormat="1">
      <c r="A14" s="334">
        <f>A13+1</f>
        <v>2</v>
      </c>
      <c r="B14" s="122" t="str">
        <f>"Jan-"&amp;RIGHT(Automation!$B$3,2)</f>
        <v>Jan-23</v>
      </c>
      <c r="C14" s="339">
        <v>100833.433</v>
      </c>
      <c r="D14" s="207"/>
      <c r="E14" s="334">
        <f>E13+1</f>
        <v>2</v>
      </c>
      <c r="F14" s="338"/>
    </row>
    <row r="15" spans="1:6" s="136" customFormat="1">
      <c r="A15" s="334">
        <f t="shared" ref="A15:A30" si="0">A14+1</f>
        <v>3</v>
      </c>
      <c r="B15" s="122" t="s">
        <v>217</v>
      </c>
      <c r="C15" s="339">
        <v>84833.160999999993</v>
      </c>
      <c r="D15" s="207"/>
      <c r="E15" s="334">
        <f t="shared" ref="E15:E30" si="1">E14+1</f>
        <v>3</v>
      </c>
      <c r="F15" s="338"/>
    </row>
    <row r="16" spans="1:6" s="136" customFormat="1">
      <c r="A16" s="334">
        <f t="shared" si="0"/>
        <v>4</v>
      </c>
      <c r="B16" s="122" t="s">
        <v>218</v>
      </c>
      <c r="C16" s="339">
        <v>89649.267000000007</v>
      </c>
      <c r="D16" s="207"/>
      <c r="E16" s="334">
        <f t="shared" si="1"/>
        <v>4</v>
      </c>
      <c r="F16" s="338"/>
    </row>
    <row r="17" spans="1:6" s="136" customFormat="1">
      <c r="A17" s="334">
        <f t="shared" si="0"/>
        <v>5</v>
      </c>
      <c r="B17" s="122" t="s">
        <v>219</v>
      </c>
      <c r="C17" s="339">
        <v>106742.111</v>
      </c>
      <c r="D17" s="207"/>
      <c r="E17" s="334">
        <f t="shared" si="1"/>
        <v>5</v>
      </c>
      <c r="F17" s="338"/>
    </row>
    <row r="18" spans="1:6" s="136" customFormat="1">
      <c r="A18" s="334">
        <f t="shared" si="0"/>
        <v>6</v>
      </c>
      <c r="B18" s="122" t="s">
        <v>161</v>
      </c>
      <c r="C18" s="339">
        <v>73077.252999999997</v>
      </c>
      <c r="D18" s="207"/>
      <c r="E18" s="334">
        <f t="shared" si="1"/>
        <v>6</v>
      </c>
      <c r="F18" s="338"/>
    </row>
    <row r="19" spans="1:6" s="136" customFormat="1">
      <c r="A19" s="334">
        <f t="shared" si="0"/>
        <v>7</v>
      </c>
      <c r="B19" s="122" t="s">
        <v>220</v>
      </c>
      <c r="C19" s="339">
        <v>38489.239000000001</v>
      </c>
      <c r="D19" s="207"/>
      <c r="E19" s="334">
        <f t="shared" si="1"/>
        <v>7</v>
      </c>
      <c r="F19" s="338"/>
    </row>
    <row r="20" spans="1:6" s="136" customFormat="1">
      <c r="A20" s="334">
        <f t="shared" si="0"/>
        <v>8</v>
      </c>
      <c r="B20" s="122" t="s">
        <v>221</v>
      </c>
      <c r="C20" s="339">
        <v>146305.97200000001</v>
      </c>
      <c r="D20" s="207"/>
      <c r="E20" s="334">
        <f t="shared" si="1"/>
        <v>8</v>
      </c>
      <c r="F20" s="338"/>
    </row>
    <row r="21" spans="1:6" s="136" customFormat="1">
      <c r="A21" s="334">
        <f t="shared" si="0"/>
        <v>9</v>
      </c>
      <c r="B21" s="122" t="s">
        <v>222</v>
      </c>
      <c r="C21" s="339">
        <v>129343.973</v>
      </c>
      <c r="D21" s="207"/>
      <c r="E21" s="334">
        <f t="shared" si="1"/>
        <v>9</v>
      </c>
      <c r="F21" s="338"/>
    </row>
    <row r="22" spans="1:6" s="136" customFormat="1">
      <c r="A22" s="334">
        <f t="shared" si="0"/>
        <v>10</v>
      </c>
      <c r="B22" s="122" t="s">
        <v>223</v>
      </c>
      <c r="C22" s="339">
        <v>123607.848</v>
      </c>
      <c r="D22" s="207"/>
      <c r="E22" s="334">
        <f t="shared" si="1"/>
        <v>10</v>
      </c>
      <c r="F22" s="338"/>
    </row>
    <row r="23" spans="1:6" s="136" customFormat="1">
      <c r="A23" s="334">
        <f t="shared" si="0"/>
        <v>11</v>
      </c>
      <c r="B23" s="122" t="s">
        <v>224</v>
      </c>
      <c r="C23" s="339">
        <v>112929.284</v>
      </c>
      <c r="D23" s="207"/>
      <c r="E23" s="334">
        <f t="shared" si="1"/>
        <v>11</v>
      </c>
      <c r="F23" s="338"/>
    </row>
    <row r="24" spans="1:6" s="136" customFormat="1">
      <c r="A24" s="334">
        <f t="shared" si="0"/>
        <v>12</v>
      </c>
      <c r="B24" s="122" t="s">
        <v>225</v>
      </c>
      <c r="C24" s="339">
        <v>96600.032999999996</v>
      </c>
      <c r="D24" s="207"/>
      <c r="E24" s="334">
        <f t="shared" si="1"/>
        <v>12</v>
      </c>
      <c r="F24" s="338"/>
    </row>
    <row r="25" spans="1:6" s="136" customFormat="1">
      <c r="A25" s="334">
        <f t="shared" si="0"/>
        <v>13</v>
      </c>
      <c r="B25" s="1032" t="str">
        <f>"Dec-"&amp;RIGHT(Automation!$B$3,2)</f>
        <v>Dec-23</v>
      </c>
      <c r="C25" s="1045">
        <v>95282.198999999993</v>
      </c>
      <c r="D25" s="1034" t="s">
        <v>216</v>
      </c>
      <c r="E25" s="334">
        <f t="shared" si="1"/>
        <v>13</v>
      </c>
      <c r="F25" s="338"/>
    </row>
    <row r="26" spans="1:6" s="136" customFormat="1">
      <c r="A26" s="334">
        <f t="shared" si="0"/>
        <v>14</v>
      </c>
      <c r="B26" s="1035"/>
      <c r="C26" s="1046"/>
      <c r="D26" s="1037"/>
      <c r="E26" s="334">
        <f t="shared" si="1"/>
        <v>14</v>
      </c>
      <c r="F26" s="338"/>
    </row>
    <row r="27" spans="1:6" s="136" customFormat="1">
      <c r="A27" s="334">
        <f t="shared" si="0"/>
        <v>15</v>
      </c>
      <c r="B27" s="130" t="s">
        <v>226</v>
      </c>
      <c r="C27" s="234">
        <f>SUM(C13:C25)</f>
        <v>1307259.0660000001</v>
      </c>
      <c r="D27" s="336" t="str">
        <f>"Sum Lines "&amp;A13&amp;" thru "&amp;A25</f>
        <v>Sum Lines 1 thru 13</v>
      </c>
      <c r="E27" s="334">
        <f t="shared" si="1"/>
        <v>15</v>
      </c>
    </row>
    <row r="28" spans="1:6" s="136" customFormat="1">
      <c r="A28" s="334">
        <f t="shared" si="0"/>
        <v>16</v>
      </c>
      <c r="B28" s="1016"/>
      <c r="C28" s="1038"/>
      <c r="D28" s="1034"/>
      <c r="E28" s="334">
        <f t="shared" si="1"/>
        <v>16</v>
      </c>
    </row>
    <row r="29" spans="1:6" s="136" customFormat="1">
      <c r="A29" s="334">
        <f t="shared" si="0"/>
        <v>17</v>
      </c>
      <c r="B29" s="857"/>
      <c r="C29" s="1039"/>
      <c r="D29" s="1040"/>
      <c r="E29" s="334">
        <f t="shared" si="1"/>
        <v>17</v>
      </c>
    </row>
    <row r="30" spans="1:6" s="136" customFormat="1">
      <c r="A30" s="334">
        <f t="shared" si="0"/>
        <v>18</v>
      </c>
      <c r="B30" s="130" t="s">
        <v>374</v>
      </c>
      <c r="C30" s="202">
        <f>C27/13</f>
        <v>100558.3896923077</v>
      </c>
      <c r="D30" s="1246" t="s">
        <v>1014</v>
      </c>
      <c r="E30" s="334">
        <f t="shared" si="1"/>
        <v>18</v>
      </c>
      <c r="F30" s="338"/>
    </row>
    <row r="31" spans="1:6" s="136" customFormat="1">
      <c r="A31" s="334">
        <f>A30+1</f>
        <v>19</v>
      </c>
      <c r="B31" s="1016"/>
      <c r="C31" s="1041"/>
      <c r="D31" s="1047"/>
      <c r="E31" s="334">
        <f>E30+1</f>
        <v>19</v>
      </c>
    </row>
    <row r="32" spans="1:6" s="136" customFormat="1">
      <c r="A32" s="119"/>
      <c r="C32" s="189"/>
      <c r="D32" s="189"/>
      <c r="E32" s="340"/>
    </row>
    <row r="33" spans="1:5" s="136" customFormat="1">
      <c r="A33" s="341"/>
      <c r="E33" s="340"/>
    </row>
    <row r="34" spans="1:5" s="136" customFormat="1">
      <c r="A34"/>
      <c r="B34"/>
      <c r="C34" s="189"/>
      <c r="D34" s="189"/>
      <c r="E34" s="340"/>
    </row>
    <row r="35" spans="1:5" s="136" customFormat="1">
      <c r="A35"/>
      <c r="B35"/>
      <c r="C35" s="189"/>
      <c r="D35" s="189"/>
      <c r="E35" s="340"/>
    </row>
    <row r="36" spans="1:5" s="136" customFormat="1">
      <c r="A36"/>
      <c r="B36"/>
      <c r="C36" s="189"/>
      <c r="D36" s="189"/>
      <c r="E36" s="340"/>
    </row>
    <row r="37" spans="1:5" s="136" customFormat="1">
      <c r="A37" s="119"/>
      <c r="C37" s="189"/>
      <c r="D37" s="189"/>
      <c r="E37" s="340"/>
    </row>
    <row r="38" spans="1:5" s="136" customFormat="1">
      <c r="A38" s="119"/>
      <c r="C38" s="189"/>
      <c r="D38" s="189"/>
      <c r="E38" s="340"/>
    </row>
    <row r="39" spans="1:5" s="136" customFormat="1">
      <c r="A39" s="119"/>
      <c r="C39" s="189"/>
      <c r="D39" s="189"/>
      <c r="E39" s="340"/>
    </row>
    <row r="40" spans="1:5" s="136" customFormat="1">
      <c r="A40" s="119"/>
      <c r="C40" s="189"/>
      <c r="D40" s="189"/>
      <c r="E40" s="340"/>
    </row>
    <row r="41" spans="1:5" s="136" customFormat="1">
      <c r="A41" s="119"/>
      <c r="C41" s="189"/>
      <c r="D41" s="189"/>
      <c r="E41" s="340"/>
    </row>
    <row r="42" spans="1:5" s="136" customFormat="1">
      <c r="A42" s="119"/>
      <c r="C42" s="189"/>
      <c r="D42" s="189"/>
      <c r="E42" s="340"/>
    </row>
    <row r="43" spans="1:5" s="136" customFormat="1">
      <c r="A43" s="119"/>
      <c r="C43" s="189"/>
      <c r="D43" s="189"/>
      <c r="E43" s="340"/>
    </row>
    <row r="44" spans="1:5" s="136" customFormat="1">
      <c r="A44" s="119"/>
      <c r="C44" s="189"/>
      <c r="D44" s="189"/>
      <c r="E44" s="340"/>
    </row>
    <row r="45" spans="1:5" s="136" customFormat="1">
      <c r="A45" s="119"/>
      <c r="C45" s="189"/>
      <c r="D45" s="189"/>
      <c r="E45" s="340"/>
    </row>
    <row r="46" spans="1:5" s="136" customFormat="1">
      <c r="A46" s="119"/>
      <c r="C46" s="189"/>
      <c r="D46" s="189"/>
      <c r="E46" s="340"/>
    </row>
    <row r="47" spans="1:5" s="136" customFormat="1">
      <c r="A47" s="119"/>
      <c r="C47" s="189"/>
      <c r="D47" s="189"/>
      <c r="E47" s="340"/>
    </row>
    <row r="48" spans="1:5" s="136" customFormat="1">
      <c r="A48" s="119"/>
      <c r="C48" s="189"/>
      <c r="D48" s="189"/>
      <c r="E48" s="340"/>
    </row>
    <row r="49" spans="1:5" s="136" customFormat="1">
      <c r="A49" s="119"/>
      <c r="C49" s="189"/>
      <c r="D49" s="189"/>
      <c r="E49" s="340"/>
    </row>
    <row r="50" spans="1:5" s="136" customFormat="1">
      <c r="A50" s="119"/>
      <c r="C50" s="189"/>
      <c r="D50" s="189"/>
      <c r="E50" s="340"/>
    </row>
    <row r="51" spans="1:5" s="136" customFormat="1">
      <c r="A51" s="119"/>
      <c r="C51" s="189"/>
      <c r="D51" s="189"/>
      <c r="E51" s="340"/>
    </row>
    <row r="52" spans="1:5" s="136" customFormat="1">
      <c r="A52" s="119"/>
      <c r="C52" s="189"/>
      <c r="D52" s="189"/>
      <c r="E52" s="340"/>
    </row>
    <row r="53" spans="1:5" s="136" customFormat="1">
      <c r="A53" s="119"/>
      <c r="C53" s="189"/>
      <c r="D53" s="189"/>
      <c r="E53" s="340"/>
    </row>
    <row r="54" spans="1:5" s="136" customFormat="1">
      <c r="A54" s="119"/>
      <c r="C54" s="189"/>
      <c r="D54" s="189"/>
      <c r="E54" s="340"/>
    </row>
    <row r="55" spans="1:5" s="136" customFormat="1">
      <c r="A55" s="119"/>
      <c r="C55" s="189"/>
      <c r="D55" s="189"/>
      <c r="E55" s="340"/>
    </row>
    <row r="56" spans="1:5" s="136" customFormat="1">
      <c r="A56" s="119"/>
      <c r="C56" s="189"/>
      <c r="D56" s="189"/>
      <c r="E56" s="340"/>
    </row>
    <row r="57" spans="1:5" s="136" customFormat="1">
      <c r="A57" s="119"/>
      <c r="C57" s="189"/>
      <c r="D57" s="189"/>
      <c r="E57" s="340"/>
    </row>
    <row r="58" spans="1:5" s="136" customFormat="1">
      <c r="A58" s="119"/>
      <c r="C58" s="189"/>
      <c r="D58" s="189"/>
      <c r="E58" s="340"/>
    </row>
    <row r="59" spans="1:5" s="136" customFormat="1">
      <c r="A59" s="119"/>
      <c r="C59" s="189"/>
      <c r="D59" s="189"/>
      <c r="E59" s="340"/>
    </row>
    <row r="60" spans="1:5" s="136" customFormat="1">
      <c r="A60" s="119"/>
      <c r="C60" s="189"/>
      <c r="D60" s="189"/>
      <c r="E60" s="340"/>
    </row>
    <row r="61" spans="1:5" s="136" customFormat="1">
      <c r="A61" s="119"/>
      <c r="C61" s="189"/>
      <c r="D61" s="189"/>
      <c r="E61" s="340"/>
    </row>
    <row r="62" spans="1:5" s="136" customFormat="1">
      <c r="A62" s="119"/>
      <c r="C62" s="189"/>
      <c r="D62" s="189"/>
      <c r="E62" s="340"/>
    </row>
    <row r="63" spans="1:5" s="136" customFormat="1">
      <c r="A63" s="119"/>
      <c r="C63" s="189"/>
      <c r="D63" s="189"/>
      <c r="E63" s="340"/>
    </row>
    <row r="64" spans="1:5" s="136" customFormat="1">
      <c r="A64" s="119"/>
      <c r="C64" s="189"/>
      <c r="D64" s="189"/>
      <c r="E64" s="340"/>
    </row>
    <row r="65" spans="1:5" s="136" customFormat="1">
      <c r="A65" s="119"/>
      <c r="C65" s="189"/>
      <c r="D65" s="189"/>
      <c r="E65" s="340"/>
    </row>
    <row r="66" spans="1:5" s="136" customFormat="1">
      <c r="A66" s="119"/>
      <c r="C66" s="189"/>
      <c r="D66" s="189"/>
      <c r="E66" s="340"/>
    </row>
    <row r="67" spans="1:5" s="136" customFormat="1">
      <c r="A67" s="119"/>
      <c r="C67" s="189"/>
      <c r="D67" s="189"/>
      <c r="E67" s="340"/>
    </row>
    <row r="68" spans="1:5" s="136" customFormat="1">
      <c r="A68" s="119"/>
      <c r="C68" s="189"/>
      <c r="D68" s="189"/>
      <c r="E68" s="340"/>
    </row>
    <row r="69" spans="1:5" s="136" customFormat="1">
      <c r="A69" s="119"/>
      <c r="C69" s="189"/>
      <c r="D69" s="189"/>
      <c r="E69" s="340"/>
    </row>
    <row r="70" spans="1:5" s="136" customFormat="1">
      <c r="A70" s="119"/>
      <c r="C70" s="189"/>
      <c r="D70" s="189"/>
      <c r="E70" s="340"/>
    </row>
    <row r="71" spans="1:5" s="136" customFormat="1">
      <c r="A71" s="119"/>
      <c r="C71" s="189"/>
      <c r="D71" s="189"/>
      <c r="E71" s="340"/>
    </row>
    <row r="72" spans="1:5" s="136" customFormat="1">
      <c r="A72" s="119"/>
      <c r="C72" s="189"/>
      <c r="D72" s="189"/>
      <c r="E72" s="340"/>
    </row>
    <row r="73" spans="1:5" s="136" customFormat="1">
      <c r="A73" s="119"/>
      <c r="C73" s="189"/>
      <c r="D73" s="189"/>
      <c r="E73" s="340"/>
    </row>
    <row r="74" spans="1:5" s="136" customFormat="1">
      <c r="A74" s="119"/>
      <c r="C74" s="189"/>
      <c r="D74" s="189"/>
      <c r="E74" s="340"/>
    </row>
    <row r="75" spans="1:5" s="136" customFormat="1">
      <c r="A75" s="119"/>
      <c r="C75" s="189"/>
      <c r="D75" s="189"/>
      <c r="E75" s="340"/>
    </row>
    <row r="76" spans="1:5" s="136" customFormat="1">
      <c r="A76" s="119"/>
      <c r="C76" s="189"/>
      <c r="D76" s="189"/>
      <c r="E76" s="340"/>
    </row>
    <row r="77" spans="1:5" s="136" customFormat="1">
      <c r="A77" s="119"/>
      <c r="C77" s="189"/>
      <c r="D77" s="189"/>
      <c r="E77" s="340"/>
    </row>
    <row r="78" spans="1:5" s="136" customFormat="1">
      <c r="A78" s="119"/>
      <c r="C78" s="189"/>
      <c r="D78" s="189"/>
      <c r="E78" s="340"/>
    </row>
    <row r="79" spans="1:5" s="136" customFormat="1">
      <c r="A79" s="119"/>
      <c r="C79" s="189"/>
      <c r="D79" s="189"/>
      <c r="E79" s="340"/>
    </row>
    <row r="80" spans="1:5" s="136" customFormat="1">
      <c r="A80" s="119"/>
      <c r="C80" s="189"/>
      <c r="D80" s="189"/>
      <c r="E80" s="340"/>
    </row>
    <row r="81" spans="1:5" s="136" customFormat="1">
      <c r="A81" s="119"/>
      <c r="C81" s="189"/>
      <c r="D81" s="189"/>
      <c r="E81" s="340"/>
    </row>
    <row r="82" spans="1:5" s="136" customFormat="1">
      <c r="A82" s="119"/>
      <c r="C82" s="189"/>
      <c r="D82" s="189"/>
      <c r="E82" s="340"/>
    </row>
    <row r="83" spans="1:5" s="136" customFormat="1">
      <c r="A83" s="119"/>
      <c r="C83" s="189"/>
      <c r="D83" s="189"/>
      <c r="E83" s="340"/>
    </row>
    <row r="84" spans="1:5" s="136" customFormat="1">
      <c r="A84" s="119"/>
      <c r="C84" s="189"/>
      <c r="D84" s="189"/>
      <c r="E84" s="340"/>
    </row>
    <row r="85" spans="1:5" s="136" customFormat="1">
      <c r="A85" s="119"/>
      <c r="C85" s="189"/>
      <c r="D85" s="189"/>
      <c r="E85" s="340"/>
    </row>
    <row r="86" spans="1:5" s="136" customFormat="1">
      <c r="A86" s="119"/>
      <c r="C86" s="189"/>
      <c r="D86" s="189"/>
      <c r="E86" s="340"/>
    </row>
    <row r="87" spans="1:5" s="136" customFormat="1">
      <c r="A87" s="119"/>
      <c r="C87" s="189"/>
      <c r="D87" s="189"/>
      <c r="E87" s="340"/>
    </row>
    <row r="88" spans="1:5" s="136" customFormat="1">
      <c r="A88" s="119"/>
      <c r="C88" s="189"/>
      <c r="D88" s="189"/>
      <c r="E88" s="340"/>
    </row>
    <row r="89" spans="1:5" s="136" customFormat="1">
      <c r="A89" s="119"/>
      <c r="C89" s="189"/>
      <c r="D89" s="189"/>
      <c r="E89" s="340"/>
    </row>
    <row r="90" spans="1:5" s="136" customFormat="1">
      <c r="A90" s="119"/>
      <c r="C90" s="189"/>
      <c r="D90" s="189"/>
      <c r="E90" s="340"/>
    </row>
    <row r="91" spans="1:5" s="136" customFormat="1">
      <c r="A91" s="119"/>
      <c r="C91" s="189"/>
      <c r="D91" s="189"/>
      <c r="E91" s="340"/>
    </row>
    <row r="92" spans="1:5" s="136" customFormat="1">
      <c r="A92" s="119"/>
      <c r="C92" s="189"/>
      <c r="D92" s="189"/>
      <c r="E92" s="340"/>
    </row>
    <row r="93" spans="1:5" s="136" customFormat="1">
      <c r="A93" s="119"/>
      <c r="C93" s="189"/>
      <c r="D93" s="189"/>
      <c r="E93" s="340"/>
    </row>
    <row r="94" spans="1:5" s="136" customFormat="1">
      <c r="A94" s="119"/>
      <c r="C94" s="189"/>
      <c r="D94" s="189"/>
      <c r="E94" s="340"/>
    </row>
    <row r="95" spans="1:5" s="136" customFormat="1">
      <c r="A95" s="119"/>
      <c r="C95" s="189"/>
      <c r="D95" s="189"/>
      <c r="E95" s="340"/>
    </row>
    <row r="96" spans="1:5" s="136" customFormat="1">
      <c r="A96" s="119"/>
      <c r="C96" s="189"/>
      <c r="D96" s="189"/>
      <c r="E96" s="340"/>
    </row>
    <row r="97" spans="1:5" s="136" customFormat="1">
      <c r="A97" s="119"/>
      <c r="C97" s="189"/>
      <c r="D97" s="189"/>
      <c r="E97" s="340"/>
    </row>
    <row r="98" spans="1:5" s="136" customFormat="1">
      <c r="A98" s="119"/>
      <c r="C98" s="189"/>
      <c r="D98" s="189"/>
      <c r="E98" s="340"/>
    </row>
    <row r="99" spans="1:5" s="136" customFormat="1">
      <c r="A99" s="119"/>
      <c r="C99" s="189"/>
      <c r="D99" s="189"/>
      <c r="E99" s="340"/>
    </row>
    <row r="100" spans="1:5" s="136" customFormat="1">
      <c r="A100" s="119"/>
      <c r="C100" s="189"/>
      <c r="D100" s="189"/>
      <c r="E100" s="340"/>
    </row>
    <row r="101" spans="1:5" s="136" customFormat="1">
      <c r="A101" s="119"/>
      <c r="C101" s="189"/>
      <c r="D101" s="189"/>
      <c r="E101" s="340"/>
    </row>
    <row r="102" spans="1:5" s="136" customFormat="1">
      <c r="A102" s="119"/>
      <c r="C102" s="189"/>
      <c r="D102" s="189"/>
      <c r="E102" s="340"/>
    </row>
    <row r="103" spans="1:5" s="136" customFormat="1">
      <c r="A103" s="119"/>
      <c r="C103" s="189"/>
      <c r="D103" s="189"/>
      <c r="E103" s="340"/>
    </row>
    <row r="104" spans="1:5" s="136" customFormat="1">
      <c r="A104" s="119"/>
      <c r="C104" s="189"/>
      <c r="D104" s="189"/>
      <c r="E104" s="340"/>
    </row>
    <row r="105" spans="1:5" s="136" customFormat="1">
      <c r="A105" s="119"/>
      <c r="C105" s="189"/>
      <c r="D105" s="189"/>
      <c r="E105" s="340"/>
    </row>
    <row r="106" spans="1:5" s="136" customFormat="1">
      <c r="A106" s="119"/>
      <c r="C106" s="189"/>
      <c r="D106" s="189"/>
      <c r="E106" s="340"/>
    </row>
    <row r="107" spans="1:5" s="136" customFormat="1">
      <c r="A107" s="119"/>
      <c r="C107" s="189"/>
      <c r="D107" s="189"/>
      <c r="E107" s="340"/>
    </row>
    <row r="108" spans="1:5" s="136" customFormat="1">
      <c r="A108" s="119"/>
      <c r="C108" s="189"/>
      <c r="D108" s="189"/>
      <c r="E108" s="340"/>
    </row>
    <row r="109" spans="1:5" s="136" customFormat="1">
      <c r="A109" s="119"/>
      <c r="C109" s="189"/>
      <c r="D109" s="189"/>
      <c r="E109" s="340"/>
    </row>
    <row r="110" spans="1:5" s="136" customFormat="1">
      <c r="A110" s="119"/>
      <c r="C110" s="189"/>
      <c r="D110" s="189"/>
      <c r="E110" s="340"/>
    </row>
    <row r="111" spans="1:5" s="136" customFormat="1">
      <c r="A111" s="119"/>
      <c r="C111" s="189"/>
      <c r="D111" s="189"/>
      <c r="E111" s="340"/>
    </row>
    <row r="112" spans="1:5" s="136" customFormat="1">
      <c r="A112" s="119"/>
      <c r="C112" s="189"/>
      <c r="D112" s="189"/>
      <c r="E112" s="340"/>
    </row>
    <row r="113" spans="1:5" s="136" customFormat="1">
      <c r="A113" s="119"/>
      <c r="C113" s="189"/>
      <c r="D113" s="189"/>
      <c r="E113" s="340"/>
    </row>
    <row r="114" spans="1:5" s="136" customFormat="1">
      <c r="A114" s="119"/>
      <c r="C114" s="189"/>
      <c r="D114" s="189"/>
      <c r="E114" s="340"/>
    </row>
    <row r="115" spans="1:5" s="136" customFormat="1">
      <c r="A115" s="119"/>
      <c r="C115" s="189"/>
      <c r="D115" s="189"/>
      <c r="E115" s="340"/>
    </row>
    <row r="116" spans="1:5" s="136" customFormat="1">
      <c r="A116" s="119"/>
      <c r="C116" s="189"/>
      <c r="D116" s="189"/>
      <c r="E116" s="340"/>
    </row>
    <row r="117" spans="1:5" s="136" customFormat="1">
      <c r="A117" s="119"/>
      <c r="C117" s="189"/>
      <c r="D117" s="189"/>
      <c r="E117" s="340"/>
    </row>
    <row r="118" spans="1:5" s="136" customFormat="1">
      <c r="A118" s="119"/>
      <c r="C118" s="189"/>
      <c r="D118" s="189"/>
      <c r="E118" s="340"/>
    </row>
    <row r="119" spans="1:5" s="136" customFormat="1">
      <c r="A119" s="119"/>
      <c r="C119" s="189"/>
      <c r="D119" s="189"/>
      <c r="E119" s="340"/>
    </row>
    <row r="120" spans="1:5" s="136" customFormat="1">
      <c r="A120" s="119"/>
      <c r="C120" s="189"/>
      <c r="D120" s="189"/>
      <c r="E120" s="340"/>
    </row>
    <row r="121" spans="1:5" s="136" customFormat="1">
      <c r="A121" s="119"/>
      <c r="C121" s="189"/>
      <c r="D121" s="189"/>
      <c r="E121" s="340"/>
    </row>
    <row r="122" spans="1:5" s="136" customFormat="1">
      <c r="A122" s="119"/>
      <c r="C122" s="189"/>
      <c r="D122" s="189"/>
      <c r="E122" s="340"/>
    </row>
    <row r="123" spans="1:5" s="136" customFormat="1">
      <c r="A123" s="119"/>
      <c r="C123" s="189"/>
      <c r="D123" s="189"/>
      <c r="E123" s="340"/>
    </row>
    <row r="124" spans="1:5" s="136" customFormat="1">
      <c r="A124" s="119"/>
      <c r="C124" s="189"/>
      <c r="D124" s="189"/>
      <c r="E124" s="340"/>
    </row>
    <row r="125" spans="1:5" s="136" customFormat="1">
      <c r="A125" s="119"/>
      <c r="C125" s="189"/>
      <c r="D125" s="189"/>
      <c r="E125" s="340"/>
    </row>
    <row r="126" spans="1:5" s="136" customFormat="1">
      <c r="A126" s="119"/>
      <c r="C126" s="189"/>
      <c r="D126" s="189"/>
      <c r="E126" s="340"/>
    </row>
    <row r="127" spans="1:5" s="136" customFormat="1">
      <c r="A127" s="119"/>
      <c r="C127" s="189"/>
      <c r="D127" s="189"/>
      <c r="E127" s="340"/>
    </row>
    <row r="128" spans="1:5" s="136" customFormat="1">
      <c r="A128" s="119"/>
      <c r="C128" s="189"/>
      <c r="D128" s="189"/>
      <c r="E128" s="340"/>
    </row>
    <row r="129" spans="1:5" s="136" customFormat="1">
      <c r="A129" s="119"/>
      <c r="C129" s="189"/>
      <c r="D129" s="189"/>
      <c r="E129" s="340"/>
    </row>
    <row r="130" spans="1:5" s="136" customFormat="1">
      <c r="A130" s="119"/>
      <c r="C130" s="189"/>
      <c r="D130" s="189"/>
      <c r="E130" s="340"/>
    </row>
    <row r="131" spans="1:5" s="136" customFormat="1">
      <c r="A131" s="119"/>
      <c r="C131" s="189"/>
      <c r="D131" s="189"/>
      <c r="E131" s="340"/>
    </row>
    <row r="132" spans="1:5" s="136" customFormat="1">
      <c r="A132" s="119"/>
      <c r="C132" s="189"/>
      <c r="D132" s="189"/>
      <c r="E132" s="340"/>
    </row>
    <row r="133" spans="1:5" s="136" customFormat="1">
      <c r="A133" s="119"/>
      <c r="C133" s="189"/>
      <c r="D133" s="189"/>
      <c r="E133" s="340"/>
    </row>
    <row r="134" spans="1:5" s="136" customFormat="1">
      <c r="A134" s="119"/>
      <c r="C134" s="189"/>
      <c r="D134" s="189"/>
      <c r="E134" s="340"/>
    </row>
    <row r="135" spans="1:5" s="136" customFormat="1">
      <c r="A135" s="119"/>
      <c r="C135" s="189"/>
      <c r="D135" s="189"/>
      <c r="E135" s="340"/>
    </row>
    <row r="136" spans="1:5" s="136" customFormat="1">
      <c r="A136" s="119"/>
      <c r="C136" s="189"/>
      <c r="D136" s="189"/>
      <c r="E136" s="340"/>
    </row>
    <row r="137" spans="1:5" s="136" customFormat="1">
      <c r="A137" s="119"/>
      <c r="C137" s="189"/>
      <c r="D137" s="189"/>
      <c r="E137" s="340"/>
    </row>
    <row r="138" spans="1:5" s="136" customFormat="1">
      <c r="A138" s="119"/>
      <c r="C138" s="189"/>
      <c r="D138" s="189"/>
      <c r="E138" s="340"/>
    </row>
    <row r="139" spans="1:5" s="136" customFormat="1">
      <c r="A139" s="119"/>
      <c r="C139" s="189"/>
      <c r="D139" s="189"/>
      <c r="E139" s="340"/>
    </row>
    <row r="140" spans="1:5" s="136" customFormat="1">
      <c r="A140" s="119"/>
      <c r="C140" s="189"/>
      <c r="D140" s="189"/>
      <c r="E140" s="340"/>
    </row>
    <row r="141" spans="1:5" s="136" customFormat="1">
      <c r="A141" s="119"/>
      <c r="C141" s="189"/>
      <c r="D141" s="189"/>
      <c r="E141" s="340"/>
    </row>
    <row r="142" spans="1:5" s="136" customFormat="1">
      <c r="A142" s="119"/>
      <c r="C142" s="189"/>
      <c r="D142" s="189"/>
      <c r="E142" s="340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4"/>
  <sheetViews>
    <sheetView zoomScale="80" zoomScaleNormal="80" zoomScalePageLayoutView="80" workbookViewId="0"/>
  </sheetViews>
  <sheetFormatPr defaultColWidth="8.6328125" defaultRowHeight="15.5"/>
  <cols>
    <col min="1" max="1" width="5.08984375" style="119" bestFit="1" customWidth="1"/>
    <col min="2" max="2" width="68.6328125" style="136" customWidth="1"/>
    <col min="3" max="3" width="25.6328125" style="136" bestFit="1" customWidth="1"/>
    <col min="4" max="4" width="1.54296875" style="136" customWidth="1"/>
    <col min="5" max="5" width="16.6328125" style="136" customWidth="1"/>
    <col min="6" max="6" width="1.54296875" style="136" customWidth="1"/>
    <col min="7" max="7" width="34.54296875" style="136" customWidth="1"/>
    <col min="8" max="8" width="5.08984375" style="136" customWidth="1"/>
    <col min="9" max="9" width="8.6328125" style="136"/>
    <col min="10" max="10" width="20.36328125" style="136" bestFit="1" customWidth="1"/>
    <col min="11" max="16384" width="8.6328125" style="136"/>
  </cols>
  <sheetData>
    <row r="1" spans="1:8">
      <c r="E1" s="342"/>
      <c r="F1" s="342"/>
      <c r="G1" s="119"/>
      <c r="H1" s="119"/>
    </row>
    <row r="2" spans="1:8">
      <c r="B2" s="1296" t="s">
        <v>0</v>
      </c>
      <c r="C2" s="1296"/>
      <c r="D2" s="1296"/>
      <c r="E2" s="1296"/>
      <c r="F2" s="1296"/>
      <c r="G2" s="1296"/>
      <c r="H2" s="119"/>
    </row>
    <row r="3" spans="1:8">
      <c r="B3" s="1296" t="s">
        <v>723</v>
      </c>
      <c r="C3" s="1296"/>
      <c r="D3" s="1296"/>
      <c r="E3" s="1296"/>
      <c r="F3" s="1296"/>
      <c r="G3" s="1296"/>
      <c r="H3" s="119"/>
    </row>
    <row r="4" spans="1:8">
      <c r="B4" s="1296" t="s">
        <v>724</v>
      </c>
      <c r="C4" s="1296"/>
      <c r="D4" s="1296"/>
      <c r="E4" s="1296"/>
      <c r="F4" s="1296"/>
      <c r="G4" s="1296"/>
      <c r="H4" s="119"/>
    </row>
    <row r="5" spans="1:8">
      <c r="B5" s="1298" t="str">
        <f>'A. Sec.1 - Direct Maintenance'!B5</f>
        <v>Base Period &amp; True-Up Period 12 - Months Ending December 31, 2023</v>
      </c>
      <c r="C5" s="1298"/>
      <c r="D5" s="1298"/>
      <c r="E5" s="1298"/>
      <c r="F5" s="1298"/>
      <c r="G5" s="1298"/>
      <c r="H5" s="119"/>
    </row>
    <row r="6" spans="1:8">
      <c r="B6" s="1300" t="s">
        <v>3</v>
      </c>
      <c r="C6" s="1297"/>
      <c r="D6" s="1297"/>
      <c r="E6" s="1297"/>
      <c r="F6" s="1297"/>
      <c r="G6" s="1297"/>
      <c r="H6" s="119"/>
    </row>
    <row r="7" spans="1:8">
      <c r="B7" s="119"/>
      <c r="C7" s="119"/>
      <c r="D7" s="119"/>
      <c r="E7" s="119"/>
      <c r="F7" s="119"/>
      <c r="G7" s="119"/>
      <c r="H7" s="119"/>
    </row>
    <row r="8" spans="1:8">
      <c r="A8" s="119" t="s">
        <v>4</v>
      </c>
      <c r="C8" s="247" t="s">
        <v>189</v>
      </c>
      <c r="E8" s="119"/>
      <c r="F8" s="119"/>
      <c r="G8" s="119"/>
      <c r="H8" s="119" t="s">
        <v>4</v>
      </c>
    </row>
    <row r="9" spans="1:8">
      <c r="A9" s="119" t="s">
        <v>5</v>
      </c>
      <c r="B9" s="136" t="s">
        <v>186</v>
      </c>
      <c r="C9" s="997" t="s">
        <v>191</v>
      </c>
      <c r="E9" s="1012" t="s">
        <v>7</v>
      </c>
      <c r="F9" s="343"/>
      <c r="G9" s="1012" t="s">
        <v>8</v>
      </c>
      <c r="H9" s="119" t="s">
        <v>5</v>
      </c>
    </row>
    <row r="10" spans="1:8">
      <c r="E10" s="342"/>
      <c r="F10" s="342"/>
      <c r="G10" s="119"/>
      <c r="H10" s="119"/>
    </row>
    <row r="11" spans="1:8">
      <c r="A11" s="119">
        <f>+A10+1</f>
        <v>1</v>
      </c>
      <c r="B11" s="136" t="s">
        <v>725</v>
      </c>
      <c r="C11" s="247" t="s">
        <v>985</v>
      </c>
      <c r="E11" s="344">
        <v>-264.76299999999998</v>
      </c>
      <c r="F11" s="343"/>
      <c r="G11" s="343"/>
      <c r="H11" s="119">
        <f>A11</f>
        <v>1</v>
      </c>
    </row>
    <row r="12" spans="1:8">
      <c r="A12" s="119">
        <f>+A11+1</f>
        <v>2</v>
      </c>
      <c r="C12" s="70"/>
      <c r="E12" s="342"/>
      <c r="F12" s="342"/>
      <c r="G12" s="343"/>
      <c r="H12" s="119">
        <f>+H11+1</f>
        <v>2</v>
      </c>
    </row>
    <row r="13" spans="1:8">
      <c r="A13" s="119">
        <f t="shared" ref="A13:A20" si="0">+A12+1</f>
        <v>3</v>
      </c>
      <c r="B13" s="136" t="s">
        <v>726</v>
      </c>
      <c r="C13" s="70"/>
      <c r="E13" s="342"/>
      <c r="F13" s="342"/>
      <c r="G13" s="343"/>
      <c r="H13" s="119">
        <f t="shared" ref="H13:H20" si="1">+H12+1</f>
        <v>3</v>
      </c>
    </row>
    <row r="14" spans="1:8">
      <c r="A14" s="119">
        <f t="shared" si="0"/>
        <v>4</v>
      </c>
      <c r="B14" s="18" t="s">
        <v>727</v>
      </c>
      <c r="C14" s="247"/>
      <c r="E14" s="397">
        <f>'AR-1'!G18</f>
        <v>0</v>
      </c>
      <c r="F14" s="342"/>
      <c r="G14" s="119" t="str">
        <f>"AR-1; Line "&amp;'AR-1'!A18&amp;"; Col. c"</f>
        <v>AR-1; Line 7; Col. c</v>
      </c>
      <c r="H14" s="119">
        <f t="shared" si="1"/>
        <v>4</v>
      </c>
    </row>
    <row r="15" spans="1:8">
      <c r="A15" s="119">
        <f t="shared" si="0"/>
        <v>5</v>
      </c>
      <c r="B15" s="18" t="s">
        <v>728</v>
      </c>
      <c r="C15" s="247"/>
      <c r="E15" s="397">
        <f>'AR-1'!G25</f>
        <v>0</v>
      </c>
      <c r="F15" s="342"/>
      <c r="G15" s="119" t="str">
        <f>"AR-1; Line "&amp;'AR-1'!A25&amp;"; Col. c"</f>
        <v>AR-1; Line 14; Col. c</v>
      </c>
      <c r="H15" s="119">
        <f t="shared" si="1"/>
        <v>5</v>
      </c>
    </row>
    <row r="16" spans="1:8">
      <c r="A16" s="119">
        <f t="shared" si="0"/>
        <v>6</v>
      </c>
      <c r="B16" s="18" t="s">
        <v>729</v>
      </c>
      <c r="C16" s="247"/>
      <c r="E16" s="1022">
        <f>'AR-1'!G33</f>
        <v>0</v>
      </c>
      <c r="F16" s="342"/>
      <c r="G16" s="119" t="str">
        <f>"AR-1; Line "&amp;'AR-1'!A33&amp;"; Col. c"</f>
        <v>AR-1; Line 22; Col. c</v>
      </c>
      <c r="H16" s="119">
        <f t="shared" si="1"/>
        <v>6</v>
      </c>
    </row>
    <row r="17" spans="1:8">
      <c r="A17" s="119">
        <f t="shared" si="0"/>
        <v>7</v>
      </c>
      <c r="B17" s="18" t="s">
        <v>730</v>
      </c>
      <c r="C17" s="247"/>
      <c r="E17" s="588">
        <f>SUM(E14:E16)</f>
        <v>0</v>
      </c>
      <c r="F17" s="343"/>
      <c r="G17" s="119" t="str">
        <f>"Sum Lines "&amp;A14&amp;" thru "&amp;A16</f>
        <v>Sum Lines 4 thru 6</v>
      </c>
      <c r="H17" s="119">
        <f t="shared" si="1"/>
        <v>7</v>
      </c>
    </row>
    <row r="18" spans="1:8">
      <c r="A18" s="119">
        <f t="shared" si="0"/>
        <v>8</v>
      </c>
      <c r="B18" s="18"/>
      <c r="C18" s="247"/>
      <c r="E18" s="342"/>
      <c r="F18" s="343"/>
      <c r="G18" s="343"/>
      <c r="H18" s="119">
        <f t="shared" si="1"/>
        <v>8</v>
      </c>
    </row>
    <row r="19" spans="1:8">
      <c r="A19" s="119">
        <f t="shared" si="0"/>
        <v>9</v>
      </c>
      <c r="B19" s="136" t="s">
        <v>731</v>
      </c>
      <c r="C19" s="247"/>
      <c r="E19" s="1022">
        <v>0</v>
      </c>
      <c r="F19" s="343"/>
      <c r="G19" s="119" t="str">
        <f>"Not Applicable to "&amp;Automation!B3&amp;" Base Period"</f>
        <v>Not Applicable to 2023 Base Period</v>
      </c>
      <c r="H19" s="119">
        <f t="shared" si="1"/>
        <v>9</v>
      </c>
    </row>
    <row r="20" spans="1:8">
      <c r="A20" s="119">
        <f t="shared" si="0"/>
        <v>10</v>
      </c>
      <c r="C20" s="70"/>
      <c r="E20" s="343"/>
      <c r="F20" s="343"/>
      <c r="G20" s="343"/>
      <c r="H20" s="119">
        <f t="shared" si="1"/>
        <v>10</v>
      </c>
    </row>
    <row r="21" spans="1:8" ht="18.5" thickBot="1">
      <c r="A21" s="119">
        <f t="shared" ref="A21" si="2">+A20+1</f>
        <v>11</v>
      </c>
      <c r="B21" s="136" t="s">
        <v>732</v>
      </c>
      <c r="E21" s="348">
        <f>E11+E17+E19</f>
        <v>-264.76299999999998</v>
      </c>
      <c r="F21" s="349"/>
      <c r="G21" s="119" t="str">
        <f>"Sum Lines "&amp;A11&amp;", "&amp;A17&amp;", "&amp;A19</f>
        <v>Sum Lines 1, 7, 9</v>
      </c>
      <c r="H21" s="119">
        <f t="shared" ref="H21" si="3">+H20+1</f>
        <v>11</v>
      </c>
    </row>
    <row r="22" spans="1:8" ht="16" thickTop="1">
      <c r="H22" s="119"/>
    </row>
    <row r="23" spans="1:8">
      <c r="H23" s="119"/>
    </row>
    <row r="24" spans="1:8" ht="18">
      <c r="A24" s="135">
        <v>1</v>
      </c>
      <c r="B24" s="3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Roman,Regular"&amp;10AR</oddFooter>
  </headerFooter>
  <customProperties>
    <customPr name="_pios_id" r:id="rId2"/>
  </customPropertie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/>
  </sheetViews>
  <sheetFormatPr defaultColWidth="8.6328125" defaultRowHeight="15.5"/>
  <cols>
    <col min="1" max="1" width="5.08984375" style="247" customWidth="1"/>
    <col min="2" max="2" width="50.6328125" style="216" customWidth="1"/>
    <col min="3" max="3" width="16.6328125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23.36328125" style="216" bestFit="1" customWidth="1"/>
    <col min="8" max="8" width="58.36328125" style="216" customWidth="1"/>
    <col min="9" max="9" width="5.08984375" style="247" customWidth="1"/>
    <col min="10" max="16384" width="8.6328125" style="216"/>
  </cols>
  <sheetData>
    <row r="2" spans="1:9">
      <c r="B2" s="1290" t="s">
        <v>0</v>
      </c>
      <c r="C2" s="1290"/>
      <c r="D2" s="1290"/>
      <c r="E2" s="1290"/>
      <c r="F2" s="1290"/>
      <c r="G2" s="1290"/>
      <c r="H2" s="1290"/>
    </row>
    <row r="3" spans="1:9">
      <c r="B3" s="1290" t="s">
        <v>733</v>
      </c>
      <c r="C3" s="1290"/>
      <c r="D3" s="1290"/>
      <c r="E3" s="1290"/>
      <c r="F3" s="1290"/>
      <c r="G3" s="1290"/>
      <c r="H3" s="1290"/>
    </row>
    <row r="4" spans="1:9" ht="18">
      <c r="B4" s="1290" t="s">
        <v>886</v>
      </c>
      <c r="C4" s="1290"/>
      <c r="D4" s="1290"/>
      <c r="E4" s="1290"/>
      <c r="F4" s="1290"/>
      <c r="G4" s="1290"/>
      <c r="H4" s="1290"/>
    </row>
    <row r="5" spans="1:9">
      <c r="B5" s="1290" t="str">
        <f>"Base Period 12 Months Ending December 31, "&amp;Automation!$B$3</f>
        <v>Base Period 12 Months Ending December 31, 2023</v>
      </c>
      <c r="C5" s="1290"/>
      <c r="D5" s="1290"/>
      <c r="E5" s="1290"/>
      <c r="F5" s="1290"/>
      <c r="G5" s="1290"/>
      <c r="H5" s="1290"/>
    </row>
    <row r="6" spans="1:9" ht="15.75" customHeight="1">
      <c r="B6" s="1288" t="s">
        <v>3</v>
      </c>
      <c r="C6" s="1288"/>
      <c r="D6" s="1288"/>
      <c r="E6" s="1288"/>
      <c r="F6" s="1288"/>
      <c r="G6" s="1288"/>
      <c r="H6" s="1288"/>
    </row>
    <row r="8" spans="1:9">
      <c r="B8" s="237"/>
      <c r="C8" s="690" t="s">
        <v>77</v>
      </c>
      <c r="D8" s="690"/>
      <c r="E8" s="690" t="s">
        <v>78</v>
      </c>
      <c r="F8" s="690"/>
      <c r="G8" s="690" t="s">
        <v>734</v>
      </c>
      <c r="H8" s="690"/>
    </row>
    <row r="9" spans="1:9">
      <c r="A9" s="247" t="s">
        <v>4</v>
      </c>
      <c r="B9" s="237"/>
      <c r="C9" s="690" t="s">
        <v>343</v>
      </c>
      <c r="D9" s="690"/>
      <c r="E9" s="690" t="s">
        <v>343</v>
      </c>
      <c r="F9" s="690"/>
      <c r="G9" s="690"/>
      <c r="H9" s="690"/>
      <c r="I9" s="247" t="s">
        <v>4</v>
      </c>
    </row>
    <row r="10" spans="1:9">
      <c r="A10" s="247" t="s">
        <v>5</v>
      </c>
      <c r="B10" s="989" t="s">
        <v>262</v>
      </c>
      <c r="C10" s="1048" t="s">
        <v>345</v>
      </c>
      <c r="D10" s="1048"/>
      <c r="E10" s="1048" t="s">
        <v>346</v>
      </c>
      <c r="F10" s="1048"/>
      <c r="G10" s="989" t="s">
        <v>80</v>
      </c>
      <c r="H10" s="989" t="s">
        <v>8</v>
      </c>
      <c r="I10" s="247" t="s">
        <v>5</v>
      </c>
    </row>
    <row r="11" spans="1:9">
      <c r="B11" s="237"/>
      <c r="C11" s="836"/>
      <c r="D11" s="836"/>
      <c r="E11" s="836"/>
      <c r="F11" s="836"/>
      <c r="G11" s="481"/>
      <c r="H11" s="481"/>
    </row>
    <row r="12" spans="1:9">
      <c r="A12" s="247">
        <v>1</v>
      </c>
      <c r="B12" s="420" t="s">
        <v>735</v>
      </c>
      <c r="C12" s="837"/>
      <c r="D12" s="837"/>
      <c r="E12" s="837"/>
      <c r="F12" s="837"/>
      <c r="G12" s="481"/>
      <c r="H12" s="481"/>
      <c r="I12" s="247">
        <f>A12</f>
        <v>1</v>
      </c>
    </row>
    <row r="13" spans="1:9">
      <c r="A13" s="247">
        <f>A12+1</f>
        <v>2</v>
      </c>
      <c r="B13" s="420" t="s">
        <v>348</v>
      </c>
      <c r="C13" s="473">
        <v>0</v>
      </c>
      <c r="D13" s="473"/>
      <c r="E13" s="473">
        <v>0</v>
      </c>
      <c r="F13" s="838"/>
      <c r="G13" s="376">
        <f>SUM(C13:E13)</f>
        <v>0</v>
      </c>
      <c r="H13" s="401"/>
      <c r="I13" s="247">
        <f>I12+1</f>
        <v>2</v>
      </c>
    </row>
    <row r="14" spans="1:9">
      <c r="A14" s="247">
        <f t="shared" ref="A14:A33" si="0">A13+1</f>
        <v>3</v>
      </c>
      <c r="B14" s="420" t="s">
        <v>349</v>
      </c>
      <c r="C14" s="491">
        <v>0</v>
      </c>
      <c r="D14" s="491"/>
      <c r="E14" s="491">
        <v>0</v>
      </c>
      <c r="F14" s="491"/>
      <c r="G14" s="164">
        <f>SUM(C14:E14)</f>
        <v>0</v>
      </c>
      <c r="H14" s="401"/>
      <c r="I14" s="247">
        <f t="shared" ref="I14:I33" si="1">I13+1</f>
        <v>3</v>
      </c>
    </row>
    <row r="15" spans="1:9">
      <c r="A15" s="247">
        <f t="shared" si="0"/>
        <v>4</v>
      </c>
      <c r="B15" s="420" t="s">
        <v>350</v>
      </c>
      <c r="C15" s="491">
        <v>0</v>
      </c>
      <c r="D15" s="491"/>
      <c r="E15" s="491">
        <v>0</v>
      </c>
      <c r="F15" s="491"/>
      <c r="G15" s="164">
        <f>SUM(C15:E15)</f>
        <v>0</v>
      </c>
      <c r="H15" s="401"/>
      <c r="I15" s="247">
        <f t="shared" si="1"/>
        <v>4</v>
      </c>
    </row>
    <row r="16" spans="1:9">
      <c r="A16" s="247">
        <f t="shared" si="0"/>
        <v>5</v>
      </c>
      <c r="B16" s="420"/>
      <c r="C16" s="491">
        <v>0</v>
      </c>
      <c r="D16" s="491"/>
      <c r="E16" s="491">
        <v>0</v>
      </c>
      <c r="F16" s="164"/>
      <c r="G16" s="164">
        <f>SUM(C16:E16)</f>
        <v>0</v>
      </c>
      <c r="H16" s="164"/>
      <c r="I16" s="247">
        <f t="shared" si="1"/>
        <v>5</v>
      </c>
    </row>
    <row r="17" spans="1:9">
      <c r="A17" s="247">
        <f t="shared" si="0"/>
        <v>6</v>
      </c>
      <c r="C17" s="164">
        <v>0</v>
      </c>
      <c r="D17" s="164"/>
      <c r="E17" s="164">
        <v>0</v>
      </c>
      <c r="F17" s="164"/>
      <c r="G17" s="164">
        <f>SUM(C17:E17)</f>
        <v>0</v>
      </c>
      <c r="H17" s="164"/>
      <c r="I17" s="247">
        <f t="shared" si="1"/>
        <v>6</v>
      </c>
    </row>
    <row r="18" spans="1:9" ht="16" thickBot="1">
      <c r="A18" s="247">
        <f t="shared" si="0"/>
        <v>7</v>
      </c>
      <c r="B18" s="466" t="s">
        <v>351</v>
      </c>
      <c r="C18" s="839">
        <f t="shared" ref="C18:G18" si="2">SUM(C13:C17)</f>
        <v>0</v>
      </c>
      <c r="D18" s="323"/>
      <c r="E18" s="839">
        <f>SUM(E13:E17)</f>
        <v>0</v>
      </c>
      <c r="F18" s="164"/>
      <c r="G18" s="839">
        <f t="shared" si="2"/>
        <v>0</v>
      </c>
      <c r="H18" s="840" t="str">
        <f>"Sum Lines "&amp;A13&amp;" thru "&amp;A17</f>
        <v>Sum Lines 2 thru 6</v>
      </c>
      <c r="I18" s="247">
        <f t="shared" si="1"/>
        <v>7</v>
      </c>
    </row>
    <row r="19" spans="1:9" ht="16" thickTop="1">
      <c r="A19" s="247">
        <f t="shared" si="0"/>
        <v>8</v>
      </c>
      <c r="C19" s="841"/>
      <c r="D19" s="841"/>
      <c r="E19" s="841"/>
      <c r="F19" s="841"/>
      <c r="G19" s="841"/>
      <c r="H19" s="841"/>
      <c r="I19" s="247">
        <f t="shared" si="1"/>
        <v>8</v>
      </c>
    </row>
    <row r="20" spans="1:9">
      <c r="A20" s="247">
        <f t="shared" si="0"/>
        <v>9</v>
      </c>
      <c r="B20" s="420" t="s">
        <v>736</v>
      </c>
      <c r="C20" s="837"/>
      <c r="D20" s="837"/>
      <c r="E20" s="837"/>
      <c r="F20" s="837"/>
      <c r="G20" s="481"/>
      <c r="H20" s="481"/>
      <c r="I20" s="247">
        <f t="shared" si="1"/>
        <v>9</v>
      </c>
    </row>
    <row r="21" spans="1:9">
      <c r="A21" s="247">
        <f t="shared" si="0"/>
        <v>10</v>
      </c>
      <c r="B21" s="842" t="s">
        <v>353</v>
      </c>
      <c r="C21" s="376">
        <v>0</v>
      </c>
      <c r="D21" s="376"/>
      <c r="E21" s="376">
        <v>0</v>
      </c>
      <c r="F21" s="376"/>
      <c r="G21" s="376">
        <f>SUM(C21:E21)</f>
        <v>0</v>
      </c>
      <c r="H21" s="401"/>
      <c r="I21" s="247">
        <f t="shared" si="1"/>
        <v>10</v>
      </c>
    </row>
    <row r="22" spans="1:9">
      <c r="A22" s="247">
        <f t="shared" si="0"/>
        <v>11</v>
      </c>
      <c r="C22" s="164">
        <v>0</v>
      </c>
      <c r="D22" s="164"/>
      <c r="E22" s="164">
        <v>0</v>
      </c>
      <c r="F22" s="164"/>
      <c r="G22" s="164">
        <f>SUM(C22:E22)</f>
        <v>0</v>
      </c>
      <c r="H22" s="164"/>
      <c r="I22" s="247">
        <f t="shared" si="1"/>
        <v>11</v>
      </c>
    </row>
    <row r="23" spans="1:9">
      <c r="A23" s="247">
        <f t="shared" si="0"/>
        <v>12</v>
      </c>
      <c r="C23" s="164">
        <v>0</v>
      </c>
      <c r="D23" s="164"/>
      <c r="E23" s="164">
        <v>0</v>
      </c>
      <c r="F23" s="164"/>
      <c r="G23" s="164">
        <f>SUM(C23:E23)</f>
        <v>0</v>
      </c>
      <c r="H23" s="164"/>
      <c r="I23" s="247">
        <f t="shared" si="1"/>
        <v>12</v>
      </c>
    </row>
    <row r="24" spans="1:9">
      <c r="A24" s="247">
        <f t="shared" si="0"/>
        <v>13</v>
      </c>
      <c r="C24" s="164">
        <v>0</v>
      </c>
      <c r="D24" s="164"/>
      <c r="E24" s="164">
        <v>0</v>
      </c>
      <c r="F24" s="164"/>
      <c r="G24" s="164">
        <f>SUM(C24:E24)</f>
        <v>0</v>
      </c>
      <c r="H24" s="164"/>
      <c r="I24" s="247">
        <f t="shared" si="1"/>
        <v>13</v>
      </c>
    </row>
    <row r="25" spans="1:9" ht="16" thickBot="1">
      <c r="A25" s="247">
        <f t="shared" si="0"/>
        <v>14</v>
      </c>
      <c r="B25" s="466" t="s">
        <v>354</v>
      </c>
      <c r="C25" s="839">
        <f>SUM(C21:C24)</f>
        <v>0</v>
      </c>
      <c r="D25" s="323"/>
      <c r="E25" s="839">
        <f>SUM(E21:E24)</f>
        <v>0</v>
      </c>
      <c r="F25" s="164"/>
      <c r="G25" s="839">
        <f>SUM(G21:G24)</f>
        <v>0</v>
      </c>
      <c r="H25" s="840" t="str">
        <f>"Sum Lines "&amp;A21&amp;" thru "&amp;A24</f>
        <v>Sum Lines 10 thru 13</v>
      </c>
      <c r="I25" s="247">
        <f t="shared" si="1"/>
        <v>14</v>
      </c>
    </row>
    <row r="26" spans="1:9" ht="16" thickTop="1">
      <c r="A26" s="247">
        <f t="shared" si="0"/>
        <v>15</v>
      </c>
      <c r="I26" s="247">
        <f t="shared" si="1"/>
        <v>15</v>
      </c>
    </row>
    <row r="27" spans="1:9">
      <c r="A27" s="247">
        <f t="shared" si="0"/>
        <v>16</v>
      </c>
      <c r="B27" s="420" t="s">
        <v>737</v>
      </c>
      <c r="C27" s="837"/>
      <c r="D27" s="837"/>
      <c r="E27" s="837"/>
      <c r="F27" s="837"/>
      <c r="G27" s="481"/>
      <c r="H27" s="247"/>
      <c r="I27" s="247">
        <f t="shared" si="1"/>
        <v>16</v>
      </c>
    </row>
    <row r="28" spans="1:9">
      <c r="A28" s="247">
        <f t="shared" si="0"/>
        <v>17</v>
      </c>
      <c r="B28" s="420" t="s">
        <v>356</v>
      </c>
      <c r="C28" s="473">
        <v>0</v>
      </c>
      <c r="D28" s="473"/>
      <c r="E28" s="473">
        <v>0</v>
      </c>
      <c r="F28" s="838"/>
      <c r="G28" s="376">
        <f>SUM(C28:E28)</f>
        <v>0</v>
      </c>
      <c r="H28" s="401"/>
      <c r="I28" s="247">
        <f t="shared" si="1"/>
        <v>17</v>
      </c>
    </row>
    <row r="29" spans="1:9">
      <c r="A29" s="247">
        <f t="shared" si="0"/>
        <v>18</v>
      </c>
      <c r="B29" s="420"/>
      <c r="C29" s="491">
        <v>0</v>
      </c>
      <c r="D29" s="491"/>
      <c r="E29" s="491">
        <v>0</v>
      </c>
      <c r="F29" s="164"/>
      <c r="G29" s="164">
        <f>SUM(C29:E29)</f>
        <v>0</v>
      </c>
      <c r="H29" s="247"/>
      <c r="I29" s="247">
        <f t="shared" si="1"/>
        <v>18</v>
      </c>
    </row>
    <row r="30" spans="1:9">
      <c r="A30" s="247">
        <f t="shared" si="0"/>
        <v>19</v>
      </c>
      <c r="B30" s="420"/>
      <c r="C30" s="164">
        <v>0</v>
      </c>
      <c r="D30" s="164"/>
      <c r="E30" s="164">
        <v>0</v>
      </c>
      <c r="F30" s="164"/>
      <c r="G30" s="164">
        <f>SUM(C30:E30)</f>
        <v>0</v>
      </c>
      <c r="H30" s="164"/>
      <c r="I30" s="247">
        <f t="shared" si="1"/>
        <v>19</v>
      </c>
    </row>
    <row r="31" spans="1:9">
      <c r="A31" s="247">
        <f t="shared" si="0"/>
        <v>20</v>
      </c>
      <c r="B31" s="420"/>
      <c r="C31" s="164">
        <v>0</v>
      </c>
      <c r="D31" s="164"/>
      <c r="E31" s="164">
        <v>0</v>
      </c>
      <c r="F31" s="164"/>
      <c r="G31" s="164">
        <f>SUM(C31:E31)</f>
        <v>0</v>
      </c>
      <c r="H31" s="164"/>
      <c r="I31" s="247">
        <f t="shared" si="1"/>
        <v>20</v>
      </c>
    </row>
    <row r="32" spans="1:9">
      <c r="A32" s="247">
        <f t="shared" si="0"/>
        <v>21</v>
      </c>
      <c r="B32" s="420"/>
      <c r="C32" s="164">
        <v>0</v>
      </c>
      <c r="D32" s="164"/>
      <c r="E32" s="164">
        <v>0</v>
      </c>
      <c r="F32" s="164"/>
      <c r="G32" s="164">
        <f>SUM(C32:E32)</f>
        <v>0</v>
      </c>
      <c r="H32" s="164"/>
      <c r="I32" s="247">
        <f t="shared" si="1"/>
        <v>21</v>
      </c>
    </row>
    <row r="33" spans="1:9" ht="16" thickBot="1">
      <c r="A33" s="247">
        <f t="shared" si="0"/>
        <v>22</v>
      </c>
      <c r="B33" s="466" t="s">
        <v>357</v>
      </c>
      <c r="C33" s="839">
        <f t="shared" ref="C33" si="3">SUM(C28:C32)</f>
        <v>0</v>
      </c>
      <c r="D33" s="323"/>
      <c r="E33" s="839">
        <f>SUM(E28:E32)</f>
        <v>0</v>
      </c>
      <c r="F33" s="164"/>
      <c r="G33" s="839">
        <f>SUM(G28:G32)</f>
        <v>0</v>
      </c>
      <c r="H33" s="840" t="str">
        <f>"Sum Lines "&amp;A28&amp;" thru "&amp;A32</f>
        <v>Sum Lines 17 thru 21</v>
      </c>
      <c r="I33" s="247">
        <f t="shared" si="1"/>
        <v>22</v>
      </c>
    </row>
    <row r="34" spans="1:9" ht="16" thickTop="1"/>
    <row r="36" spans="1:9" ht="18">
      <c r="A36" s="372">
        <v>1</v>
      </c>
      <c r="B36" s="136" t="s">
        <v>738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/>
  </sheetViews>
  <sheetFormatPr defaultColWidth="8.6328125" defaultRowHeight="15.5"/>
  <cols>
    <col min="1" max="1" width="5.08984375" style="247" customWidth="1"/>
    <col min="2" max="2" width="55.36328125" style="216" customWidth="1"/>
    <col min="3" max="4" width="15.54296875" style="216" customWidth="1"/>
    <col min="5" max="5" width="15.6328125" style="216" bestFit="1" customWidth="1"/>
    <col min="6" max="6" width="1.54296875" style="216" customWidth="1"/>
    <col min="7" max="7" width="16.6328125" style="216" customWidth="1"/>
    <col min="8" max="8" width="1.54296875" style="216" customWidth="1"/>
    <col min="9" max="9" width="38.6328125" style="435" customWidth="1"/>
    <col min="10" max="10" width="5.08984375" style="216" customWidth="1"/>
    <col min="11" max="11" width="27" style="216" bestFit="1" customWidth="1"/>
    <col min="12" max="12" width="15" style="216" bestFit="1" customWidth="1"/>
    <col min="13" max="13" width="10.36328125" style="216" bestFit="1" customWidth="1"/>
    <col min="14" max="16384" width="8.6328125" style="216"/>
  </cols>
  <sheetData>
    <row r="1" spans="1:10">
      <c r="A1" s="479"/>
      <c r="G1" s="396"/>
      <c r="H1" s="396"/>
      <c r="I1" s="480"/>
      <c r="J1" s="247"/>
    </row>
    <row r="2" spans="1:10">
      <c r="B2" s="1290" t="s">
        <v>739</v>
      </c>
      <c r="C2" s="1290"/>
      <c r="D2" s="1290"/>
      <c r="E2" s="1290"/>
      <c r="F2" s="1290"/>
      <c r="G2" s="1290"/>
      <c r="H2" s="1290"/>
      <c r="I2" s="1290"/>
      <c r="J2" s="247"/>
    </row>
    <row r="3" spans="1:10">
      <c r="B3" s="1290" t="s">
        <v>740</v>
      </c>
      <c r="C3" s="1290"/>
      <c r="D3" s="1290"/>
      <c r="E3" s="1290"/>
      <c r="F3" s="1290"/>
      <c r="G3" s="1290"/>
      <c r="H3" s="1290"/>
      <c r="I3" s="1290"/>
      <c r="J3" s="247"/>
    </row>
    <row r="4" spans="1:10">
      <c r="B4" s="1290" t="s">
        <v>741</v>
      </c>
      <c r="C4" s="1290"/>
      <c r="D4" s="1290"/>
      <c r="E4" s="1290"/>
      <c r="F4" s="1290"/>
      <c r="G4" s="1290"/>
      <c r="H4" s="1290"/>
      <c r="I4" s="1290"/>
      <c r="J4" s="247"/>
    </row>
    <row r="5" spans="1:10">
      <c r="B5" s="1292" t="str">
        <f>'A. Sec.1 - Direct Maintenance'!B5</f>
        <v>Base Period &amp; True-Up Period 12 - Months Ending December 31, 2023</v>
      </c>
      <c r="C5" s="1292"/>
      <c r="D5" s="1292"/>
      <c r="E5" s="1292"/>
      <c r="F5" s="1292"/>
      <c r="G5" s="1292"/>
      <c r="H5" s="1292"/>
      <c r="I5" s="1292"/>
      <c r="J5" s="247"/>
    </row>
    <row r="6" spans="1:10">
      <c r="B6" s="1288" t="s">
        <v>3</v>
      </c>
      <c r="C6" s="1302"/>
      <c r="D6" s="1302"/>
      <c r="E6" s="1302"/>
      <c r="F6" s="1302"/>
      <c r="G6" s="1302"/>
      <c r="H6" s="1302"/>
      <c r="I6" s="1302"/>
      <c r="J6" s="247"/>
    </row>
    <row r="7" spans="1:10">
      <c r="B7" s="247"/>
      <c r="C7" s="247"/>
      <c r="D7" s="247"/>
      <c r="E7" s="247"/>
      <c r="F7" s="247"/>
      <c r="G7" s="247"/>
      <c r="H7" s="247"/>
      <c r="I7" s="481"/>
      <c r="J7" s="247"/>
    </row>
    <row r="8" spans="1:10">
      <c r="A8" s="247" t="s">
        <v>4</v>
      </c>
      <c r="B8" s="551"/>
      <c r="C8" s="551"/>
      <c r="D8" s="551"/>
      <c r="E8" s="247" t="s">
        <v>189</v>
      </c>
      <c r="F8" s="551"/>
      <c r="G8" s="551"/>
      <c r="H8" s="551"/>
      <c r="I8" s="481"/>
      <c r="J8" s="247" t="s">
        <v>4</v>
      </c>
    </row>
    <row r="9" spans="1:10">
      <c r="A9" s="247" t="s">
        <v>5</v>
      </c>
      <c r="B9" s="247"/>
      <c r="C9" s="247"/>
      <c r="D9" s="247"/>
      <c r="E9" s="997" t="s">
        <v>191</v>
      </c>
      <c r="F9" s="247"/>
      <c r="G9" s="998" t="s">
        <v>7</v>
      </c>
      <c r="H9" s="551"/>
      <c r="I9" s="1049" t="s">
        <v>8</v>
      </c>
      <c r="J9" s="247" t="s">
        <v>5</v>
      </c>
    </row>
    <row r="10" spans="1:10">
      <c r="B10" s="247"/>
      <c r="C10" s="247"/>
      <c r="D10" s="247"/>
      <c r="E10" s="247"/>
      <c r="F10" s="247"/>
      <c r="G10" s="247"/>
      <c r="H10" s="247"/>
      <c r="I10" s="481"/>
      <c r="J10" s="247"/>
    </row>
    <row r="11" spans="1:10">
      <c r="A11" s="247">
        <v>1</v>
      </c>
      <c r="B11" s="461" t="s">
        <v>742</v>
      </c>
      <c r="I11" s="481"/>
      <c r="J11" s="247">
        <f>A11</f>
        <v>1</v>
      </c>
    </row>
    <row r="12" spans="1:10">
      <c r="A12" s="247">
        <f>A11+1</f>
        <v>2</v>
      </c>
      <c r="B12" s="216" t="s">
        <v>743</v>
      </c>
      <c r="E12" s="247" t="s">
        <v>986</v>
      </c>
      <c r="G12" s="394">
        <v>8350000</v>
      </c>
      <c r="H12" s="551"/>
      <c r="I12" s="482"/>
      <c r="J12" s="247">
        <f>J11+1</f>
        <v>2</v>
      </c>
    </row>
    <row r="13" spans="1:10">
      <c r="A13" s="247">
        <f t="shared" ref="A13:A65" si="0">A12+1</f>
        <v>3</v>
      </c>
      <c r="B13" s="216" t="s">
        <v>744</v>
      </c>
      <c r="E13" s="247" t="s">
        <v>987</v>
      </c>
      <c r="G13" s="397">
        <v>0</v>
      </c>
      <c r="H13" s="551"/>
      <c r="I13" s="482"/>
      <c r="J13" s="247">
        <f t="shared" ref="J13:J65" si="1">J12+1</f>
        <v>3</v>
      </c>
    </row>
    <row r="14" spans="1:10">
      <c r="A14" s="247">
        <f t="shared" si="0"/>
        <v>4</v>
      </c>
      <c r="B14" s="216" t="s">
        <v>745</v>
      </c>
      <c r="E14" s="247" t="s">
        <v>988</v>
      </c>
      <c r="G14" s="397">
        <v>400000</v>
      </c>
      <c r="H14" s="551"/>
      <c r="I14" s="482"/>
      <c r="J14" s="247">
        <f t="shared" si="1"/>
        <v>4</v>
      </c>
    </row>
    <row r="15" spans="1:10">
      <c r="A15" s="247">
        <f t="shared" si="0"/>
        <v>5</v>
      </c>
      <c r="B15" s="216" t="s">
        <v>746</v>
      </c>
      <c r="E15" s="247" t="s">
        <v>989</v>
      </c>
      <c r="G15" s="397">
        <v>0</v>
      </c>
      <c r="H15" s="551"/>
      <c r="I15" s="482"/>
      <c r="J15" s="247">
        <f t="shared" si="1"/>
        <v>5</v>
      </c>
    </row>
    <row r="16" spans="1:10">
      <c r="A16" s="247">
        <f t="shared" si="0"/>
        <v>6</v>
      </c>
      <c r="B16" s="216" t="s">
        <v>747</v>
      </c>
      <c r="E16" s="247" t="s">
        <v>990</v>
      </c>
      <c r="G16" s="397">
        <v>-29212.842000000001</v>
      </c>
      <c r="H16" s="551"/>
      <c r="I16" s="482"/>
      <c r="J16" s="247">
        <f t="shared" si="1"/>
        <v>6</v>
      </c>
    </row>
    <row r="17" spans="1:10">
      <c r="A17" s="247">
        <f t="shared" si="0"/>
        <v>7</v>
      </c>
      <c r="B17" s="216" t="s">
        <v>748</v>
      </c>
      <c r="G17" s="983">
        <f>SUM(G12:G16)</f>
        <v>8720787.1579999998</v>
      </c>
      <c r="H17" s="370"/>
      <c r="I17" s="481" t="str">
        <f>"Sum Lines "&amp;A12&amp;" thru "&amp;A16</f>
        <v>Sum Lines 2 thru 6</v>
      </c>
      <c r="J17" s="247">
        <f t="shared" si="1"/>
        <v>7</v>
      </c>
    </row>
    <row r="18" spans="1:10">
      <c r="A18" s="247">
        <f t="shared" si="0"/>
        <v>8</v>
      </c>
      <c r="I18" s="481"/>
      <c r="J18" s="247">
        <f t="shared" si="1"/>
        <v>8</v>
      </c>
    </row>
    <row r="19" spans="1:10">
      <c r="A19" s="247">
        <f t="shared" si="0"/>
        <v>9</v>
      </c>
      <c r="B19" s="461" t="s">
        <v>749</v>
      </c>
      <c r="G19" s="164"/>
      <c r="H19" s="164"/>
      <c r="I19" s="481"/>
      <c r="J19" s="247">
        <f t="shared" si="1"/>
        <v>9</v>
      </c>
    </row>
    <row r="20" spans="1:10">
      <c r="A20" s="247">
        <f t="shared" si="0"/>
        <v>10</v>
      </c>
      <c r="B20" s="216" t="s">
        <v>750</v>
      </c>
      <c r="E20" s="247" t="s">
        <v>991</v>
      </c>
      <c r="G20" s="394">
        <v>340601.527</v>
      </c>
      <c r="H20" s="551"/>
      <c r="I20" s="482"/>
      <c r="J20" s="247">
        <f t="shared" si="1"/>
        <v>10</v>
      </c>
    </row>
    <row r="21" spans="1:10">
      <c r="A21" s="247">
        <f t="shared" si="0"/>
        <v>11</v>
      </c>
      <c r="B21" s="216" t="s">
        <v>751</v>
      </c>
      <c r="E21" s="247" t="s">
        <v>992</v>
      </c>
      <c r="G21" s="397">
        <v>6103.5349999999999</v>
      </c>
      <c r="H21" s="551"/>
      <c r="I21" s="482"/>
      <c r="J21" s="247">
        <f t="shared" si="1"/>
        <v>11</v>
      </c>
    </row>
    <row r="22" spans="1:10">
      <c r="A22" s="247">
        <f t="shared" si="0"/>
        <v>12</v>
      </c>
      <c r="B22" s="216" t="s">
        <v>752</v>
      </c>
      <c r="E22" s="247" t="s">
        <v>993</v>
      </c>
      <c r="G22" s="397">
        <v>689.16499999999996</v>
      </c>
      <c r="H22" s="551"/>
      <c r="I22" s="482"/>
      <c r="J22" s="247">
        <f t="shared" si="1"/>
        <v>12</v>
      </c>
    </row>
    <row r="23" spans="1:10">
      <c r="A23" s="247">
        <f t="shared" si="0"/>
        <v>13</v>
      </c>
      <c r="B23" s="216" t="s">
        <v>753</v>
      </c>
      <c r="E23" s="247" t="s">
        <v>994</v>
      </c>
      <c r="G23" s="397">
        <v>0</v>
      </c>
      <c r="H23" s="551"/>
      <c r="I23" s="482"/>
      <c r="J23" s="247">
        <f t="shared" si="1"/>
        <v>13</v>
      </c>
    </row>
    <row r="24" spans="1:10">
      <c r="A24" s="247">
        <f t="shared" si="0"/>
        <v>14</v>
      </c>
      <c r="B24" s="216" t="s">
        <v>754</v>
      </c>
      <c r="E24" s="247" t="s">
        <v>995</v>
      </c>
      <c r="G24" s="397">
        <v>0</v>
      </c>
      <c r="H24" s="551"/>
      <c r="I24" s="482"/>
      <c r="J24" s="247">
        <f t="shared" si="1"/>
        <v>14</v>
      </c>
    </row>
    <row r="25" spans="1:10">
      <c r="A25" s="247">
        <f t="shared" si="0"/>
        <v>15</v>
      </c>
      <c r="B25" s="216" t="s">
        <v>755</v>
      </c>
      <c r="G25" s="1050">
        <f>SUM(G20:G24)</f>
        <v>347394.22699999996</v>
      </c>
      <c r="H25" s="400"/>
      <c r="I25" s="481" t="str">
        <f>"Sum Lines "&amp;A20&amp;" thru "&amp;A24</f>
        <v>Sum Lines 10 thru 14</v>
      </c>
      <c r="J25" s="247">
        <f t="shared" si="1"/>
        <v>15</v>
      </c>
    </row>
    <row r="26" spans="1:10">
      <c r="A26" s="247">
        <f t="shared" si="0"/>
        <v>16</v>
      </c>
      <c r="I26" s="481"/>
      <c r="J26" s="247">
        <f t="shared" si="1"/>
        <v>16</v>
      </c>
    </row>
    <row r="27" spans="1:10" ht="16" thickBot="1">
      <c r="A27" s="247">
        <f t="shared" si="0"/>
        <v>17</v>
      </c>
      <c r="B27" s="461" t="s">
        <v>756</v>
      </c>
      <c r="G27" s="1172">
        <f>G25/G17</f>
        <v>3.9835191560812083E-2</v>
      </c>
      <c r="H27" s="483"/>
      <c r="I27" s="481" t="str">
        <f>"Line "&amp;A25&amp;" / Line "&amp;A17</f>
        <v>Line 15 / Line 7</v>
      </c>
      <c r="J27" s="247">
        <f t="shared" si="1"/>
        <v>17</v>
      </c>
    </row>
    <row r="28" spans="1:10" ht="16" thickTop="1">
      <c r="A28" s="247">
        <f t="shared" si="0"/>
        <v>18</v>
      </c>
      <c r="I28" s="481"/>
      <c r="J28" s="247">
        <f t="shared" si="1"/>
        <v>18</v>
      </c>
    </row>
    <row r="29" spans="1:10">
      <c r="A29" s="247">
        <f t="shared" si="0"/>
        <v>19</v>
      </c>
      <c r="B29" s="461" t="s">
        <v>757</v>
      </c>
      <c r="I29" s="481"/>
      <c r="J29" s="247">
        <f t="shared" si="1"/>
        <v>19</v>
      </c>
    </row>
    <row r="30" spans="1:10">
      <c r="A30" s="247">
        <f t="shared" si="0"/>
        <v>20</v>
      </c>
      <c r="B30" s="216" t="s">
        <v>758</v>
      </c>
      <c r="E30" s="247" t="s">
        <v>996</v>
      </c>
      <c r="G30" s="394">
        <v>0</v>
      </c>
      <c r="H30" s="551"/>
      <c r="I30" s="482"/>
      <c r="J30" s="247">
        <f t="shared" si="1"/>
        <v>20</v>
      </c>
    </row>
    <row r="31" spans="1:10">
      <c r="A31" s="247">
        <f t="shared" si="0"/>
        <v>21</v>
      </c>
      <c r="B31" s="216" t="s">
        <v>759</v>
      </c>
      <c r="E31" s="247" t="s">
        <v>997</v>
      </c>
      <c r="G31" s="1051">
        <v>0</v>
      </c>
      <c r="H31" s="551"/>
      <c r="I31" s="482"/>
      <c r="J31" s="247">
        <f t="shared" si="1"/>
        <v>21</v>
      </c>
    </row>
    <row r="32" spans="1:10" ht="16" thickBot="1">
      <c r="A32" s="247">
        <f t="shared" si="0"/>
        <v>22</v>
      </c>
      <c r="B32" s="216" t="s">
        <v>760</v>
      </c>
      <c r="G32" s="1172">
        <f>IFERROR((G31/G30),0)</f>
        <v>0</v>
      </c>
      <c r="H32" s="483"/>
      <c r="I32" s="481" t="str">
        <f>"Line "&amp;A31&amp;" / Line "&amp;A30</f>
        <v>Line 21 / Line 20</v>
      </c>
      <c r="J32" s="247">
        <f t="shared" si="1"/>
        <v>22</v>
      </c>
    </row>
    <row r="33" spans="1:12" ht="16" thickTop="1">
      <c r="A33" s="247">
        <f t="shared" si="0"/>
        <v>23</v>
      </c>
      <c r="I33" s="481"/>
      <c r="J33" s="247">
        <f t="shared" si="1"/>
        <v>23</v>
      </c>
    </row>
    <row r="34" spans="1:12">
      <c r="A34" s="247">
        <f t="shared" si="0"/>
        <v>24</v>
      </c>
      <c r="B34" s="461" t="s">
        <v>761</v>
      </c>
      <c r="I34" s="481"/>
      <c r="J34" s="247">
        <f t="shared" si="1"/>
        <v>24</v>
      </c>
    </row>
    <row r="35" spans="1:12">
      <c r="A35" s="247">
        <f t="shared" si="0"/>
        <v>25</v>
      </c>
      <c r="B35" s="216" t="s">
        <v>762</v>
      </c>
      <c r="E35" s="247" t="s">
        <v>998</v>
      </c>
      <c r="G35" s="394">
        <v>9901206.2530000005</v>
      </c>
      <c r="H35" s="551"/>
      <c r="I35" s="482"/>
      <c r="J35" s="247">
        <f t="shared" si="1"/>
        <v>25</v>
      </c>
      <c r="K35" s="369"/>
      <c r="L35" s="659"/>
    </row>
    <row r="36" spans="1:12">
      <c r="A36" s="247">
        <f t="shared" si="0"/>
        <v>26</v>
      </c>
      <c r="B36" s="216" t="s">
        <v>763</v>
      </c>
      <c r="E36" s="247" t="s">
        <v>996</v>
      </c>
      <c r="G36" s="484">
        <f>-G30</f>
        <v>0</v>
      </c>
      <c r="H36" s="484"/>
      <c r="I36" s="481" t="str">
        <f>"Negative of Line "&amp;A30&amp;" Above"</f>
        <v>Negative of Line 20 Above</v>
      </c>
      <c r="J36" s="247">
        <f t="shared" si="1"/>
        <v>26</v>
      </c>
    </row>
    <row r="37" spans="1:12">
      <c r="A37" s="247">
        <f t="shared" si="0"/>
        <v>27</v>
      </c>
      <c r="B37" s="216" t="s">
        <v>764</v>
      </c>
      <c r="E37" s="247" t="s">
        <v>999</v>
      </c>
      <c r="G37" s="397">
        <v>0</v>
      </c>
      <c r="H37" s="551"/>
      <c r="I37" s="482"/>
      <c r="J37" s="247">
        <f t="shared" si="1"/>
        <v>27</v>
      </c>
    </row>
    <row r="38" spans="1:12">
      <c r="A38" s="247">
        <f t="shared" si="0"/>
        <v>28</v>
      </c>
      <c r="B38" s="216" t="s">
        <v>765</v>
      </c>
      <c r="E38" s="247" t="s">
        <v>1000</v>
      </c>
      <c r="G38" s="397">
        <v>8347.9140000000007</v>
      </c>
      <c r="H38" s="551"/>
      <c r="I38" s="482"/>
      <c r="J38" s="247">
        <f t="shared" si="1"/>
        <v>28</v>
      </c>
    </row>
    <row r="39" spans="1:12" ht="16" thickBot="1">
      <c r="A39" s="247">
        <f t="shared" si="0"/>
        <v>29</v>
      </c>
      <c r="B39" s="216" t="s">
        <v>766</v>
      </c>
      <c r="G39" s="1052">
        <f>SUM(G35:G38)</f>
        <v>9909554.1670000013</v>
      </c>
      <c r="H39" s="485"/>
      <c r="I39" s="481" t="str">
        <f>"Sum Lines "&amp;A35&amp;" thru "&amp;A38</f>
        <v>Sum Lines 25 thru 28</v>
      </c>
      <c r="J39" s="247">
        <f t="shared" si="1"/>
        <v>29</v>
      </c>
    </row>
    <row r="40" spans="1:12" ht="16.5" thickTop="1" thickBot="1">
      <c r="A40" s="486">
        <f t="shared" si="0"/>
        <v>30</v>
      </c>
      <c r="B40" s="266"/>
      <c r="C40" s="266"/>
      <c r="D40" s="266"/>
      <c r="E40" s="266"/>
      <c r="F40" s="266"/>
      <c r="G40" s="266"/>
      <c r="H40" s="266"/>
      <c r="I40" s="487"/>
      <c r="J40" s="486">
        <f t="shared" si="1"/>
        <v>30</v>
      </c>
    </row>
    <row r="41" spans="1:12">
      <c r="A41" s="247">
        <f>A40+1</f>
        <v>31</v>
      </c>
      <c r="I41" s="481"/>
      <c r="J41" s="247">
        <f>J40+1</f>
        <v>31</v>
      </c>
    </row>
    <row r="42" spans="1:12" ht="16" thickBot="1">
      <c r="A42" s="247">
        <f>A41+1</f>
        <v>32</v>
      </c>
      <c r="B42" s="461" t="s">
        <v>899</v>
      </c>
      <c r="G42" s="1173">
        <v>0.106</v>
      </c>
      <c r="H42" s="551"/>
      <c r="I42" s="247" t="s">
        <v>767</v>
      </c>
      <c r="J42" s="247">
        <f>J41+1</f>
        <v>32</v>
      </c>
    </row>
    <row r="43" spans="1:12" ht="16" thickTop="1">
      <c r="A43" s="247">
        <f t="shared" si="0"/>
        <v>33</v>
      </c>
      <c r="C43" s="412" t="s">
        <v>77</v>
      </c>
      <c r="D43" s="412" t="s">
        <v>78</v>
      </c>
      <c r="E43" s="412" t="s">
        <v>340</v>
      </c>
      <c r="F43" s="412"/>
      <c r="G43" s="412" t="s">
        <v>768</v>
      </c>
      <c r="H43" s="412"/>
      <c r="I43" s="481"/>
      <c r="J43" s="247">
        <f t="shared" si="1"/>
        <v>33</v>
      </c>
    </row>
    <row r="44" spans="1:12">
      <c r="A44" s="247">
        <f t="shared" si="0"/>
        <v>34</v>
      </c>
      <c r="D44" s="247" t="s">
        <v>769</v>
      </c>
      <c r="E44" s="247" t="s">
        <v>770</v>
      </c>
      <c r="F44" s="247"/>
      <c r="G44" s="247" t="s">
        <v>771</v>
      </c>
      <c r="H44" s="247"/>
      <c r="I44" s="481"/>
      <c r="J44" s="247">
        <f t="shared" si="1"/>
        <v>34</v>
      </c>
    </row>
    <row r="45" spans="1:12" ht="18">
      <c r="A45" s="247">
        <f t="shared" si="0"/>
        <v>35</v>
      </c>
      <c r="B45" s="461" t="s">
        <v>772</v>
      </c>
      <c r="C45" s="997" t="s">
        <v>571</v>
      </c>
      <c r="D45" s="997" t="s">
        <v>773</v>
      </c>
      <c r="E45" s="997" t="s">
        <v>774</v>
      </c>
      <c r="F45" s="997"/>
      <c r="G45" s="997" t="s">
        <v>775</v>
      </c>
      <c r="H45" s="247"/>
      <c r="I45" s="481"/>
      <c r="J45" s="247">
        <f t="shared" si="1"/>
        <v>35</v>
      </c>
    </row>
    <row r="46" spans="1:12">
      <c r="A46" s="247">
        <f t="shared" si="0"/>
        <v>36</v>
      </c>
      <c r="I46" s="481"/>
      <c r="J46" s="247">
        <f t="shared" si="1"/>
        <v>36</v>
      </c>
    </row>
    <row r="47" spans="1:12">
      <c r="A47" s="247">
        <f t="shared" si="0"/>
        <v>37</v>
      </c>
      <c r="B47" s="216" t="s">
        <v>776</v>
      </c>
      <c r="C47" s="473">
        <f>G17</f>
        <v>8720787.1579999998</v>
      </c>
      <c r="D47" s="488">
        <f>C47/C$50</f>
        <v>0.46809594123203746</v>
      </c>
      <c r="E47" s="489">
        <f>G27</f>
        <v>3.9835191560812083E-2</v>
      </c>
      <c r="G47" s="490">
        <f>D47*E47</f>
        <v>1.8646691487816846E-2</v>
      </c>
      <c r="H47" s="490"/>
      <c r="I47" s="481" t="str">
        <f>"Col. c = Line "&amp;A27&amp;" Above"</f>
        <v>Col. c = Line 17 Above</v>
      </c>
      <c r="J47" s="247">
        <f t="shared" si="1"/>
        <v>37</v>
      </c>
    </row>
    <row r="48" spans="1:12">
      <c r="A48" s="247">
        <f t="shared" si="0"/>
        <v>38</v>
      </c>
      <c r="B48" s="216" t="s">
        <v>777</v>
      </c>
      <c r="C48" s="491">
        <f>G30</f>
        <v>0</v>
      </c>
      <c r="D48" s="488">
        <f>C48/C$50</f>
        <v>0</v>
      </c>
      <c r="E48" s="489">
        <f>G32</f>
        <v>0</v>
      </c>
      <c r="G48" s="490">
        <f>D48*E48</f>
        <v>0</v>
      </c>
      <c r="H48" s="490"/>
      <c r="I48" s="481" t="str">
        <f>"Col. c = Line "&amp;A32&amp;" Above"</f>
        <v>Col. c = Line 22 Above</v>
      </c>
      <c r="J48" s="247">
        <f t="shared" si="1"/>
        <v>38</v>
      </c>
    </row>
    <row r="49" spans="1:10">
      <c r="A49" s="247">
        <f t="shared" si="0"/>
        <v>39</v>
      </c>
      <c r="B49" s="216" t="s">
        <v>778</v>
      </c>
      <c r="C49" s="491">
        <f>G39</f>
        <v>9909554.1670000013</v>
      </c>
      <c r="D49" s="1053">
        <f>C49/C$50</f>
        <v>0.53190405876796243</v>
      </c>
      <c r="E49" s="492">
        <f>G42</f>
        <v>0.106</v>
      </c>
      <c r="G49" s="1054">
        <f>D49*E49</f>
        <v>5.6381830229404017E-2</v>
      </c>
      <c r="H49" s="483"/>
      <c r="I49" s="481" t="str">
        <f>"Col. c = Line "&amp;A42&amp;" Above"</f>
        <v>Col. c = Line 32 Above</v>
      </c>
      <c r="J49" s="247">
        <f t="shared" si="1"/>
        <v>39</v>
      </c>
    </row>
    <row r="50" spans="1:10" ht="16" thickBot="1">
      <c r="A50" s="247">
        <f t="shared" si="0"/>
        <v>40</v>
      </c>
      <c r="B50" s="216" t="s">
        <v>779</v>
      </c>
      <c r="C50" s="879">
        <f>SUM(C47:C49)</f>
        <v>18630341.325000003</v>
      </c>
      <c r="D50" s="1174">
        <f>SUM(D47:D49)</f>
        <v>0.99999999999999989</v>
      </c>
      <c r="G50" s="1172">
        <f>SUM(G47:G49)</f>
        <v>7.5028521717220867E-2</v>
      </c>
      <c r="H50" s="483"/>
      <c r="I50" s="481" t="str">
        <f>"Sum Lines "&amp;A47&amp;" thru "&amp;A49</f>
        <v>Sum Lines 37 thru 39</v>
      </c>
      <c r="J50" s="247">
        <f t="shared" si="1"/>
        <v>40</v>
      </c>
    </row>
    <row r="51" spans="1:10" ht="16" thickTop="1">
      <c r="A51" s="247">
        <f t="shared" si="0"/>
        <v>41</v>
      </c>
      <c r="I51" s="481"/>
      <c r="J51" s="247">
        <f t="shared" si="1"/>
        <v>41</v>
      </c>
    </row>
    <row r="52" spans="1:10" ht="16" thickBot="1">
      <c r="A52" s="247">
        <f t="shared" si="0"/>
        <v>42</v>
      </c>
      <c r="B52" s="461" t="s">
        <v>780</v>
      </c>
      <c r="G52" s="1172">
        <f>G48+G49</f>
        <v>5.6381830229404017E-2</v>
      </c>
      <c r="H52" s="483"/>
      <c r="I52" s="481" t="str">
        <f>"Line "&amp;A48&amp;" + Line "&amp;A49&amp;"; Col. d"</f>
        <v>Line 38 + Line 39; Col. d</v>
      </c>
      <c r="J52" s="247">
        <f t="shared" si="1"/>
        <v>42</v>
      </c>
    </row>
    <row r="53" spans="1:10" ht="16.5" thickTop="1" thickBot="1">
      <c r="A53" s="486">
        <f t="shared" si="0"/>
        <v>43</v>
      </c>
      <c r="B53" s="877"/>
      <c r="C53" s="266"/>
      <c r="D53" s="266"/>
      <c r="E53" s="266"/>
      <c r="F53" s="266"/>
      <c r="G53" s="878"/>
      <c r="H53" s="878"/>
      <c r="I53" s="487"/>
      <c r="J53" s="486">
        <f t="shared" si="1"/>
        <v>43</v>
      </c>
    </row>
    <row r="54" spans="1:10">
      <c r="A54" s="247">
        <f t="shared" si="0"/>
        <v>44</v>
      </c>
      <c r="B54" s="461"/>
      <c r="G54" s="492"/>
      <c r="H54" s="492"/>
      <c r="I54" s="481"/>
      <c r="J54" s="247">
        <f t="shared" si="1"/>
        <v>44</v>
      </c>
    </row>
    <row r="55" spans="1:10" ht="16" thickBot="1">
      <c r="A55" s="247">
        <f t="shared" si="0"/>
        <v>45</v>
      </c>
      <c r="B55" s="461" t="s">
        <v>781</v>
      </c>
      <c r="G55" s="1175">
        <v>0</v>
      </c>
      <c r="H55" s="492"/>
      <c r="I55" s="481" t="s">
        <v>307</v>
      </c>
      <c r="J55" s="247">
        <f t="shared" si="1"/>
        <v>45</v>
      </c>
    </row>
    <row r="56" spans="1:10" ht="16" thickTop="1">
      <c r="A56" s="247">
        <f t="shared" si="0"/>
        <v>46</v>
      </c>
      <c r="C56" s="412" t="s">
        <v>77</v>
      </c>
      <c r="D56" s="412" t="s">
        <v>78</v>
      </c>
      <c r="E56" s="412" t="s">
        <v>340</v>
      </c>
      <c r="F56" s="412"/>
      <c r="G56" s="412" t="s">
        <v>768</v>
      </c>
      <c r="H56" s="492"/>
      <c r="I56" s="481"/>
      <c r="J56" s="247">
        <f t="shared" si="1"/>
        <v>46</v>
      </c>
    </row>
    <row r="57" spans="1:10">
      <c r="A57" s="247">
        <f t="shared" si="0"/>
        <v>47</v>
      </c>
      <c r="D57" s="247" t="s">
        <v>769</v>
      </c>
      <c r="E57" s="247" t="s">
        <v>770</v>
      </c>
      <c r="F57" s="247"/>
      <c r="G57" s="247" t="s">
        <v>771</v>
      </c>
      <c r="H57" s="492"/>
      <c r="I57" s="481"/>
      <c r="J57" s="247">
        <f t="shared" si="1"/>
        <v>47</v>
      </c>
    </row>
    <row r="58" spans="1:10" ht="18">
      <c r="A58" s="247">
        <f t="shared" si="0"/>
        <v>48</v>
      </c>
      <c r="B58" s="461" t="s">
        <v>782</v>
      </c>
      <c r="C58" s="997" t="s">
        <v>571</v>
      </c>
      <c r="D58" s="997" t="s">
        <v>773</v>
      </c>
      <c r="E58" s="997" t="s">
        <v>774</v>
      </c>
      <c r="F58" s="997"/>
      <c r="G58" s="997" t="s">
        <v>775</v>
      </c>
      <c r="H58" s="492"/>
      <c r="I58" s="481"/>
      <c r="J58" s="247">
        <f t="shared" si="1"/>
        <v>48</v>
      </c>
    </row>
    <row r="59" spans="1:10">
      <c r="A59" s="247">
        <f t="shared" si="0"/>
        <v>49</v>
      </c>
      <c r="G59" s="492"/>
      <c r="H59" s="492"/>
      <c r="I59" s="481"/>
      <c r="J59" s="247">
        <f t="shared" si="1"/>
        <v>49</v>
      </c>
    </row>
    <row r="60" spans="1:10">
      <c r="A60" s="247">
        <f t="shared" si="0"/>
        <v>50</v>
      </c>
      <c r="B60" s="216" t="s">
        <v>776</v>
      </c>
      <c r="C60" s="889">
        <v>0</v>
      </c>
      <c r="D60" s="891">
        <v>0</v>
      </c>
      <c r="E60" s="892">
        <v>0</v>
      </c>
      <c r="G60" s="490">
        <f>D60*E60</f>
        <v>0</v>
      </c>
      <c r="H60" s="492"/>
      <c r="I60" s="481" t="s">
        <v>307</v>
      </c>
      <c r="J60" s="247">
        <f t="shared" si="1"/>
        <v>50</v>
      </c>
    </row>
    <row r="61" spans="1:10">
      <c r="A61" s="247">
        <f t="shared" si="0"/>
        <v>51</v>
      </c>
      <c r="B61" s="216" t="s">
        <v>777</v>
      </c>
      <c r="C61" s="890">
        <v>0</v>
      </c>
      <c r="D61" s="891">
        <v>0</v>
      </c>
      <c r="E61" s="892">
        <v>0</v>
      </c>
      <c r="G61" s="490">
        <f>D61*E61</f>
        <v>0</v>
      </c>
      <c r="H61" s="492"/>
      <c r="I61" s="481" t="s">
        <v>307</v>
      </c>
      <c r="J61" s="247">
        <f t="shared" si="1"/>
        <v>51</v>
      </c>
    </row>
    <row r="62" spans="1:10">
      <c r="A62" s="247">
        <f t="shared" si="0"/>
        <v>52</v>
      </c>
      <c r="B62" s="216" t="s">
        <v>778</v>
      </c>
      <c r="C62" s="890">
        <v>0</v>
      </c>
      <c r="D62" s="1055">
        <v>0</v>
      </c>
      <c r="E62" s="893">
        <v>0</v>
      </c>
      <c r="G62" s="1054">
        <f>D62*E62</f>
        <v>0</v>
      </c>
      <c r="H62" s="492"/>
      <c r="I62" s="481" t="s">
        <v>307</v>
      </c>
      <c r="J62" s="247">
        <f t="shared" si="1"/>
        <v>52</v>
      </c>
    </row>
    <row r="63" spans="1:10" ht="16" thickBot="1">
      <c r="A63" s="247">
        <f t="shared" si="0"/>
        <v>53</v>
      </c>
      <c r="B63" s="216" t="s">
        <v>779</v>
      </c>
      <c r="C63" s="879">
        <f>SUM(C60:C62)</f>
        <v>0</v>
      </c>
      <c r="D63" s="1172">
        <f>SUM(D60:D62)</f>
        <v>0</v>
      </c>
      <c r="G63" s="1172">
        <f>SUM(G60:G62)</f>
        <v>0</v>
      </c>
      <c r="H63" s="492"/>
      <c r="I63" s="481" t="str">
        <f>"Sum Lines "&amp;A60&amp;" thru "&amp;A62</f>
        <v>Sum Lines 50 thru 52</v>
      </c>
      <c r="J63" s="247">
        <f t="shared" si="1"/>
        <v>53</v>
      </c>
    </row>
    <row r="64" spans="1:10" ht="16" thickTop="1">
      <c r="A64" s="247">
        <f t="shared" si="0"/>
        <v>54</v>
      </c>
      <c r="H64" s="492"/>
      <c r="I64" s="481"/>
      <c r="J64" s="247">
        <f t="shared" si="1"/>
        <v>54</v>
      </c>
    </row>
    <row r="65" spans="1:10" ht="16" thickBot="1">
      <c r="A65" s="247">
        <f t="shared" si="0"/>
        <v>55</v>
      </c>
      <c r="B65" s="461" t="s">
        <v>783</v>
      </c>
      <c r="G65" s="1172">
        <f>G61+G62</f>
        <v>0</v>
      </c>
      <c r="H65" s="492"/>
      <c r="I65" s="481" t="str">
        <f>"Line "&amp;A61&amp;" + Line "&amp;A62&amp;"; Col. d"</f>
        <v>Line 51 + Line 52; Col. d</v>
      </c>
      <c r="J65" s="247">
        <f t="shared" si="1"/>
        <v>55</v>
      </c>
    </row>
    <row r="66" spans="1:10" ht="16" thickTop="1">
      <c r="B66" s="461"/>
      <c r="G66" s="492"/>
      <c r="H66" s="492"/>
      <c r="I66" s="481"/>
      <c r="J66" s="247"/>
    </row>
    <row r="67" spans="1:10">
      <c r="B67" s="461"/>
      <c r="G67" s="492"/>
      <c r="H67" s="492"/>
      <c r="I67" s="481"/>
      <c r="J67" s="247"/>
    </row>
    <row r="68" spans="1:10" ht="18">
      <c r="A68" s="477">
        <v>1</v>
      </c>
      <c r="B68" s="3" t="s">
        <v>784</v>
      </c>
      <c r="G68" s="396"/>
      <c r="H68" s="396"/>
      <c r="J68" s="247" t="s">
        <v>186</v>
      </c>
    </row>
    <row r="69" spans="1:10" ht="18">
      <c r="A69" s="926"/>
      <c r="B69" s="809"/>
      <c r="G69" s="396"/>
      <c r="H69" s="396"/>
      <c r="J69" s="247"/>
    </row>
    <row r="70" spans="1:10" ht="18">
      <c r="A70" s="477"/>
      <c r="B70" s="3"/>
      <c r="D70" s="247"/>
      <c r="G70" s="396"/>
      <c r="H70" s="396"/>
      <c r="J70" s="247"/>
    </row>
    <row r="71" spans="1:10">
      <c r="B71" s="1290" t="s">
        <v>739</v>
      </c>
      <c r="C71" s="1290"/>
      <c r="D71" s="1290"/>
      <c r="E71" s="1290"/>
      <c r="F71" s="1290"/>
      <c r="G71" s="1290"/>
      <c r="H71" s="1290"/>
      <c r="I71" s="1290"/>
      <c r="J71" s="247"/>
    </row>
    <row r="72" spans="1:10">
      <c r="B72" s="1290" t="s">
        <v>740</v>
      </c>
      <c r="C72" s="1290"/>
      <c r="D72" s="1290"/>
      <c r="E72" s="1290"/>
      <c r="F72" s="1290"/>
      <c r="G72" s="1290"/>
      <c r="H72" s="1290"/>
      <c r="I72" s="1290"/>
      <c r="J72" s="247"/>
    </row>
    <row r="73" spans="1:10">
      <c r="B73" s="1290" t="s">
        <v>741</v>
      </c>
      <c r="C73" s="1290"/>
      <c r="D73" s="1290"/>
      <c r="E73" s="1290"/>
      <c r="F73" s="1290"/>
      <c r="G73" s="1290"/>
      <c r="H73" s="1290"/>
      <c r="I73" s="1290"/>
      <c r="J73" s="247"/>
    </row>
    <row r="74" spans="1:10">
      <c r="B74" s="1292" t="str">
        <f>B5</f>
        <v>Base Period &amp; True-Up Period 12 - Months Ending December 31, 2023</v>
      </c>
      <c r="C74" s="1292"/>
      <c r="D74" s="1292"/>
      <c r="E74" s="1292"/>
      <c r="F74" s="1292"/>
      <c r="G74" s="1292"/>
      <c r="H74" s="1292"/>
      <c r="I74" s="1292"/>
      <c r="J74" s="247"/>
    </row>
    <row r="75" spans="1:10">
      <c r="B75" s="1288" t="s">
        <v>3</v>
      </c>
      <c r="C75" s="1302"/>
      <c r="D75" s="1302"/>
      <c r="E75" s="1302"/>
      <c r="F75" s="1302"/>
      <c r="G75" s="1302"/>
      <c r="H75" s="1302"/>
      <c r="I75" s="1302"/>
      <c r="J75" s="247"/>
    </row>
    <row r="76" spans="1:10">
      <c r="B76" s="247"/>
      <c r="C76" s="247"/>
      <c r="D76" s="247"/>
      <c r="E76" s="247"/>
      <c r="F76" s="247"/>
      <c r="G76" s="247"/>
      <c r="H76" s="247"/>
      <c r="I76" s="481"/>
      <c r="J76" s="247"/>
    </row>
    <row r="77" spans="1:10">
      <c r="A77" s="247" t="s">
        <v>4</v>
      </c>
      <c r="B77" s="551"/>
      <c r="C77" s="551"/>
      <c r="D77" s="551"/>
      <c r="E77" s="551"/>
      <c r="F77" s="551"/>
      <c r="G77" s="551"/>
      <c r="H77" s="551"/>
      <c r="I77" s="481"/>
      <c r="J77" s="247" t="s">
        <v>4</v>
      </c>
    </row>
    <row r="78" spans="1:10">
      <c r="A78" s="247" t="s">
        <v>5</v>
      </c>
      <c r="B78" s="247"/>
      <c r="C78" s="247"/>
      <c r="D78" s="247"/>
      <c r="E78" s="247"/>
      <c r="F78" s="247"/>
      <c r="G78" s="997" t="s">
        <v>7</v>
      </c>
      <c r="H78" s="551"/>
      <c r="I78" s="1049" t="s">
        <v>8</v>
      </c>
      <c r="J78" s="247" t="s">
        <v>5</v>
      </c>
    </row>
    <row r="79" spans="1:10">
      <c r="G79" s="247"/>
      <c r="H79" s="247"/>
      <c r="I79" s="481"/>
      <c r="J79" s="247"/>
    </row>
    <row r="80" spans="1:10" ht="17.5">
      <c r="A80" s="247">
        <v>1</v>
      </c>
      <c r="B80" s="461" t="s">
        <v>785</v>
      </c>
      <c r="E80" s="551"/>
      <c r="F80" s="551"/>
      <c r="G80" s="395"/>
      <c r="H80" s="395"/>
      <c r="I80" s="481"/>
      <c r="J80" s="247">
        <v>1</v>
      </c>
    </row>
    <row r="81" spans="1:13">
      <c r="A81" s="247">
        <f>A80+1</f>
        <v>2</v>
      </c>
      <c r="B81" s="493"/>
      <c r="E81" s="551"/>
      <c r="F81" s="551"/>
      <c r="G81" s="395"/>
      <c r="H81" s="395"/>
      <c r="I81" s="481"/>
      <c r="J81" s="247">
        <f>J80+1</f>
        <v>2</v>
      </c>
    </row>
    <row r="82" spans="1:13">
      <c r="A82" s="247">
        <f>A81+1</f>
        <v>3</v>
      </c>
      <c r="B82" s="461" t="s">
        <v>786</v>
      </c>
      <c r="E82" s="551"/>
      <c r="F82" s="551"/>
      <c r="G82" s="395"/>
      <c r="H82" s="395"/>
      <c r="I82" s="481"/>
      <c r="J82" s="247">
        <f>J81+1</f>
        <v>3</v>
      </c>
    </row>
    <row r="83" spans="1:13">
      <c r="A83" s="247">
        <f>A82+1</f>
        <v>4</v>
      </c>
      <c r="B83" s="551"/>
      <c r="C83" s="551"/>
      <c r="D83" s="551"/>
      <c r="E83" s="551"/>
      <c r="F83" s="551"/>
      <c r="G83" s="395"/>
      <c r="H83" s="395"/>
      <c r="I83" s="481"/>
      <c r="J83" s="247">
        <f>J82+1</f>
        <v>4</v>
      </c>
    </row>
    <row r="84" spans="1:13">
      <c r="A84" s="247">
        <f t="shared" ref="A84:A110" si="2">A83+1</f>
        <v>5</v>
      </c>
      <c r="B84" s="420" t="s">
        <v>787</v>
      </c>
      <c r="C84" s="551"/>
      <c r="D84" s="551"/>
      <c r="E84" s="551"/>
      <c r="F84" s="551"/>
      <c r="G84" s="395"/>
      <c r="H84" s="395"/>
      <c r="I84" s="494"/>
      <c r="J84" s="247">
        <f t="shared" ref="J84:J110" si="3">J83+1</f>
        <v>5</v>
      </c>
    </row>
    <row r="85" spans="1:13">
      <c r="A85" s="247">
        <f t="shared" si="2"/>
        <v>6</v>
      </c>
      <c r="B85" s="216" t="s">
        <v>788</v>
      </c>
      <c r="D85" s="551"/>
      <c r="E85" s="551"/>
      <c r="F85" s="551"/>
      <c r="G85" s="495">
        <f>G52</f>
        <v>5.6381830229404017E-2</v>
      </c>
      <c r="H85" s="551"/>
      <c r="I85" s="481" t="str">
        <f>"AV1; Line "&amp;A52</f>
        <v>AV1; Line 42</v>
      </c>
      <c r="J85" s="247">
        <f t="shared" si="3"/>
        <v>6</v>
      </c>
      <c r="L85" s="247"/>
    </row>
    <row r="86" spans="1:13">
      <c r="A86" s="247">
        <f t="shared" si="2"/>
        <v>7</v>
      </c>
      <c r="B86" s="216" t="s">
        <v>789</v>
      </c>
      <c r="D86" s="551"/>
      <c r="E86" s="551"/>
      <c r="F86" s="551"/>
      <c r="G86" s="496">
        <f>-'Stmt AR'!E21</f>
        <v>264.76299999999998</v>
      </c>
      <c r="H86" s="551"/>
      <c r="I86" s="481" t="str">
        <f>"Negative of Statement AR; Line "&amp;'Stmt AR'!A21</f>
        <v>Negative of Statement AR; Line 11</v>
      </c>
      <c r="J86" s="247">
        <f t="shared" si="3"/>
        <v>7</v>
      </c>
      <c r="L86" s="247"/>
    </row>
    <row r="87" spans="1:13" ht="18">
      <c r="A87" s="247">
        <f t="shared" si="2"/>
        <v>8</v>
      </c>
      <c r="B87" s="216" t="s">
        <v>790</v>
      </c>
      <c r="D87" s="551"/>
      <c r="E87" s="551"/>
      <c r="F87" s="551"/>
      <c r="G87" s="497">
        <f>'AV-2A'!C60</f>
        <v>11273.62183</v>
      </c>
      <c r="H87" s="551"/>
      <c r="I87" s="480" t="str">
        <f>"AV-2A; Line "&amp;'AV-2A'!A60&amp;""</f>
        <v>AV-2A; Line 48</v>
      </c>
      <c r="J87" s="247">
        <f t="shared" si="3"/>
        <v>8</v>
      </c>
      <c r="L87" s="551"/>
    </row>
    <row r="88" spans="1:13">
      <c r="A88" s="247">
        <f t="shared" si="2"/>
        <v>9</v>
      </c>
      <c r="B88" s="216" t="s">
        <v>791</v>
      </c>
      <c r="D88" s="551"/>
      <c r="E88" s="498"/>
      <c r="F88" s="551"/>
      <c r="G88" s="469">
        <f>'AV-4'!C36</f>
        <v>5196971.9216961209</v>
      </c>
      <c r="H88" s="551"/>
      <c r="I88" s="480" t="str">
        <f>"AV-4; Page 1; Line "&amp;'AV-4'!A36</f>
        <v>AV-4; Page 1; Line 26</v>
      </c>
      <c r="J88" s="247">
        <f t="shared" si="3"/>
        <v>9</v>
      </c>
    </row>
    <row r="89" spans="1:13">
      <c r="A89" s="247">
        <f t="shared" si="2"/>
        <v>10</v>
      </c>
      <c r="B89" s="216" t="s">
        <v>792</v>
      </c>
      <c r="D89" s="499"/>
      <c r="E89" s="551"/>
      <c r="F89" s="551"/>
      <c r="G89" s="1056">
        <v>0.21</v>
      </c>
      <c r="H89" s="551"/>
      <c r="I89" s="481" t="s">
        <v>793</v>
      </c>
      <c r="J89" s="247">
        <f t="shared" si="3"/>
        <v>10</v>
      </c>
      <c r="M89" s="500"/>
    </row>
    <row r="90" spans="1:13">
      <c r="A90" s="247">
        <f t="shared" si="2"/>
        <v>11</v>
      </c>
      <c r="G90" s="247"/>
      <c r="H90" s="247"/>
      <c r="J90" s="247">
        <f t="shared" si="3"/>
        <v>11</v>
      </c>
    </row>
    <row r="91" spans="1:13">
      <c r="A91" s="247">
        <f t="shared" si="2"/>
        <v>12</v>
      </c>
      <c r="B91" s="216" t="s">
        <v>794</v>
      </c>
      <c r="D91" s="551"/>
      <c r="E91" s="551"/>
      <c r="F91" s="551"/>
      <c r="G91" s="501">
        <f>(((G85)+(G87/G88))*G89-(G86/G88))/(1-G89)</f>
        <v>1.5499727691550686E-2</v>
      </c>
      <c r="H91" s="501"/>
      <c r="I91" s="481" t="s">
        <v>795</v>
      </c>
      <c r="J91" s="247">
        <f t="shared" si="3"/>
        <v>12</v>
      </c>
      <c r="M91" s="502"/>
    </row>
    <row r="92" spans="1:13">
      <c r="A92" s="247">
        <f t="shared" si="2"/>
        <v>13</v>
      </c>
      <c r="B92" s="503" t="s">
        <v>796</v>
      </c>
      <c r="G92" s="247"/>
      <c r="H92" s="247"/>
      <c r="J92" s="247">
        <f t="shared" si="3"/>
        <v>13</v>
      </c>
    </row>
    <row r="93" spans="1:13">
      <c r="A93" s="247">
        <f t="shared" si="2"/>
        <v>14</v>
      </c>
      <c r="G93" s="247"/>
      <c r="H93" s="247"/>
      <c r="J93" s="247">
        <f t="shared" si="3"/>
        <v>14</v>
      </c>
    </row>
    <row r="94" spans="1:13">
      <c r="A94" s="247">
        <f t="shared" si="2"/>
        <v>15</v>
      </c>
      <c r="B94" s="461" t="s">
        <v>797</v>
      </c>
      <c r="C94" s="551"/>
      <c r="D94" s="551"/>
      <c r="E94" s="551"/>
      <c r="F94" s="551"/>
      <c r="G94" s="504"/>
      <c r="H94" s="504"/>
      <c r="I94" s="505"/>
      <c r="J94" s="247">
        <f t="shared" si="3"/>
        <v>15</v>
      </c>
      <c r="L94" s="506"/>
    </row>
    <row r="95" spans="1:13">
      <c r="A95" s="247">
        <f t="shared" si="2"/>
        <v>16</v>
      </c>
      <c r="B95" s="466"/>
      <c r="C95" s="551"/>
      <c r="D95" s="551"/>
      <c r="E95" s="551"/>
      <c r="F95" s="551"/>
      <c r="G95" s="504"/>
      <c r="H95" s="504"/>
      <c r="I95" s="507"/>
      <c r="J95" s="247">
        <f t="shared" si="3"/>
        <v>16</v>
      </c>
      <c r="L95" s="551"/>
    </row>
    <row r="96" spans="1:13">
      <c r="A96" s="247">
        <f t="shared" si="2"/>
        <v>17</v>
      </c>
      <c r="B96" s="420" t="s">
        <v>787</v>
      </c>
      <c r="C96" s="551"/>
      <c r="D96" s="551"/>
      <c r="E96" s="551"/>
      <c r="F96" s="551"/>
      <c r="G96" s="504"/>
      <c r="H96" s="504"/>
      <c r="I96" s="507"/>
      <c r="J96" s="247">
        <f t="shared" si="3"/>
        <v>17</v>
      </c>
      <c r="L96" s="551"/>
    </row>
    <row r="97" spans="1:13">
      <c r="A97" s="247">
        <f t="shared" si="2"/>
        <v>18</v>
      </c>
      <c r="B97" s="216" t="s">
        <v>788</v>
      </c>
      <c r="D97" s="551"/>
      <c r="E97" s="551"/>
      <c r="F97" s="551"/>
      <c r="G97" s="488">
        <f>G85</f>
        <v>5.6381830229404017E-2</v>
      </c>
      <c r="H97" s="488"/>
      <c r="I97" s="481" t="str">
        <f>"Line "&amp;A85&amp;" Above"</f>
        <v>Line 6 Above</v>
      </c>
      <c r="J97" s="247">
        <f t="shared" si="3"/>
        <v>18</v>
      </c>
      <c r="L97" s="247"/>
    </row>
    <row r="98" spans="1:13">
      <c r="A98" s="247">
        <f t="shared" si="2"/>
        <v>19</v>
      </c>
      <c r="B98" s="216" t="s">
        <v>798</v>
      </c>
      <c r="D98" s="551"/>
      <c r="E98" s="551"/>
      <c r="F98" s="551"/>
      <c r="G98" s="346">
        <f>G87</f>
        <v>11273.62183</v>
      </c>
      <c r="H98" s="346"/>
      <c r="I98" s="481" t="str">
        <f>"Line "&amp;A87&amp;" Above"</f>
        <v>Line 8 Above</v>
      </c>
      <c r="J98" s="247">
        <f t="shared" si="3"/>
        <v>19</v>
      </c>
      <c r="L98" s="247"/>
    </row>
    <row r="99" spans="1:13">
      <c r="A99" s="247">
        <f t="shared" si="2"/>
        <v>20</v>
      </c>
      <c r="B99" s="216" t="s">
        <v>799</v>
      </c>
      <c r="D99" s="551"/>
      <c r="E99" s="551"/>
      <c r="F99" s="551"/>
      <c r="G99" s="508">
        <f>G88</f>
        <v>5196971.9216961209</v>
      </c>
      <c r="H99" s="508"/>
      <c r="I99" s="481" t="str">
        <f>"Line "&amp;A88&amp;" Above"</f>
        <v>Line 9 Above</v>
      </c>
      <c r="J99" s="247">
        <f t="shared" si="3"/>
        <v>20</v>
      </c>
      <c r="L99" s="247"/>
    </row>
    <row r="100" spans="1:13">
      <c r="A100" s="247">
        <f t="shared" si="2"/>
        <v>21</v>
      </c>
      <c r="B100" s="216" t="s">
        <v>800</v>
      </c>
      <c r="D100" s="551"/>
      <c r="E100" s="551"/>
      <c r="F100" s="551"/>
      <c r="G100" s="509">
        <f>G91</f>
        <v>1.5499727691550686E-2</v>
      </c>
      <c r="H100" s="509"/>
      <c r="I100" s="481" t="str">
        <f>"Line "&amp;A91&amp;" Above"</f>
        <v>Line 12 Above</v>
      </c>
      <c r="J100" s="247">
        <f t="shared" si="3"/>
        <v>21</v>
      </c>
    </row>
    <row r="101" spans="1:13">
      <c r="A101" s="247">
        <f t="shared" si="2"/>
        <v>22</v>
      </c>
      <c r="B101" s="216" t="s">
        <v>801</v>
      </c>
      <c r="D101" s="551"/>
      <c r="E101" s="551"/>
      <c r="F101" s="551"/>
      <c r="G101" s="1057" t="s">
        <v>802</v>
      </c>
      <c r="H101" s="551"/>
      <c r="I101" s="481" t="s">
        <v>803</v>
      </c>
      <c r="J101" s="247">
        <f t="shared" si="3"/>
        <v>22</v>
      </c>
    </row>
    <row r="102" spans="1:13">
      <c r="A102" s="247">
        <f t="shared" si="2"/>
        <v>23</v>
      </c>
      <c r="B102" s="237"/>
      <c r="D102" s="551"/>
      <c r="E102" s="551"/>
      <c r="F102" s="551"/>
      <c r="G102" s="510"/>
      <c r="H102" s="510"/>
      <c r="I102" s="507"/>
      <c r="J102" s="247">
        <f t="shared" si="3"/>
        <v>23</v>
      </c>
    </row>
    <row r="103" spans="1:13">
      <c r="A103" s="247">
        <f t="shared" si="2"/>
        <v>24</v>
      </c>
      <c r="B103" s="216" t="s">
        <v>804</v>
      </c>
      <c r="C103" s="247"/>
      <c r="D103" s="247"/>
      <c r="E103" s="551"/>
      <c r="F103" s="551"/>
      <c r="G103" s="1058">
        <f>((G97)+(G98/G99)+G91)*G101/(1-G101)</f>
        <v>7.1808830182309609E-3</v>
      </c>
      <c r="H103" s="511"/>
      <c r="I103" s="481" t="s">
        <v>805</v>
      </c>
      <c r="J103" s="247">
        <f t="shared" si="3"/>
        <v>24</v>
      </c>
    </row>
    <row r="104" spans="1:13">
      <c r="A104" s="247">
        <f t="shared" si="2"/>
        <v>25</v>
      </c>
      <c r="B104" s="503" t="s">
        <v>806</v>
      </c>
      <c r="G104" s="247"/>
      <c r="H104" s="247"/>
      <c r="I104" s="481"/>
      <c r="J104" s="247">
        <f t="shared" si="3"/>
        <v>25</v>
      </c>
      <c r="L104" s="247"/>
    </row>
    <row r="105" spans="1:13">
      <c r="A105" s="247">
        <f t="shared" si="2"/>
        <v>26</v>
      </c>
      <c r="G105" s="247"/>
      <c r="H105" s="247"/>
      <c r="I105" s="481"/>
      <c r="J105" s="247">
        <f t="shared" si="3"/>
        <v>26</v>
      </c>
      <c r="L105" s="247"/>
    </row>
    <row r="106" spans="1:13">
      <c r="A106" s="247">
        <f t="shared" si="2"/>
        <v>27</v>
      </c>
      <c r="B106" s="461" t="s">
        <v>807</v>
      </c>
      <c r="G106" s="501">
        <f>G103+G91</f>
        <v>2.2680610709781647E-2</v>
      </c>
      <c r="H106" s="501"/>
      <c r="I106" s="481" t="str">
        <f>"Line "&amp;A91&amp;" + Line "&amp;A103</f>
        <v>Line 12 + Line 24</v>
      </c>
      <c r="J106" s="247">
        <f t="shared" si="3"/>
        <v>27</v>
      </c>
      <c r="L106" s="247"/>
    </row>
    <row r="107" spans="1:13">
      <c r="A107" s="247">
        <f t="shared" si="2"/>
        <v>28</v>
      </c>
      <c r="G107" s="247"/>
      <c r="H107" s="247"/>
      <c r="I107" s="481"/>
      <c r="J107" s="247">
        <f t="shared" si="3"/>
        <v>28</v>
      </c>
      <c r="L107" s="247"/>
    </row>
    <row r="108" spans="1:13">
      <c r="A108" s="247">
        <f t="shared" si="2"/>
        <v>29</v>
      </c>
      <c r="B108" s="461" t="s">
        <v>808</v>
      </c>
      <c r="G108" s="1059">
        <f>G50</f>
        <v>7.5028521717220867E-2</v>
      </c>
      <c r="H108" s="551"/>
      <c r="I108" s="481" t="str">
        <f>"AV1; Line "&amp;A50</f>
        <v>AV1; Line 40</v>
      </c>
      <c r="J108" s="247">
        <f t="shared" si="3"/>
        <v>29</v>
      </c>
      <c r="L108" s="247"/>
    </row>
    <row r="109" spans="1:13">
      <c r="A109" s="247">
        <f t="shared" si="2"/>
        <v>30</v>
      </c>
      <c r="G109" s="488"/>
      <c r="H109" s="488"/>
      <c r="I109" s="481"/>
      <c r="J109" s="247">
        <f t="shared" si="3"/>
        <v>30</v>
      </c>
      <c r="L109" s="247"/>
    </row>
    <row r="110" spans="1:13" ht="18" thickBot="1">
      <c r="A110" s="247">
        <f t="shared" si="2"/>
        <v>31</v>
      </c>
      <c r="B110" s="461" t="s">
        <v>809</v>
      </c>
      <c r="G110" s="1176">
        <f>G106+G108</f>
        <v>9.7709132427002521E-2</v>
      </c>
      <c r="H110" s="511"/>
      <c r="I110" s="481" t="str">
        <f>"Line "&amp;A106&amp;" + Line "&amp;A108</f>
        <v>Line 27 + Line 29</v>
      </c>
      <c r="J110" s="247">
        <f t="shared" si="3"/>
        <v>31</v>
      </c>
      <c r="L110" s="512"/>
      <c r="M110" s="502"/>
    </row>
    <row r="111" spans="1:13" ht="16" thickTop="1">
      <c r="B111" s="461"/>
      <c r="G111" s="513"/>
      <c r="H111" s="513"/>
      <c r="I111" s="481"/>
      <c r="J111" s="247"/>
      <c r="L111" s="512"/>
      <c r="M111" s="502"/>
    </row>
    <row r="112" spans="1:13">
      <c r="B112" s="461"/>
      <c r="G112" s="513"/>
      <c r="H112" s="513"/>
      <c r="I112" s="481"/>
      <c r="J112" s="247"/>
      <c r="L112" s="512"/>
      <c r="M112" s="502"/>
    </row>
    <row r="113" spans="1:13" ht="18.5">
      <c r="A113" s="404">
        <v>1</v>
      </c>
      <c r="B113" s="3" t="s">
        <v>810</v>
      </c>
      <c r="G113" s="513"/>
      <c r="H113" s="513"/>
      <c r="I113" s="481"/>
      <c r="J113" s="247"/>
      <c r="L113" s="512"/>
      <c r="M113" s="502"/>
    </row>
    <row r="114" spans="1:13" ht="18.5">
      <c r="A114" s="404"/>
      <c r="B114" s="3"/>
      <c r="G114" s="513"/>
      <c r="H114" s="513"/>
      <c r="I114" s="481"/>
      <c r="J114" s="247"/>
      <c r="L114" s="512"/>
      <c r="M114" s="502"/>
    </row>
    <row r="115" spans="1:13">
      <c r="A115" s="514"/>
      <c r="B115" s="237"/>
      <c r="C115" s="515"/>
      <c r="D115" s="515"/>
      <c r="E115" s="515"/>
      <c r="F115" s="515"/>
      <c r="G115" s="516"/>
      <c r="H115" s="516"/>
      <c r="I115" s="517"/>
      <c r="J115" s="247"/>
    </row>
    <row r="116" spans="1:13">
      <c r="B116" s="1290" t="s">
        <v>0</v>
      </c>
      <c r="C116" s="1290"/>
      <c r="D116" s="1290"/>
      <c r="E116" s="1290"/>
      <c r="F116" s="1290"/>
      <c r="G116" s="1290"/>
      <c r="H116" s="1290"/>
      <c r="I116" s="1290"/>
    </row>
    <row r="117" spans="1:13">
      <c r="B117" s="1290" t="s">
        <v>740</v>
      </c>
      <c r="C117" s="1290"/>
      <c r="D117" s="1290"/>
      <c r="E117" s="1290"/>
      <c r="F117" s="1290"/>
      <c r="G117" s="1290"/>
      <c r="H117" s="1290"/>
      <c r="I117" s="1290"/>
    </row>
    <row r="118" spans="1:13">
      <c r="B118" s="1290" t="s">
        <v>741</v>
      </c>
      <c r="C118" s="1290"/>
      <c r="D118" s="1290"/>
      <c r="E118" s="1290"/>
      <c r="F118" s="1290"/>
      <c r="G118" s="1290"/>
      <c r="H118" s="1290"/>
      <c r="I118" s="1290"/>
    </row>
    <row r="119" spans="1:13">
      <c r="B119" s="1292" t="str">
        <f>B5</f>
        <v>Base Period &amp; True-Up Period 12 - Months Ending December 31, 2023</v>
      </c>
      <c r="C119" s="1292"/>
      <c r="D119" s="1292"/>
      <c r="E119" s="1292"/>
      <c r="F119" s="1292"/>
      <c r="G119" s="1292"/>
      <c r="H119" s="1292"/>
      <c r="I119" s="1292"/>
    </row>
    <row r="120" spans="1:13">
      <c r="B120" s="1288" t="s">
        <v>3</v>
      </c>
      <c r="C120" s="1302"/>
      <c r="D120" s="1302"/>
      <c r="E120" s="1302"/>
      <c r="F120" s="1302"/>
      <c r="G120" s="1302"/>
      <c r="H120" s="1302"/>
      <c r="I120" s="1302"/>
    </row>
    <row r="122" spans="1:13">
      <c r="A122" s="247" t="s">
        <v>4</v>
      </c>
      <c r="B122" s="551"/>
      <c r="C122" s="551"/>
      <c r="D122" s="551"/>
      <c r="E122" s="551"/>
      <c r="F122" s="551"/>
      <c r="G122" s="551"/>
      <c r="H122" s="551"/>
      <c r="I122" s="481"/>
      <c r="J122" s="247" t="s">
        <v>4</v>
      </c>
    </row>
    <row r="123" spans="1:13">
      <c r="A123" s="247" t="s">
        <v>5</v>
      </c>
      <c r="B123" s="247"/>
      <c r="C123" s="247"/>
      <c r="D123" s="247"/>
      <c r="E123" s="247"/>
      <c r="F123" s="247"/>
      <c r="G123" s="997" t="s">
        <v>7</v>
      </c>
      <c r="H123" s="551"/>
      <c r="I123" s="1049" t="s">
        <v>8</v>
      </c>
      <c r="J123" s="247" t="s">
        <v>5</v>
      </c>
    </row>
    <row r="125" spans="1:13" ht="17.5">
      <c r="A125" s="247">
        <v>1</v>
      </c>
      <c r="B125" s="461" t="s">
        <v>811</v>
      </c>
      <c r="J125" s="247">
        <v>1</v>
      </c>
    </row>
    <row r="126" spans="1:13">
      <c r="A126" s="247">
        <f>A125+1</f>
        <v>2</v>
      </c>
      <c r="B126" s="493"/>
      <c r="J126" s="247">
        <f>J125+1</f>
        <v>2</v>
      </c>
    </row>
    <row r="127" spans="1:13">
      <c r="A127" s="247">
        <f>A126+1</f>
        <v>3</v>
      </c>
      <c r="B127" s="461" t="s">
        <v>786</v>
      </c>
      <c r="J127" s="247">
        <f>J126+1</f>
        <v>3</v>
      </c>
    </row>
    <row r="128" spans="1:13">
      <c r="A128" s="247">
        <f>A127+1</f>
        <v>4</v>
      </c>
      <c r="B128" s="551"/>
      <c r="J128" s="247">
        <f>J127+1</f>
        <v>4</v>
      </c>
    </row>
    <row r="129" spans="1:10">
      <c r="A129" s="247">
        <f t="shared" ref="A129:A155" si="4">A128+1</f>
        <v>5</v>
      </c>
      <c r="B129" s="420" t="s">
        <v>787</v>
      </c>
      <c r="J129" s="247">
        <f t="shared" ref="J129:J155" si="5">J128+1</f>
        <v>5</v>
      </c>
    </row>
    <row r="130" spans="1:10">
      <c r="A130" s="247">
        <f t="shared" si="4"/>
        <v>6</v>
      </c>
      <c r="B130" s="216" t="str">
        <f>B85</f>
        <v xml:space="preserve">     A = Sum of Preferred Stock and Return on Equity Component</v>
      </c>
      <c r="G130" s="495">
        <f>G65</f>
        <v>0</v>
      </c>
      <c r="I130" s="481" t="str">
        <f>"AV1; Line "&amp;A65</f>
        <v>AV1; Line 55</v>
      </c>
      <c r="J130" s="247">
        <f t="shared" si="5"/>
        <v>6</v>
      </c>
    </row>
    <row r="131" spans="1:10">
      <c r="A131" s="247">
        <f t="shared" si="4"/>
        <v>7</v>
      </c>
      <c r="B131" s="216" t="str">
        <f>B86</f>
        <v xml:space="preserve">     B = Transmission Total Federal Tax Adjustments</v>
      </c>
      <c r="G131" s="880">
        <v>0</v>
      </c>
      <c r="I131" s="480" t="s">
        <v>307</v>
      </c>
      <c r="J131" s="247">
        <f t="shared" si="5"/>
        <v>7</v>
      </c>
    </row>
    <row r="132" spans="1:10">
      <c r="A132" s="247">
        <f t="shared" si="4"/>
        <v>8</v>
      </c>
      <c r="B132" s="216" t="s">
        <v>812</v>
      </c>
      <c r="G132" s="894">
        <v>0</v>
      </c>
      <c r="I132" s="480" t="s">
        <v>307</v>
      </c>
      <c r="J132" s="247">
        <f t="shared" si="5"/>
        <v>8</v>
      </c>
    </row>
    <row r="133" spans="1:10">
      <c r="A133" s="247">
        <f t="shared" si="4"/>
        <v>9</v>
      </c>
      <c r="B133" s="216" t="s">
        <v>813</v>
      </c>
      <c r="G133" s="894">
        <v>0</v>
      </c>
      <c r="I133" s="480" t="s">
        <v>307</v>
      </c>
      <c r="J133" s="247">
        <f t="shared" si="5"/>
        <v>9</v>
      </c>
    </row>
    <row r="134" spans="1:10">
      <c r="A134" s="247">
        <f t="shared" si="4"/>
        <v>10</v>
      </c>
      <c r="B134" s="216" t="str">
        <f>B89</f>
        <v xml:space="preserve">     FT = Federal Income Tax Rate for Rate Effective Period</v>
      </c>
      <c r="G134" s="1060">
        <f>G89</f>
        <v>0.21</v>
      </c>
      <c r="I134" s="481" t="str">
        <f>"AV2; Line "&amp;A89</f>
        <v>AV2; Line 10</v>
      </c>
      <c r="J134" s="247">
        <f t="shared" si="5"/>
        <v>10</v>
      </c>
    </row>
    <row r="135" spans="1:10">
      <c r="A135" s="247">
        <f t="shared" si="4"/>
        <v>11</v>
      </c>
      <c r="G135" s="247"/>
      <c r="J135" s="247">
        <f t="shared" si="5"/>
        <v>11</v>
      </c>
    </row>
    <row r="136" spans="1:10">
      <c r="A136" s="247">
        <f t="shared" si="4"/>
        <v>12</v>
      </c>
      <c r="B136" s="216" t="s">
        <v>814</v>
      </c>
      <c r="G136" s="501">
        <f>IFERROR((((G130)+(G132/G133))*G134-(G131/G133))/(1-G134),0)</f>
        <v>0</v>
      </c>
      <c r="I136" s="481" t="s">
        <v>815</v>
      </c>
      <c r="J136" s="247">
        <f t="shared" si="5"/>
        <v>12</v>
      </c>
    </row>
    <row r="137" spans="1:10">
      <c r="A137" s="247">
        <f t="shared" si="4"/>
        <v>13</v>
      </c>
      <c r="B137" s="503" t="s">
        <v>796</v>
      </c>
      <c r="G137" s="881"/>
      <c r="J137" s="247">
        <f t="shared" si="5"/>
        <v>13</v>
      </c>
    </row>
    <row r="138" spans="1:10">
      <c r="A138" s="247">
        <f t="shared" si="4"/>
        <v>14</v>
      </c>
      <c r="G138" s="247"/>
      <c r="J138" s="247">
        <f t="shared" si="5"/>
        <v>14</v>
      </c>
    </row>
    <row r="139" spans="1:10">
      <c r="A139" s="247">
        <f t="shared" si="4"/>
        <v>15</v>
      </c>
      <c r="B139" s="461" t="s">
        <v>797</v>
      </c>
      <c r="G139" s="504"/>
      <c r="I139" s="505"/>
      <c r="J139" s="247">
        <f t="shared" si="5"/>
        <v>15</v>
      </c>
    </row>
    <row r="140" spans="1:10">
      <c r="A140" s="247">
        <f t="shared" si="4"/>
        <v>16</v>
      </c>
      <c r="B140" s="466"/>
      <c r="G140" s="504"/>
      <c r="I140" s="494"/>
      <c r="J140" s="247">
        <f t="shared" si="5"/>
        <v>16</v>
      </c>
    </row>
    <row r="141" spans="1:10">
      <c r="A141" s="247">
        <f t="shared" si="4"/>
        <v>17</v>
      </c>
      <c r="B141" s="420" t="s">
        <v>787</v>
      </c>
      <c r="G141" s="504"/>
      <c r="I141" s="494"/>
      <c r="J141" s="247">
        <f t="shared" si="5"/>
        <v>17</v>
      </c>
    </row>
    <row r="142" spans="1:10">
      <c r="A142" s="247">
        <f t="shared" si="4"/>
        <v>18</v>
      </c>
      <c r="B142" s="216" t="str">
        <f>B97</f>
        <v xml:space="preserve">     A = Sum of Preferred Stock and Return on Equity Component</v>
      </c>
      <c r="G142" s="488">
        <f>G130</f>
        <v>0</v>
      </c>
      <c r="I142" s="481" t="str">
        <f>"Line "&amp;A130&amp;" Above"</f>
        <v>Line 6 Above</v>
      </c>
      <c r="J142" s="247">
        <f t="shared" si="5"/>
        <v>18</v>
      </c>
    </row>
    <row r="143" spans="1:10">
      <c r="A143" s="247">
        <f t="shared" si="4"/>
        <v>19</v>
      </c>
      <c r="B143" s="216" t="str">
        <f>B98</f>
        <v xml:space="preserve">     B = Equity AFUDC Component of Transmission Depreciation Expense</v>
      </c>
      <c r="G143" s="346">
        <f>G132</f>
        <v>0</v>
      </c>
      <c r="I143" s="481" t="str">
        <f>"Line "&amp;A132&amp;" Above"</f>
        <v>Line 8 Above</v>
      </c>
      <c r="J143" s="247">
        <f t="shared" si="5"/>
        <v>19</v>
      </c>
    </row>
    <row r="144" spans="1:10">
      <c r="A144" s="247">
        <f t="shared" si="4"/>
        <v>20</v>
      </c>
      <c r="B144" s="216" t="s">
        <v>816</v>
      </c>
      <c r="G144" s="346">
        <f>G133</f>
        <v>0</v>
      </c>
      <c r="I144" s="481" t="str">
        <f>"Line "&amp;A133&amp;" Above"</f>
        <v>Line 9 Above</v>
      </c>
      <c r="J144" s="247">
        <f t="shared" si="5"/>
        <v>20</v>
      </c>
    </row>
    <row r="145" spans="1:10">
      <c r="A145" s="247">
        <f t="shared" si="4"/>
        <v>21</v>
      </c>
      <c r="B145" s="216" t="str">
        <f>B100</f>
        <v xml:space="preserve">     FT = Federal Income Tax Expense</v>
      </c>
      <c r="G145" s="509">
        <f>G136</f>
        <v>0</v>
      </c>
      <c r="I145" s="481" t="str">
        <f>"Line "&amp;A136&amp;" Above"</f>
        <v>Line 12 Above</v>
      </c>
      <c r="J145" s="247">
        <f t="shared" si="5"/>
        <v>21</v>
      </c>
    </row>
    <row r="146" spans="1:10">
      <c r="A146" s="247">
        <f t="shared" si="4"/>
        <v>22</v>
      </c>
      <c r="B146" s="216" t="str">
        <f>B101</f>
        <v xml:space="preserve">     ST = State Income Tax Rate for Rate Effective Period</v>
      </c>
      <c r="G146" s="1061" t="str">
        <f>G101</f>
        <v>8.84%</v>
      </c>
      <c r="I146" s="481" t="str">
        <f>"AV2; Line "&amp;A101</f>
        <v>AV2; Line 22</v>
      </c>
      <c r="J146" s="247">
        <f t="shared" si="5"/>
        <v>22</v>
      </c>
    </row>
    <row r="147" spans="1:10">
      <c r="A147" s="247">
        <f t="shared" si="4"/>
        <v>23</v>
      </c>
      <c r="B147" s="237"/>
      <c r="G147" s="510"/>
      <c r="I147" s="507"/>
      <c r="J147" s="247">
        <f t="shared" si="5"/>
        <v>23</v>
      </c>
    </row>
    <row r="148" spans="1:10">
      <c r="A148" s="247">
        <f t="shared" si="4"/>
        <v>24</v>
      </c>
      <c r="B148" s="216" t="s">
        <v>804</v>
      </c>
      <c r="G148" s="1058">
        <f>IFERROR(((G142)+(G143/G144)+G136)*G146/(1-G146),0)</f>
        <v>0</v>
      </c>
      <c r="I148" s="481" t="s">
        <v>805</v>
      </c>
      <c r="J148" s="247">
        <f t="shared" si="5"/>
        <v>24</v>
      </c>
    </row>
    <row r="149" spans="1:10">
      <c r="A149" s="247">
        <f t="shared" si="4"/>
        <v>25</v>
      </c>
      <c r="B149" s="503" t="s">
        <v>806</v>
      </c>
      <c r="G149" s="247"/>
      <c r="I149" s="481"/>
      <c r="J149" s="247">
        <f t="shared" si="5"/>
        <v>25</v>
      </c>
    </row>
    <row r="150" spans="1:10">
      <c r="A150" s="247">
        <f t="shared" si="4"/>
        <v>26</v>
      </c>
      <c r="G150" s="247"/>
      <c r="I150" s="481"/>
      <c r="J150" s="247">
        <f t="shared" si="5"/>
        <v>26</v>
      </c>
    </row>
    <row r="151" spans="1:10">
      <c r="A151" s="247">
        <f t="shared" si="4"/>
        <v>27</v>
      </c>
      <c r="B151" s="461" t="s">
        <v>807</v>
      </c>
      <c r="G151" s="501">
        <f>G148+G136</f>
        <v>0</v>
      </c>
      <c r="I151" s="481" t="str">
        <f>"Line "&amp;A136&amp;" + Line "&amp;A148</f>
        <v>Line 12 + Line 24</v>
      </c>
      <c r="J151" s="247">
        <f t="shared" si="5"/>
        <v>27</v>
      </c>
    </row>
    <row r="152" spans="1:10">
      <c r="A152" s="247">
        <f t="shared" si="4"/>
        <v>28</v>
      </c>
      <c r="G152" s="247"/>
      <c r="I152" s="481"/>
      <c r="J152" s="247">
        <f t="shared" si="5"/>
        <v>28</v>
      </c>
    </row>
    <row r="153" spans="1:10">
      <c r="A153" s="247">
        <f t="shared" si="4"/>
        <v>29</v>
      </c>
      <c r="B153" s="461" t="s">
        <v>817</v>
      </c>
      <c r="G153" s="1062">
        <f>G63</f>
        <v>0</v>
      </c>
      <c r="I153" s="481" t="str">
        <f>"AV1; Line "&amp;A63</f>
        <v>AV1; Line 53</v>
      </c>
      <c r="J153" s="247">
        <f t="shared" si="5"/>
        <v>29</v>
      </c>
    </row>
    <row r="154" spans="1:10">
      <c r="A154" s="247">
        <f t="shared" si="4"/>
        <v>30</v>
      </c>
      <c r="G154" s="247"/>
      <c r="I154" s="481"/>
      <c r="J154" s="247">
        <f t="shared" si="5"/>
        <v>30</v>
      </c>
    </row>
    <row r="155" spans="1:10" ht="18" thickBot="1">
      <c r="A155" s="247">
        <f t="shared" si="4"/>
        <v>31</v>
      </c>
      <c r="B155" s="461" t="s">
        <v>818</v>
      </c>
      <c r="G155" s="1177">
        <f>G151+G153</f>
        <v>0</v>
      </c>
      <c r="I155" s="481" t="str">
        <f>"Line "&amp;A151&amp;" + Line "&amp;A153</f>
        <v>Line 27 + Line 29</v>
      </c>
      <c r="J155" s="247">
        <f t="shared" si="5"/>
        <v>31</v>
      </c>
    </row>
    <row r="156" spans="1:10" ht="16" thickTop="1"/>
    <row r="158" spans="1:10" ht="18">
      <c r="A158" s="477"/>
      <c r="B158" s="3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5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customProperties>
    <customPr name="_pios_id" r:id="rId2"/>
  </customProperties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75"/>
  <sheetViews>
    <sheetView zoomScale="80" zoomScaleNormal="80" zoomScalePageLayoutView="80" workbookViewId="0"/>
  </sheetViews>
  <sheetFormatPr defaultColWidth="8.6328125" defaultRowHeight="15.5"/>
  <cols>
    <col min="1" max="1" width="5.08984375" style="4" customWidth="1"/>
    <col min="2" max="2" width="62.36328125" style="3" customWidth="1"/>
    <col min="3" max="3" width="35.6328125" style="3" customWidth="1"/>
    <col min="4" max="4" width="5.08984375" style="4" customWidth="1"/>
    <col min="5" max="16384" width="8.6328125" style="3"/>
  </cols>
  <sheetData>
    <row r="2" spans="1:4" ht="15.75" customHeight="1">
      <c r="B2" s="1315" t="s">
        <v>0</v>
      </c>
      <c r="C2" s="1315"/>
    </row>
    <row r="3" spans="1:4" ht="15.75" customHeight="1">
      <c r="B3" s="1290" t="s">
        <v>819</v>
      </c>
      <c r="C3" s="1290"/>
    </row>
    <row r="4" spans="1:4" ht="15.75" customHeight="1">
      <c r="B4" s="1315" t="str">
        <f>"For Completed Transmission Capital Projects from 2001 Through "&amp;Automation!B3</f>
        <v>For Completed Transmission Capital Projects from 2001 Through 2023</v>
      </c>
      <c r="C4" s="1315"/>
    </row>
    <row r="5" spans="1:4">
      <c r="B5" s="1290" t="str">
        <f>"Applicable to the "&amp;Automation!B3&amp;" Cycle "&amp;Automation!B2&amp;" Base Period &amp; True-Up Period"</f>
        <v>Applicable to the 2023 Cycle 7 Base Period &amp; True-Up Period</v>
      </c>
      <c r="C5" s="1290"/>
      <c r="D5" s="247"/>
    </row>
    <row r="6" spans="1:4" ht="15.75" customHeight="1">
      <c r="B6" s="1315" t="str">
        <f>" 12 Months Ending December 31, "&amp;Automation!$B$3</f>
        <v xml:space="preserve"> 12 Months Ending December 31, 2023</v>
      </c>
      <c r="C6" s="1315"/>
    </row>
    <row r="7" spans="1:4" ht="17.75" customHeight="1">
      <c r="B7" s="1314">
        <v>-1000</v>
      </c>
      <c r="C7" s="1314"/>
      <c r="D7" s="5"/>
    </row>
    <row r="8" spans="1:4" ht="17.75" customHeight="1" thickBot="1">
      <c r="B8" s="1092"/>
      <c r="C8" s="1092"/>
      <c r="D8" s="5"/>
    </row>
    <row r="9" spans="1:4" ht="17.75" customHeight="1">
      <c r="B9" s="554"/>
      <c r="C9" s="556" t="s">
        <v>820</v>
      </c>
      <c r="D9" s="5"/>
    </row>
    <row r="10" spans="1:4" ht="17.75" customHeight="1">
      <c r="A10" s="770" t="s">
        <v>4</v>
      </c>
      <c r="B10" s="555"/>
      <c r="C10" s="1063" t="s">
        <v>821</v>
      </c>
      <c r="D10" s="770" t="s">
        <v>4</v>
      </c>
    </row>
    <row r="11" spans="1:4" ht="19" thickBot="1">
      <c r="A11" s="771" t="s">
        <v>5</v>
      </c>
      <c r="B11" s="1064" t="s">
        <v>822</v>
      </c>
      <c r="C11" s="553" t="s">
        <v>823</v>
      </c>
      <c r="D11" s="772" t="s">
        <v>5</v>
      </c>
    </row>
    <row r="12" spans="1:4">
      <c r="A12" s="3"/>
      <c r="B12" s="552"/>
      <c r="C12" s="519"/>
      <c r="D12" s="3"/>
    </row>
    <row r="13" spans="1:4">
      <c r="A13" s="773">
        <v>1</v>
      </c>
      <c r="B13" s="6">
        <v>2001</v>
      </c>
      <c r="C13" s="987">
        <v>65.756309999999999</v>
      </c>
      <c r="D13" s="774">
        <f>A13</f>
        <v>1</v>
      </c>
    </row>
    <row r="14" spans="1:4">
      <c r="A14" s="250">
        <f>A13+1</f>
        <v>2</v>
      </c>
      <c r="B14" s="6"/>
      <c r="C14" s="1065"/>
      <c r="D14" s="277">
        <f>D13+1</f>
        <v>2</v>
      </c>
    </row>
    <row r="15" spans="1:4">
      <c r="A15" s="250">
        <f t="shared" ref="A15:A65" si="0">A14+1</f>
        <v>3</v>
      </c>
      <c r="B15" s="6">
        <v>2002</v>
      </c>
      <c r="C15" s="904">
        <v>7.0989800000000001</v>
      </c>
      <c r="D15" s="277">
        <f t="shared" ref="D15:D65" si="1">D14+1</f>
        <v>3</v>
      </c>
    </row>
    <row r="16" spans="1:4">
      <c r="A16" s="250">
        <f t="shared" si="0"/>
        <v>4</v>
      </c>
      <c r="B16" s="6"/>
      <c r="C16" s="1066"/>
      <c r="D16" s="277">
        <f t="shared" si="1"/>
        <v>4</v>
      </c>
    </row>
    <row r="17" spans="1:4" ht="16" thickBot="1">
      <c r="A17" s="250">
        <f t="shared" si="0"/>
        <v>5</v>
      </c>
      <c r="B17" s="1067">
        <v>2003</v>
      </c>
      <c r="C17" s="663">
        <v>33.735509999999998</v>
      </c>
      <c r="D17" s="277">
        <f t="shared" si="1"/>
        <v>5</v>
      </c>
    </row>
    <row r="18" spans="1:4">
      <c r="A18" s="250">
        <f t="shared" si="0"/>
        <v>6</v>
      </c>
      <c r="B18" s="1068"/>
      <c r="C18" s="535"/>
      <c r="D18" s="277">
        <f t="shared" si="1"/>
        <v>6</v>
      </c>
    </row>
    <row r="19" spans="1:4">
      <c r="A19" s="250">
        <f t="shared" si="0"/>
        <v>7</v>
      </c>
      <c r="B19" s="6">
        <v>2004</v>
      </c>
      <c r="C19" s="904">
        <v>43.530990000000003</v>
      </c>
      <c r="D19" s="277">
        <f t="shared" si="1"/>
        <v>7</v>
      </c>
    </row>
    <row r="20" spans="1:4">
      <c r="A20" s="250">
        <f t="shared" si="0"/>
        <v>8</v>
      </c>
      <c r="B20" s="6"/>
      <c r="C20" s="904"/>
      <c r="D20" s="277">
        <f t="shared" si="1"/>
        <v>8</v>
      </c>
    </row>
    <row r="21" spans="1:4">
      <c r="A21" s="250">
        <f t="shared" si="0"/>
        <v>9</v>
      </c>
      <c r="B21" s="6">
        <v>2005</v>
      </c>
      <c r="C21" s="904">
        <v>60.128549999999997</v>
      </c>
      <c r="D21" s="277">
        <f t="shared" si="1"/>
        <v>9</v>
      </c>
    </row>
    <row r="22" spans="1:4">
      <c r="A22" s="250">
        <f t="shared" si="0"/>
        <v>10</v>
      </c>
      <c r="B22" s="6"/>
      <c r="C22" s="904"/>
      <c r="D22" s="277">
        <f t="shared" si="1"/>
        <v>10</v>
      </c>
    </row>
    <row r="23" spans="1:4" ht="16" thickBot="1">
      <c r="A23" s="250">
        <f t="shared" si="0"/>
        <v>11</v>
      </c>
      <c r="B23" s="1067">
        <v>2006</v>
      </c>
      <c r="C23" s="904">
        <v>113.44434</v>
      </c>
      <c r="D23" s="277">
        <f t="shared" si="1"/>
        <v>11</v>
      </c>
    </row>
    <row r="24" spans="1:4">
      <c r="A24" s="250">
        <f t="shared" si="0"/>
        <v>12</v>
      </c>
      <c r="B24" s="1068"/>
      <c r="C24" s="535"/>
      <c r="D24" s="277">
        <f t="shared" si="1"/>
        <v>12</v>
      </c>
    </row>
    <row r="25" spans="1:4">
      <c r="A25" s="250">
        <f t="shared" si="0"/>
        <v>13</v>
      </c>
      <c r="B25" s="6">
        <v>2007</v>
      </c>
      <c r="C25" s="904">
        <v>359.53885000000002</v>
      </c>
      <c r="D25" s="277">
        <f t="shared" si="1"/>
        <v>13</v>
      </c>
    </row>
    <row r="26" spans="1:4">
      <c r="A26" s="250">
        <f t="shared" si="0"/>
        <v>14</v>
      </c>
      <c r="B26" s="6"/>
      <c r="C26" s="904"/>
      <c r="D26" s="277">
        <f t="shared" si="1"/>
        <v>14</v>
      </c>
    </row>
    <row r="27" spans="1:4">
      <c r="A27" s="250">
        <f t="shared" si="0"/>
        <v>15</v>
      </c>
      <c r="B27" s="6">
        <v>2008</v>
      </c>
      <c r="C27" s="904">
        <v>355.07544000000001</v>
      </c>
      <c r="D27" s="277">
        <f t="shared" si="1"/>
        <v>15</v>
      </c>
    </row>
    <row r="28" spans="1:4">
      <c r="A28" s="250">
        <f t="shared" si="0"/>
        <v>16</v>
      </c>
      <c r="B28" s="6"/>
      <c r="C28" s="904"/>
      <c r="D28" s="277">
        <f t="shared" si="1"/>
        <v>16</v>
      </c>
    </row>
    <row r="29" spans="1:4" ht="16" thickBot="1">
      <c r="A29" s="250">
        <f t="shared" si="0"/>
        <v>17</v>
      </c>
      <c r="B29" s="1067">
        <v>2009</v>
      </c>
      <c r="C29" s="663">
        <v>97.036689999999993</v>
      </c>
      <c r="D29" s="277">
        <f t="shared" si="1"/>
        <v>17</v>
      </c>
    </row>
    <row r="30" spans="1:4">
      <c r="A30" s="250">
        <f t="shared" si="0"/>
        <v>18</v>
      </c>
      <c r="B30" s="6"/>
      <c r="C30" s="904"/>
      <c r="D30" s="277">
        <f t="shared" si="1"/>
        <v>18</v>
      </c>
    </row>
    <row r="31" spans="1:4">
      <c r="A31" s="250">
        <f t="shared" si="0"/>
        <v>19</v>
      </c>
      <c r="B31" s="6">
        <v>2010</v>
      </c>
      <c r="C31" s="904">
        <v>134.67655999999999</v>
      </c>
      <c r="D31" s="277">
        <f t="shared" si="1"/>
        <v>19</v>
      </c>
    </row>
    <row r="32" spans="1:4">
      <c r="A32" s="250">
        <f t="shared" si="0"/>
        <v>20</v>
      </c>
      <c r="B32" s="6"/>
      <c r="C32" s="904"/>
      <c r="D32" s="277">
        <f t="shared" si="1"/>
        <v>20</v>
      </c>
    </row>
    <row r="33" spans="1:4">
      <c r="A33" s="250">
        <f t="shared" si="0"/>
        <v>21</v>
      </c>
      <c r="B33" s="6">
        <v>2011</v>
      </c>
      <c r="C33" s="904">
        <v>168.78199000000001</v>
      </c>
      <c r="D33" s="277">
        <f t="shared" si="1"/>
        <v>21</v>
      </c>
    </row>
    <row r="34" spans="1:4">
      <c r="A34" s="250">
        <f t="shared" si="0"/>
        <v>22</v>
      </c>
      <c r="B34" s="6"/>
      <c r="C34" s="904"/>
      <c r="D34" s="277">
        <f t="shared" si="1"/>
        <v>22</v>
      </c>
    </row>
    <row r="35" spans="1:4" ht="16" thickBot="1">
      <c r="A35" s="250">
        <f t="shared" si="0"/>
        <v>23</v>
      </c>
      <c r="B35" s="1067">
        <v>2012</v>
      </c>
      <c r="C35" s="663">
        <v>1617.4262699999999</v>
      </c>
      <c r="D35" s="277">
        <f t="shared" si="1"/>
        <v>23</v>
      </c>
    </row>
    <row r="36" spans="1:4">
      <c r="A36" s="250">
        <f t="shared" si="0"/>
        <v>24</v>
      </c>
      <c r="B36" s="6"/>
      <c r="C36" s="904"/>
      <c r="D36" s="277">
        <f t="shared" si="1"/>
        <v>24</v>
      </c>
    </row>
    <row r="37" spans="1:4">
      <c r="A37" s="250">
        <f t="shared" si="0"/>
        <v>25</v>
      </c>
      <c r="B37" s="6">
        <v>2013</v>
      </c>
      <c r="C37" s="904">
        <v>1309.8354200000001</v>
      </c>
      <c r="D37" s="277">
        <f t="shared" si="1"/>
        <v>25</v>
      </c>
    </row>
    <row r="38" spans="1:4">
      <c r="A38" s="250">
        <f t="shared" si="0"/>
        <v>26</v>
      </c>
      <c r="B38" s="6"/>
      <c r="C38" s="904"/>
      <c r="D38" s="277">
        <f t="shared" si="1"/>
        <v>26</v>
      </c>
    </row>
    <row r="39" spans="1:4">
      <c r="A39" s="250">
        <f t="shared" si="0"/>
        <v>27</v>
      </c>
      <c r="B39" s="6">
        <v>2014</v>
      </c>
      <c r="C39" s="904">
        <v>171.98264</v>
      </c>
      <c r="D39" s="277">
        <f t="shared" si="1"/>
        <v>27</v>
      </c>
    </row>
    <row r="40" spans="1:4">
      <c r="A40" s="250">
        <f t="shared" si="0"/>
        <v>28</v>
      </c>
      <c r="B40" s="6"/>
      <c r="C40" s="904"/>
      <c r="D40" s="277">
        <f t="shared" si="1"/>
        <v>28</v>
      </c>
    </row>
    <row r="41" spans="1:4" ht="16" thickBot="1">
      <c r="A41" s="250">
        <f t="shared" si="0"/>
        <v>29</v>
      </c>
      <c r="B41" s="907">
        <v>2015</v>
      </c>
      <c r="C41" s="663">
        <v>233.33405999999999</v>
      </c>
      <c r="D41" s="277">
        <f t="shared" si="1"/>
        <v>29</v>
      </c>
    </row>
    <row r="42" spans="1:4">
      <c r="A42" s="250">
        <f t="shared" si="0"/>
        <v>30</v>
      </c>
      <c r="B42" s="6"/>
      <c r="C42" s="904"/>
      <c r="D42" s="277">
        <f t="shared" si="1"/>
        <v>30</v>
      </c>
    </row>
    <row r="43" spans="1:4">
      <c r="A43" s="250">
        <f t="shared" si="0"/>
        <v>31</v>
      </c>
      <c r="B43" s="6">
        <v>2016</v>
      </c>
      <c r="C43" s="904">
        <v>420.13279</v>
      </c>
      <c r="D43" s="277">
        <f t="shared" si="1"/>
        <v>31</v>
      </c>
    </row>
    <row r="44" spans="1:4">
      <c r="A44" s="250">
        <f t="shared" si="0"/>
        <v>32</v>
      </c>
      <c r="B44" s="6"/>
      <c r="C44" s="904"/>
      <c r="D44" s="277">
        <f t="shared" si="1"/>
        <v>32</v>
      </c>
    </row>
    <row r="45" spans="1:4">
      <c r="A45" s="250">
        <f t="shared" si="0"/>
        <v>33</v>
      </c>
      <c r="B45" s="6">
        <v>2017</v>
      </c>
      <c r="C45" s="904">
        <v>930.19809999999995</v>
      </c>
      <c r="D45" s="277">
        <f t="shared" si="1"/>
        <v>33</v>
      </c>
    </row>
    <row r="46" spans="1:4">
      <c r="A46" s="250">
        <f t="shared" si="0"/>
        <v>34</v>
      </c>
      <c r="B46" s="6"/>
      <c r="C46" s="904"/>
      <c r="D46" s="277">
        <f t="shared" si="1"/>
        <v>34</v>
      </c>
    </row>
    <row r="47" spans="1:4" ht="16" thickBot="1">
      <c r="A47" s="250">
        <f t="shared" si="0"/>
        <v>35</v>
      </c>
      <c r="B47" s="921">
        <v>2018</v>
      </c>
      <c r="C47" s="922">
        <v>1055.48936</v>
      </c>
      <c r="D47" s="277">
        <f t="shared" si="1"/>
        <v>35</v>
      </c>
    </row>
    <row r="48" spans="1:4">
      <c r="A48" s="250">
        <f t="shared" si="0"/>
        <v>36</v>
      </c>
      <c r="B48" s="905"/>
      <c r="C48" s="906"/>
      <c r="D48" s="277">
        <f t="shared" si="1"/>
        <v>36</v>
      </c>
    </row>
    <row r="49" spans="1:4">
      <c r="A49" s="250">
        <f t="shared" si="0"/>
        <v>37</v>
      </c>
      <c r="B49" s="905">
        <v>2019</v>
      </c>
      <c r="C49" s="906">
        <v>630.35790999999995</v>
      </c>
      <c r="D49" s="277">
        <f t="shared" si="1"/>
        <v>37</v>
      </c>
    </row>
    <row r="50" spans="1:4">
      <c r="A50" s="250">
        <f t="shared" si="0"/>
        <v>38</v>
      </c>
      <c r="B50" s="905"/>
      <c r="C50" s="906"/>
      <c r="D50" s="277">
        <f t="shared" si="1"/>
        <v>38</v>
      </c>
    </row>
    <row r="51" spans="1:4">
      <c r="A51" s="250">
        <f t="shared" si="0"/>
        <v>39</v>
      </c>
      <c r="B51" s="905">
        <v>2020</v>
      </c>
      <c r="C51" s="906">
        <v>983.48639000000003</v>
      </c>
      <c r="D51" s="277">
        <f t="shared" si="1"/>
        <v>39</v>
      </c>
    </row>
    <row r="52" spans="1:4">
      <c r="A52" s="250">
        <f t="shared" si="0"/>
        <v>40</v>
      </c>
      <c r="B52" s="905"/>
      <c r="C52" s="906"/>
      <c r="D52" s="277">
        <f t="shared" si="1"/>
        <v>40</v>
      </c>
    </row>
    <row r="53" spans="1:4" ht="16" thickBot="1">
      <c r="A53" s="250">
        <f t="shared" si="0"/>
        <v>41</v>
      </c>
      <c r="B53" s="921">
        <v>2021</v>
      </c>
      <c r="C53" s="922">
        <v>1065.3933300000001</v>
      </c>
      <c r="D53" s="277">
        <f t="shared" si="1"/>
        <v>41</v>
      </c>
    </row>
    <row r="54" spans="1:4">
      <c r="A54" s="250">
        <f t="shared" si="0"/>
        <v>42</v>
      </c>
      <c r="B54" s="905"/>
      <c r="C54" s="906"/>
      <c r="D54" s="277">
        <f t="shared" si="1"/>
        <v>42</v>
      </c>
    </row>
    <row r="55" spans="1:4">
      <c r="A55" s="250">
        <f t="shared" si="0"/>
        <v>43</v>
      </c>
      <c r="B55" s="905">
        <v>2022</v>
      </c>
      <c r="C55" s="906">
        <v>1025.50098</v>
      </c>
      <c r="D55" s="277">
        <f t="shared" si="1"/>
        <v>43</v>
      </c>
    </row>
    <row r="56" spans="1:4">
      <c r="A56" s="250">
        <f t="shared" si="0"/>
        <v>44</v>
      </c>
      <c r="B56" s="905"/>
      <c r="C56" s="906"/>
      <c r="D56" s="277">
        <f t="shared" si="1"/>
        <v>44</v>
      </c>
    </row>
    <row r="57" spans="1:4">
      <c r="A57" s="250">
        <f t="shared" si="0"/>
        <v>45</v>
      </c>
      <c r="B57" s="905">
        <v>2023</v>
      </c>
      <c r="C57" s="906">
        <v>391.68036999999998</v>
      </c>
      <c r="D57" s="277">
        <f t="shared" si="1"/>
        <v>45</v>
      </c>
    </row>
    <row r="58" spans="1:4">
      <c r="A58" s="250">
        <f t="shared" si="0"/>
        <v>46</v>
      </c>
      <c r="B58" s="6"/>
      <c r="C58" s="1069"/>
      <c r="D58" s="277">
        <f t="shared" si="1"/>
        <v>46</v>
      </c>
    </row>
    <row r="59" spans="1:4">
      <c r="A59" s="250">
        <f t="shared" si="0"/>
        <v>47</v>
      </c>
      <c r="B59" s="6"/>
      <c r="C59" s="1070"/>
      <c r="D59" s="277">
        <f t="shared" si="1"/>
        <v>47</v>
      </c>
    </row>
    <row r="60" spans="1:4">
      <c r="A60" s="250">
        <f t="shared" si="0"/>
        <v>48</v>
      </c>
      <c r="B60" s="6" t="s">
        <v>80</v>
      </c>
      <c r="C60" s="1071">
        <f>SUM(C13:C59)</f>
        <v>11273.62183</v>
      </c>
      <c r="D60" s="277">
        <f t="shared" si="1"/>
        <v>48</v>
      </c>
    </row>
    <row r="61" spans="1:4">
      <c r="A61" s="250">
        <f t="shared" si="0"/>
        <v>49</v>
      </c>
      <c r="B61" s="6"/>
      <c r="C61" s="1071"/>
      <c r="D61" s="277">
        <f t="shared" si="1"/>
        <v>49</v>
      </c>
    </row>
    <row r="62" spans="1:4">
      <c r="A62" s="250">
        <f t="shared" si="0"/>
        <v>50</v>
      </c>
      <c r="B62" s="6" t="s">
        <v>824</v>
      </c>
      <c r="C62" s="1072">
        <f>-'AV-2B'!C19</f>
        <v>-56.027447560000006</v>
      </c>
      <c r="D62" s="277">
        <f t="shared" si="1"/>
        <v>50</v>
      </c>
    </row>
    <row r="63" spans="1:4">
      <c r="A63" s="250">
        <f t="shared" si="0"/>
        <v>51</v>
      </c>
      <c r="B63" s="6"/>
      <c r="C63" s="1071"/>
      <c r="D63" s="277">
        <f t="shared" si="1"/>
        <v>51</v>
      </c>
    </row>
    <row r="64" spans="1:4" ht="31.5" thickBot="1">
      <c r="A64" s="250">
        <f t="shared" si="0"/>
        <v>52</v>
      </c>
      <c r="B64" s="775" t="s">
        <v>825</v>
      </c>
      <c r="C64" s="776">
        <f>SUM(C60:C62)</f>
        <v>11217.59438244</v>
      </c>
      <c r="D64" s="277">
        <f t="shared" si="1"/>
        <v>52</v>
      </c>
    </row>
    <row r="65" spans="1:4" ht="16.5" thickTop="1" thickBot="1">
      <c r="A65" s="250">
        <f t="shared" si="0"/>
        <v>53</v>
      </c>
      <c r="B65" s="1073"/>
      <c r="C65" s="777"/>
      <c r="D65" s="277">
        <f t="shared" si="1"/>
        <v>53</v>
      </c>
    </row>
    <row r="68" spans="1:4" ht="18.5">
      <c r="A68" s="404">
        <v>1</v>
      </c>
      <c r="B68" s="6" t="s">
        <v>1030</v>
      </c>
    </row>
    <row r="69" spans="1:4" ht="18.5">
      <c r="A69" s="404"/>
      <c r="B69" s="3" t="s">
        <v>1031</v>
      </c>
    </row>
    <row r="70" spans="1:4" ht="18.5">
      <c r="A70" s="404"/>
      <c r="B70" s="6"/>
    </row>
    <row r="71" spans="1:4">
      <c r="A71" s="3"/>
      <c r="B71" s="6"/>
    </row>
    <row r="72" spans="1:4">
      <c r="A72" s="3"/>
    </row>
    <row r="73" spans="1:4">
      <c r="A73" s="3"/>
    </row>
    <row r="75" spans="1:4" ht="18.5">
      <c r="A75" s="67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64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/>
  </sheetViews>
  <sheetFormatPr defaultColWidth="8.6328125" defaultRowHeight="15.5"/>
  <cols>
    <col min="1" max="1" width="5.08984375" style="216" bestFit="1" customWidth="1"/>
    <col min="2" max="2" width="83.08984375" style="216" bestFit="1" customWidth="1"/>
    <col min="3" max="3" width="18.54296875" style="216" customWidth="1"/>
    <col min="4" max="4" width="34.54296875" style="216" customWidth="1"/>
    <col min="5" max="5" width="5.08984375" style="247" bestFit="1" customWidth="1"/>
    <col min="6" max="16384" width="8.6328125" style="216"/>
  </cols>
  <sheetData>
    <row r="1" spans="1:5">
      <c r="A1" s="247"/>
    </row>
    <row r="2" spans="1:5">
      <c r="B2" s="1290" t="s">
        <v>0</v>
      </c>
      <c r="C2" s="1290"/>
      <c r="D2" s="1290"/>
      <c r="E2" s="551"/>
    </row>
    <row r="3" spans="1:5">
      <c r="B3" s="1290" t="str">
        <f>"TO"&amp;Automation!$B$1&amp;"-Cycle "&amp;Automation!$B$2&amp;" Annual Transmission Formula Filing"</f>
        <v>TO5-Cycle 7 Annual Transmission Formula Filing</v>
      </c>
      <c r="C3" s="1290"/>
      <c r="D3" s="1290"/>
      <c r="E3" s="551"/>
    </row>
    <row r="4" spans="1:5">
      <c r="B4" s="1290" t="s">
        <v>826</v>
      </c>
      <c r="C4" s="1290"/>
      <c r="D4" s="1290"/>
      <c r="E4" s="551"/>
    </row>
    <row r="5" spans="1:5">
      <c r="B5" s="1290" t="str">
        <f>" 12 Months Ending December 31, "&amp;Automation!$B$3</f>
        <v xml:space="preserve"> 12 Months Ending December 31, 2023</v>
      </c>
      <c r="C5" s="1290"/>
      <c r="D5" s="1290"/>
    </row>
    <row r="6" spans="1:5">
      <c r="B6" s="1316">
        <v>-1000</v>
      </c>
      <c r="C6" s="1316"/>
      <c r="D6" s="1316"/>
      <c r="E6" s="393"/>
    </row>
    <row r="7" spans="1:5" ht="16" thickBot="1">
      <c r="A7" s="247"/>
      <c r="C7" s="247"/>
    </row>
    <row r="8" spans="1:5">
      <c r="A8" s="247" t="s">
        <v>4</v>
      </c>
      <c r="B8" s="778"/>
      <c r="C8" s="779"/>
      <c r="D8" s="780"/>
      <c r="E8" s="247" t="s">
        <v>4</v>
      </c>
    </row>
    <row r="9" spans="1:5" ht="16" thickBot="1">
      <c r="A9" s="247" t="s">
        <v>5</v>
      </c>
      <c r="B9" s="781" t="s">
        <v>262</v>
      </c>
      <c r="C9" s="782" t="s">
        <v>7</v>
      </c>
      <c r="D9" s="783" t="s">
        <v>8</v>
      </c>
      <c r="E9" s="247" t="s">
        <v>5</v>
      </c>
    </row>
    <row r="10" spans="1:5">
      <c r="A10" s="551"/>
      <c r="B10" s="784"/>
      <c r="C10" s="249"/>
      <c r="D10" s="1074"/>
      <c r="E10" s="551"/>
    </row>
    <row r="11" spans="1:5">
      <c r="A11" s="247">
        <v>1</v>
      </c>
      <c r="B11" s="785" t="s">
        <v>827</v>
      </c>
      <c r="C11" s="176">
        <v>2282.4870000000001</v>
      </c>
      <c r="D11" s="272"/>
      <c r="E11" s="247">
        <f>A11</f>
        <v>1</v>
      </c>
    </row>
    <row r="12" spans="1:5">
      <c r="A12" s="247">
        <f>A11+1</f>
        <v>2</v>
      </c>
      <c r="B12" s="785"/>
      <c r="C12" s="176"/>
      <c r="D12" s="272"/>
      <c r="E12" s="247">
        <f>E11+1</f>
        <v>2</v>
      </c>
    </row>
    <row r="13" spans="1:5">
      <c r="A13" s="247">
        <f t="shared" ref="A13:A28" si="0">A12+1</f>
        <v>3</v>
      </c>
      <c r="B13" s="785" t="s">
        <v>828</v>
      </c>
      <c r="C13" s="1075">
        <v>0.73640000000000005</v>
      </c>
      <c r="D13" s="272"/>
      <c r="E13" s="247">
        <f t="shared" ref="E13:E28" si="1">E12+1</f>
        <v>3</v>
      </c>
    </row>
    <row r="14" spans="1:5">
      <c r="A14" s="247">
        <f t="shared" si="0"/>
        <v>4</v>
      </c>
      <c r="B14" s="785"/>
      <c r="C14" s="786"/>
      <c r="D14" s="272"/>
      <c r="E14" s="247">
        <f t="shared" si="1"/>
        <v>4</v>
      </c>
    </row>
    <row r="15" spans="1:5">
      <c r="A15" s="247">
        <f t="shared" si="0"/>
        <v>5</v>
      </c>
      <c r="B15" s="785" t="s">
        <v>897</v>
      </c>
      <c r="C15" s="177">
        <f>C11*C13</f>
        <v>1680.8234268000001</v>
      </c>
      <c r="D15" s="250" t="str">
        <f>"Line "&amp;A11&amp;" x Line "&amp;A13</f>
        <v>Line 1 x Line 3</v>
      </c>
      <c r="E15" s="247">
        <f t="shared" si="1"/>
        <v>5</v>
      </c>
    </row>
    <row r="16" spans="1:5">
      <c r="A16" s="247">
        <f t="shared" si="0"/>
        <v>6</v>
      </c>
      <c r="B16" s="785"/>
      <c r="C16" s="787"/>
      <c r="D16" s="250"/>
      <c r="E16" s="247">
        <f t="shared" si="1"/>
        <v>6</v>
      </c>
    </row>
    <row r="17" spans="1:5">
      <c r="A17" s="247">
        <f t="shared" si="0"/>
        <v>7</v>
      </c>
      <c r="B17" s="785" t="s">
        <v>829</v>
      </c>
      <c r="C17" s="1076">
        <f>1/30</f>
        <v>3.3333333333333333E-2</v>
      </c>
      <c r="D17" s="250" t="s">
        <v>830</v>
      </c>
      <c r="E17" s="247">
        <f t="shared" si="1"/>
        <v>7</v>
      </c>
    </row>
    <row r="18" spans="1:5">
      <c r="A18" s="247">
        <f t="shared" si="0"/>
        <v>8</v>
      </c>
      <c r="B18" s="785"/>
      <c r="C18" s="788"/>
      <c r="D18" s="250"/>
      <c r="E18" s="247">
        <f t="shared" si="1"/>
        <v>8</v>
      </c>
    </row>
    <row r="19" spans="1:5" ht="16" thickBot="1">
      <c r="A19" s="247">
        <f t="shared" si="0"/>
        <v>9</v>
      </c>
      <c r="B19" s="789" t="s">
        <v>831</v>
      </c>
      <c r="C19" s="312">
        <f>C15*C17</f>
        <v>56.027447560000006</v>
      </c>
      <c r="D19" s="250" t="str">
        <f>"Line "&amp;A15&amp;" x Line "&amp;A17</f>
        <v>Line 5 x Line 7</v>
      </c>
      <c r="E19" s="247">
        <f t="shared" si="1"/>
        <v>9</v>
      </c>
    </row>
    <row r="20" spans="1:5" ht="16" thickTop="1">
      <c r="A20" s="247">
        <f t="shared" si="0"/>
        <v>10</v>
      </c>
      <c r="B20" s="785"/>
      <c r="C20" s="790"/>
      <c r="D20" s="272"/>
      <c r="E20" s="247">
        <f t="shared" si="1"/>
        <v>10</v>
      </c>
    </row>
    <row r="21" spans="1:5">
      <c r="A21" s="247">
        <f t="shared" si="0"/>
        <v>11</v>
      </c>
      <c r="B21" s="785" t="s">
        <v>832</v>
      </c>
      <c r="C21" s="1207">
        <v>0.27983599999999997</v>
      </c>
      <c r="D21" s="272"/>
      <c r="E21" s="247">
        <f t="shared" si="1"/>
        <v>11</v>
      </c>
    </row>
    <row r="22" spans="1:5">
      <c r="A22" s="247">
        <f t="shared" si="0"/>
        <v>12</v>
      </c>
      <c r="B22" s="785"/>
      <c r="C22" s="791"/>
      <c r="D22" s="272"/>
      <c r="E22" s="247">
        <f t="shared" si="1"/>
        <v>12</v>
      </c>
    </row>
    <row r="23" spans="1:5">
      <c r="A23" s="247">
        <f t="shared" si="0"/>
        <v>13</v>
      </c>
      <c r="B23" s="785" t="s">
        <v>833</v>
      </c>
      <c r="C23" s="177">
        <f>C19*C21</f>
        <v>15.678496815400161</v>
      </c>
      <c r="D23" s="250" t="str">
        <f>"Line "&amp;A19&amp;" x Line "&amp;A21</f>
        <v>Line 9 x Line 11</v>
      </c>
      <c r="E23" s="247">
        <f t="shared" si="1"/>
        <v>13</v>
      </c>
    </row>
    <row r="24" spans="1:5">
      <c r="A24" s="247">
        <f t="shared" si="0"/>
        <v>14</v>
      </c>
      <c r="B24" s="785"/>
      <c r="C24" s="791"/>
      <c r="D24" s="272"/>
      <c r="E24" s="247">
        <f t="shared" si="1"/>
        <v>14</v>
      </c>
    </row>
    <row r="25" spans="1:5">
      <c r="A25" s="247">
        <f t="shared" si="0"/>
        <v>15</v>
      </c>
      <c r="B25" s="785" t="s">
        <v>834</v>
      </c>
      <c r="C25" s="1208">
        <v>1.3885726029071155</v>
      </c>
      <c r="D25" s="272"/>
      <c r="E25" s="247">
        <f t="shared" si="1"/>
        <v>15</v>
      </c>
    </row>
    <row r="26" spans="1:5">
      <c r="A26" s="247">
        <f t="shared" si="0"/>
        <v>16</v>
      </c>
      <c r="B26" s="785"/>
      <c r="C26" s="791"/>
      <c r="D26" s="272"/>
      <c r="E26" s="247">
        <f t="shared" si="1"/>
        <v>16</v>
      </c>
    </row>
    <row r="27" spans="1:5" ht="16" thickBot="1">
      <c r="A27" s="247">
        <f t="shared" si="0"/>
        <v>17</v>
      </c>
      <c r="B27" s="789" t="s">
        <v>835</v>
      </c>
      <c r="C27" s="312">
        <f>C23*C25</f>
        <v>21.770731132631123</v>
      </c>
      <c r="D27" s="250" t="str">
        <f>"Line "&amp;A23&amp;" x Line "&amp;A25</f>
        <v>Line 13 x Line 15</v>
      </c>
      <c r="E27" s="247">
        <f t="shared" si="1"/>
        <v>17</v>
      </c>
    </row>
    <row r="28" spans="1:5" ht="16.5" thickTop="1" thickBot="1">
      <c r="A28" s="247">
        <f t="shared" si="0"/>
        <v>18</v>
      </c>
      <c r="B28" s="792"/>
      <c r="C28" s="763"/>
      <c r="D28" s="269"/>
      <c r="E28" s="247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/>
  </sheetViews>
  <sheetFormatPr defaultColWidth="8.6328125" defaultRowHeight="15.5"/>
  <cols>
    <col min="1" max="1" width="5.08984375" style="104" customWidth="1"/>
    <col min="2" max="2" width="83" style="13" customWidth="1"/>
    <col min="3" max="3" width="16.6328125" style="13" customWidth="1"/>
    <col min="4" max="4" width="1.54296875" style="13" customWidth="1"/>
    <col min="5" max="5" width="38.6328125" style="13" customWidth="1"/>
    <col min="6" max="6" width="5.08984375" style="104" customWidth="1"/>
    <col min="7" max="16384" width="8.6328125" style="13"/>
  </cols>
  <sheetData>
    <row r="1" spans="1:6">
      <c r="A1" s="119"/>
      <c r="B1" s="63"/>
      <c r="C1" s="68"/>
      <c r="D1" s="68"/>
      <c r="E1" s="77"/>
      <c r="F1" s="119"/>
    </row>
    <row r="2" spans="1:6">
      <c r="A2" s="119"/>
      <c r="B2" s="1277" t="s">
        <v>0</v>
      </c>
      <c r="C2" s="1317"/>
      <c r="D2" s="1317"/>
      <c r="E2" s="1317"/>
      <c r="F2" s="119"/>
    </row>
    <row r="3" spans="1:6">
      <c r="A3" s="119" t="s">
        <v>186</v>
      </c>
      <c r="B3" s="1277" t="s">
        <v>836</v>
      </c>
      <c r="C3" s="1317"/>
      <c r="D3" s="1317"/>
      <c r="E3" s="1317"/>
      <c r="F3" s="119" t="s">
        <v>186</v>
      </c>
    </row>
    <row r="4" spans="1:6">
      <c r="A4" s="119"/>
      <c r="B4" s="1318" t="str">
        <f>'A. Sec.1 - Direct Maintenance'!B5</f>
        <v>Base Period &amp; True-Up Period 12 - Months Ending December 31, 2023</v>
      </c>
      <c r="C4" s="1319"/>
      <c r="D4" s="1319"/>
      <c r="E4" s="1319"/>
      <c r="F4" s="119"/>
    </row>
    <row r="5" spans="1:6">
      <c r="A5" s="119"/>
      <c r="B5" s="1306" t="s">
        <v>3</v>
      </c>
      <c r="C5" s="1317"/>
      <c r="D5" s="1317"/>
      <c r="E5" s="1317"/>
      <c r="F5" s="119"/>
    </row>
    <row r="6" spans="1:6">
      <c r="A6" s="119"/>
      <c r="B6" s="1093"/>
      <c r="C6" s="63"/>
      <c r="D6" s="63"/>
      <c r="E6" s="63"/>
      <c r="F6" s="119"/>
    </row>
    <row r="7" spans="1:6">
      <c r="A7" s="119" t="s">
        <v>4</v>
      </c>
      <c r="B7" s="63"/>
      <c r="C7" s="69"/>
      <c r="D7" s="69"/>
      <c r="E7" s="77"/>
      <c r="F7" s="119" t="s">
        <v>4</v>
      </c>
    </row>
    <row r="8" spans="1:6">
      <c r="A8" s="119" t="s">
        <v>5</v>
      </c>
      <c r="B8" s="63" t="s">
        <v>186</v>
      </c>
      <c r="C8" s="1077" t="s">
        <v>7</v>
      </c>
      <c r="D8" s="69"/>
      <c r="E8" s="1078" t="s">
        <v>8</v>
      </c>
      <c r="F8" s="119" t="s">
        <v>5</v>
      </c>
    </row>
    <row r="9" spans="1:6">
      <c r="A9" s="119"/>
      <c r="B9" s="20" t="s">
        <v>837</v>
      </c>
      <c r="C9" s="72"/>
      <c r="D9" s="69"/>
      <c r="E9" s="77"/>
      <c r="F9" s="119"/>
    </row>
    <row r="10" spans="1:6">
      <c r="A10" s="119"/>
      <c r="B10" s="71"/>
      <c r="C10" s="72"/>
      <c r="D10" s="69"/>
      <c r="E10" s="77"/>
      <c r="F10" s="119"/>
    </row>
    <row r="11" spans="1:6">
      <c r="A11" s="119">
        <v>1</v>
      </c>
      <c r="B11" s="20" t="s">
        <v>838</v>
      </c>
      <c r="C11" s="72"/>
      <c r="D11" s="72"/>
      <c r="E11" s="77"/>
      <c r="F11" s="119">
        <f>A11</f>
        <v>1</v>
      </c>
    </row>
    <row r="12" spans="1:6">
      <c r="A12" s="119">
        <f>A11+1</f>
        <v>2</v>
      </c>
      <c r="B12" s="17" t="s">
        <v>839</v>
      </c>
      <c r="C12" s="633">
        <f>C75</f>
        <v>6079845.3141461872</v>
      </c>
      <c r="D12" s="53"/>
      <c r="E12" s="70" t="str">
        <f>"Page 2; Line "&amp;A75</f>
        <v>Page 2; Line 16</v>
      </c>
      <c r="F12" s="119">
        <f>F11+1</f>
        <v>2</v>
      </c>
    </row>
    <row r="13" spans="1:6">
      <c r="A13" s="119">
        <f t="shared" ref="A13:A48" si="0">A12+1</f>
        <v>3</v>
      </c>
      <c r="B13" s="17" t="s">
        <v>200</v>
      </c>
      <c r="C13" s="365">
        <f>C76</f>
        <v>4638.5904724766697</v>
      </c>
      <c r="D13" s="544"/>
      <c r="E13" s="70" t="str">
        <f>"Page 2; Line "&amp;A76</f>
        <v>Page 2; Line 17</v>
      </c>
      <c r="F13" s="119">
        <f t="shared" ref="F13:F48" si="1">F12+1</f>
        <v>3</v>
      </c>
    </row>
    <row r="14" spans="1:6">
      <c r="A14" s="119">
        <f t="shared" si="0"/>
        <v>4</v>
      </c>
      <c r="B14" s="17" t="s">
        <v>201</v>
      </c>
      <c r="C14" s="365">
        <f>C77</f>
        <v>34242.809658606282</v>
      </c>
      <c r="D14" s="544"/>
      <c r="E14" s="70" t="str">
        <f>"Page 2; Line "&amp;A77</f>
        <v>Page 2; Line 18</v>
      </c>
      <c r="F14" s="119">
        <f t="shared" si="1"/>
        <v>4</v>
      </c>
    </row>
    <row r="15" spans="1:6">
      <c r="A15" s="119">
        <f t="shared" si="0"/>
        <v>5</v>
      </c>
      <c r="B15" s="17" t="s">
        <v>840</v>
      </c>
      <c r="C15" s="1079">
        <f>C78</f>
        <v>99607.120430809111</v>
      </c>
      <c r="D15" s="544"/>
      <c r="E15" s="70" t="str">
        <f>"Page 2; Line "&amp;A78</f>
        <v>Page 2; Line 19</v>
      </c>
      <c r="F15" s="119">
        <f t="shared" si="1"/>
        <v>5</v>
      </c>
    </row>
    <row r="16" spans="1:6">
      <c r="A16" s="119">
        <f t="shared" si="0"/>
        <v>6</v>
      </c>
      <c r="B16" s="17" t="s">
        <v>841</v>
      </c>
      <c r="C16" s="1080">
        <f>SUM(C12:C15)</f>
        <v>6218333.8347080797</v>
      </c>
      <c r="D16" s="76"/>
      <c r="E16" s="70" t="str">
        <f>"Sum Lines "&amp;A12&amp;" thru "&amp;A15</f>
        <v>Sum Lines 2 thru 5</v>
      </c>
      <c r="F16" s="119">
        <f t="shared" si="1"/>
        <v>6</v>
      </c>
    </row>
    <row r="17" spans="1:6">
      <c r="A17" s="119">
        <f t="shared" si="0"/>
        <v>7</v>
      </c>
      <c r="B17" s="16"/>
      <c r="C17" s="645"/>
      <c r="D17" s="73"/>
      <c r="E17" s="77"/>
      <c r="F17" s="119">
        <f t="shared" si="1"/>
        <v>7</v>
      </c>
    </row>
    <row r="18" spans="1:6">
      <c r="A18" s="119">
        <f t="shared" si="0"/>
        <v>8</v>
      </c>
      <c r="B18" s="20" t="s">
        <v>842</v>
      </c>
      <c r="C18" s="645"/>
      <c r="D18" s="73"/>
      <c r="E18" s="77"/>
      <c r="F18" s="119">
        <f t="shared" si="1"/>
        <v>8</v>
      </c>
    </row>
    <row r="19" spans="1:6">
      <c r="A19" s="119">
        <f t="shared" si="0"/>
        <v>9</v>
      </c>
      <c r="B19" s="17" t="s">
        <v>843</v>
      </c>
      <c r="C19" s="646">
        <f>'Stmt AG'!E11</f>
        <v>0</v>
      </c>
      <c r="D19" s="69"/>
      <c r="E19" s="70" t="str">
        <f>"Statement AG; Line "&amp;'Stmt AG'!A11</f>
        <v>Statement AG; Line 1</v>
      </c>
      <c r="F19" s="119">
        <f t="shared" si="1"/>
        <v>9</v>
      </c>
    </row>
    <row r="20" spans="1:6">
      <c r="A20" s="119">
        <f t="shared" si="0"/>
        <v>10</v>
      </c>
      <c r="B20" s="17" t="s">
        <v>844</v>
      </c>
      <c r="C20" s="844">
        <f>'Stmt Misc.'!E12</f>
        <v>0</v>
      </c>
      <c r="D20" s="69"/>
      <c r="E20" s="70" t="str">
        <f>"Statement Misc.; Line "&amp;'Stmt Misc.'!A12</f>
        <v>Statement Misc.; Line 3</v>
      </c>
      <c r="F20" s="119">
        <f t="shared" si="1"/>
        <v>10</v>
      </c>
    </row>
    <row r="21" spans="1:6">
      <c r="A21" s="119">
        <f t="shared" si="0"/>
        <v>11</v>
      </c>
      <c r="B21" s="17" t="s">
        <v>845</v>
      </c>
      <c r="C21" s="1081">
        <f>C19+C20</f>
        <v>0</v>
      </c>
      <c r="D21" s="557"/>
      <c r="E21" s="70" t="str">
        <f>"Line "&amp;A19&amp;" + Line "&amp;A20</f>
        <v>Line 9 + Line 10</v>
      </c>
      <c r="F21" s="119">
        <f t="shared" si="1"/>
        <v>11</v>
      </c>
    </row>
    <row r="22" spans="1:6">
      <c r="A22" s="119">
        <f t="shared" si="0"/>
        <v>12</v>
      </c>
      <c r="B22" s="17"/>
      <c r="C22" s="647"/>
      <c r="D22" s="68"/>
      <c r="E22" s="77"/>
      <c r="F22" s="119">
        <f t="shared" si="1"/>
        <v>12</v>
      </c>
    </row>
    <row r="23" spans="1:6">
      <c r="A23" s="119">
        <f t="shared" si="0"/>
        <v>13</v>
      </c>
      <c r="B23" s="20" t="s">
        <v>846</v>
      </c>
      <c r="C23" s="645"/>
      <c r="D23" s="73"/>
      <c r="E23" s="77"/>
      <c r="F23" s="119">
        <f t="shared" si="1"/>
        <v>13</v>
      </c>
    </row>
    <row r="24" spans="1:6">
      <c r="A24" s="119">
        <f t="shared" si="0"/>
        <v>14</v>
      </c>
      <c r="B24" s="16" t="s">
        <v>847</v>
      </c>
      <c r="C24" s="648">
        <f>'Stmt AF'!I17</f>
        <v>-1121439.688750962</v>
      </c>
      <c r="D24" s="69"/>
      <c r="E24" s="70" t="str">
        <f>"Statement AF; Line "&amp;'Stmt AF'!A17</f>
        <v>Statement AF; Line 7</v>
      </c>
      <c r="F24" s="119">
        <f t="shared" si="1"/>
        <v>14</v>
      </c>
    </row>
    <row r="25" spans="1:6">
      <c r="A25" s="119">
        <f t="shared" si="0"/>
        <v>15</v>
      </c>
      <c r="B25" s="16" t="s">
        <v>848</v>
      </c>
      <c r="C25" s="649">
        <f>'Stmt AF'!I21</f>
        <v>0</v>
      </c>
      <c r="D25" s="69"/>
      <c r="E25" s="70" t="str">
        <f>"Statement AF; Line "&amp;'Stmt AF'!A21</f>
        <v>Statement AF; Line 11</v>
      </c>
      <c r="F25" s="119">
        <f t="shared" si="1"/>
        <v>15</v>
      </c>
    </row>
    <row r="26" spans="1:6">
      <c r="A26" s="119">
        <f t="shared" si="0"/>
        <v>16</v>
      </c>
      <c r="B26" s="17" t="s">
        <v>849</v>
      </c>
      <c r="C26" s="1080">
        <f>SUM(C24:C25)</f>
        <v>-1121439.688750962</v>
      </c>
      <c r="D26" s="76"/>
      <c r="E26" s="70" t="str">
        <f>"Line "&amp;A24&amp;" + Line "&amp;A25</f>
        <v>Line 14 + Line 15</v>
      </c>
      <c r="F26" s="119">
        <f t="shared" si="1"/>
        <v>16</v>
      </c>
    </row>
    <row r="27" spans="1:6">
      <c r="A27" s="119">
        <f t="shared" si="0"/>
        <v>17</v>
      </c>
      <c r="B27" s="63"/>
      <c r="C27" s="650"/>
      <c r="D27" s="74"/>
      <c r="E27" s="77"/>
      <c r="F27" s="119">
        <f t="shared" si="1"/>
        <v>17</v>
      </c>
    </row>
    <row r="28" spans="1:6">
      <c r="A28" s="119">
        <f t="shared" si="0"/>
        <v>18</v>
      </c>
      <c r="B28" s="20" t="s">
        <v>850</v>
      </c>
      <c r="C28" s="650"/>
      <c r="D28" s="74"/>
      <c r="E28" s="77"/>
      <c r="F28" s="119">
        <f t="shared" si="1"/>
        <v>18</v>
      </c>
    </row>
    <row r="29" spans="1:6">
      <c r="A29" s="119">
        <f t="shared" si="0"/>
        <v>19</v>
      </c>
      <c r="B29" s="17" t="s">
        <v>851</v>
      </c>
      <c r="C29" s="633">
        <f>'Stmt AL'!G15</f>
        <v>50606.937686191981</v>
      </c>
      <c r="D29" s="69"/>
      <c r="E29" s="70" t="str">
        <f>"Statement AL; Line "&amp;'Stmt AL'!A15</f>
        <v>Statement AL; Line 5</v>
      </c>
      <c r="F29" s="119">
        <f t="shared" si="1"/>
        <v>19</v>
      </c>
    </row>
    <row r="30" spans="1:6">
      <c r="A30" s="119">
        <f t="shared" si="0"/>
        <v>20</v>
      </c>
      <c r="B30" s="17" t="s">
        <v>852</v>
      </c>
      <c r="C30" s="365">
        <f>'Stmt AL'!G19</f>
        <v>37852.998185425851</v>
      </c>
      <c r="D30" s="69"/>
      <c r="E30" s="70" t="str">
        <f>"Statement AL; Line "&amp;'Stmt AL'!A19</f>
        <v>Statement AL; Line 9</v>
      </c>
      <c r="F30" s="119">
        <f t="shared" si="1"/>
        <v>20</v>
      </c>
    </row>
    <row r="31" spans="1:6">
      <c r="A31" s="119">
        <f t="shared" si="0"/>
        <v>21</v>
      </c>
      <c r="B31" s="17" t="s">
        <v>853</v>
      </c>
      <c r="C31" s="1079">
        <f>'Stmt AL'!E29</f>
        <v>11617.839867384848</v>
      </c>
      <c r="D31" s="69"/>
      <c r="E31" s="70" t="str">
        <f>"Statement AL; Line "&amp;'Stmt AL'!A29</f>
        <v>Statement AL; Line 19</v>
      </c>
      <c r="F31" s="119">
        <f t="shared" si="1"/>
        <v>21</v>
      </c>
    </row>
    <row r="32" spans="1:6">
      <c r="A32" s="119">
        <f t="shared" si="0"/>
        <v>22</v>
      </c>
      <c r="B32" s="17" t="s">
        <v>854</v>
      </c>
      <c r="C32" s="1080">
        <f>SUM(C29:C31)</f>
        <v>100077.77573900268</v>
      </c>
      <c r="D32" s="76"/>
      <c r="E32" s="70" t="str">
        <f>"Sum Lines "&amp;A29&amp;" thru "&amp;A31</f>
        <v>Sum Lines 19 thru 21</v>
      </c>
      <c r="F32" s="119">
        <f t="shared" si="1"/>
        <v>22</v>
      </c>
    </row>
    <row r="33" spans="1:6">
      <c r="A33" s="119">
        <f t="shared" si="0"/>
        <v>23</v>
      </c>
      <c r="B33" s="57"/>
      <c r="C33" s="651"/>
      <c r="D33" s="75"/>
      <c r="E33" s="77"/>
      <c r="F33" s="119">
        <f t="shared" si="1"/>
        <v>23</v>
      </c>
    </row>
    <row r="34" spans="1:6">
      <c r="A34" s="119">
        <f t="shared" si="0"/>
        <v>24</v>
      </c>
      <c r="B34" s="17" t="s">
        <v>855</v>
      </c>
      <c r="C34" s="1082">
        <f>'Stmt Misc.'!E14</f>
        <v>0</v>
      </c>
      <c r="D34" s="69"/>
      <c r="E34" s="70" t="str">
        <f>"Statement Misc.; Line "&amp;'Stmt Misc.'!A14</f>
        <v>Statement Misc.; Line 5</v>
      </c>
      <c r="F34" s="119">
        <f t="shared" si="1"/>
        <v>24</v>
      </c>
    </row>
    <row r="35" spans="1:6">
      <c r="A35" s="119">
        <f t="shared" si="0"/>
        <v>25</v>
      </c>
      <c r="B35" s="17"/>
      <c r="C35" s="651"/>
      <c r="D35" s="75"/>
      <c r="E35" s="77"/>
      <c r="F35" s="119">
        <f t="shared" si="1"/>
        <v>25</v>
      </c>
    </row>
    <row r="36" spans="1:6" ht="16" thickBot="1">
      <c r="A36" s="119">
        <f t="shared" si="0"/>
        <v>26</v>
      </c>
      <c r="B36" s="17" t="s">
        <v>856</v>
      </c>
      <c r="C36" s="1178">
        <f>C16+C21+C26+C32+C34</f>
        <v>5196971.9216961209</v>
      </c>
      <c r="D36" s="76"/>
      <c r="E36" s="70" t="str">
        <f>"Sum Lines "&amp;A16&amp;", "&amp;A21&amp;", "&amp;A26&amp;", "&amp;A32&amp;", "&amp;A34</f>
        <v>Sum Lines 6, 11, 16, 22, 24</v>
      </c>
      <c r="F36" s="119">
        <f t="shared" si="1"/>
        <v>26</v>
      </c>
    </row>
    <row r="37" spans="1:6" ht="16" thickTop="1">
      <c r="A37" s="119">
        <f t="shared" si="0"/>
        <v>27</v>
      </c>
      <c r="B37" s="57"/>
      <c r="C37" s="652"/>
      <c r="D37" s="76"/>
      <c r="E37" s="77"/>
      <c r="F37" s="119">
        <f t="shared" si="1"/>
        <v>27</v>
      </c>
    </row>
    <row r="38" spans="1:6">
      <c r="A38" s="119">
        <f t="shared" si="0"/>
        <v>28</v>
      </c>
      <c r="B38" s="20" t="s">
        <v>857</v>
      </c>
      <c r="C38" s="652"/>
      <c r="D38" s="76"/>
      <c r="E38" s="77"/>
      <c r="F38" s="119">
        <f t="shared" si="1"/>
        <v>28</v>
      </c>
    </row>
    <row r="39" spans="1:6">
      <c r="A39" s="119">
        <f t="shared" si="0"/>
        <v>29</v>
      </c>
      <c r="B39" s="17" t="s">
        <v>858</v>
      </c>
      <c r="C39" s="875">
        <v>0</v>
      </c>
      <c r="D39" s="873"/>
      <c r="E39" s="70" t="s">
        <v>307</v>
      </c>
      <c r="F39" s="119">
        <f t="shared" si="1"/>
        <v>29</v>
      </c>
    </row>
    <row r="40" spans="1:6">
      <c r="A40" s="119">
        <f t="shared" si="0"/>
        <v>30</v>
      </c>
      <c r="B40" s="17" t="s">
        <v>859</v>
      </c>
      <c r="C40" s="895">
        <v>0</v>
      </c>
      <c r="D40" s="69"/>
      <c r="E40" s="70" t="s">
        <v>307</v>
      </c>
      <c r="F40" s="119">
        <f t="shared" si="1"/>
        <v>30</v>
      </c>
    </row>
    <row r="41" spans="1:6">
      <c r="A41" s="119">
        <f t="shared" si="0"/>
        <v>31</v>
      </c>
      <c r="B41" s="16" t="s">
        <v>860</v>
      </c>
      <c r="C41" s="874">
        <f>C39+C40</f>
        <v>0</v>
      </c>
      <c r="D41" s="76"/>
      <c r="E41" s="70" t="str">
        <f>"Line "&amp;A39&amp;" + Line "&amp;A40</f>
        <v>Line 29 + Line 30</v>
      </c>
      <c r="F41" s="119">
        <f t="shared" si="1"/>
        <v>31</v>
      </c>
    </row>
    <row r="42" spans="1:6">
      <c r="A42" s="119">
        <f t="shared" si="0"/>
        <v>32</v>
      </c>
      <c r="B42" s="57"/>
      <c r="C42" s="652"/>
      <c r="D42" s="76"/>
      <c r="E42" s="77"/>
      <c r="F42" s="119">
        <f t="shared" si="1"/>
        <v>32</v>
      </c>
    </row>
    <row r="43" spans="1:6">
      <c r="A43" s="119">
        <f t="shared" si="0"/>
        <v>33</v>
      </c>
      <c r="B43" s="20" t="s">
        <v>861</v>
      </c>
      <c r="C43" s="652"/>
      <c r="D43" s="76"/>
      <c r="E43" s="77"/>
      <c r="F43" s="119">
        <f t="shared" si="1"/>
        <v>33</v>
      </c>
    </row>
    <row r="44" spans="1:6">
      <c r="A44" s="119">
        <f t="shared" si="0"/>
        <v>34</v>
      </c>
      <c r="B44" s="17" t="s">
        <v>862</v>
      </c>
      <c r="C44" s="875">
        <v>0</v>
      </c>
      <c r="D44" s="69"/>
      <c r="E44" s="70" t="s">
        <v>307</v>
      </c>
      <c r="F44" s="119">
        <f t="shared" si="1"/>
        <v>34</v>
      </c>
    </row>
    <row r="45" spans="1:6">
      <c r="A45" s="119">
        <f t="shared" si="0"/>
        <v>35</v>
      </c>
      <c r="B45" s="16" t="s">
        <v>863</v>
      </c>
      <c r="C45" s="1083">
        <v>0</v>
      </c>
      <c r="D45" s="69"/>
      <c r="E45" s="70" t="s">
        <v>307</v>
      </c>
      <c r="F45" s="119">
        <f t="shared" si="1"/>
        <v>35</v>
      </c>
    </row>
    <row r="46" spans="1:6">
      <c r="A46" s="119">
        <f t="shared" si="0"/>
        <v>36</v>
      </c>
      <c r="B46" s="16" t="s">
        <v>864</v>
      </c>
      <c r="C46" s="874">
        <f>C44+C45</f>
        <v>0</v>
      </c>
      <c r="D46" s="76"/>
      <c r="E46" s="70" t="str">
        <f>"Line "&amp;A44&amp;" + Line "&amp;A45</f>
        <v>Line 34 + Line 35</v>
      </c>
      <c r="F46" s="119">
        <f t="shared" si="1"/>
        <v>36</v>
      </c>
    </row>
    <row r="47" spans="1:6">
      <c r="A47" s="119">
        <f t="shared" si="0"/>
        <v>37</v>
      </c>
      <c r="B47" s="57"/>
      <c r="C47" s="652"/>
      <c r="D47" s="76"/>
      <c r="E47" s="77"/>
      <c r="F47" s="119">
        <f t="shared" si="1"/>
        <v>37</v>
      </c>
    </row>
    <row r="48" spans="1:6" ht="16" thickBot="1">
      <c r="A48" s="119">
        <f t="shared" si="0"/>
        <v>38</v>
      </c>
      <c r="B48" s="20" t="s">
        <v>865</v>
      </c>
      <c r="C48" s="1179">
        <v>0</v>
      </c>
      <c r="D48" s="69"/>
      <c r="E48" s="70" t="s">
        <v>307</v>
      </c>
      <c r="F48" s="119">
        <f t="shared" si="1"/>
        <v>38</v>
      </c>
    </row>
    <row r="49" spans="1:8" ht="16" thickTop="1">
      <c r="A49" s="119"/>
      <c r="B49" s="57"/>
      <c r="C49" s="652"/>
      <c r="D49" s="76"/>
      <c r="E49" s="77"/>
      <c r="F49" s="119"/>
    </row>
    <row r="50" spans="1:8">
      <c r="A50" s="119"/>
      <c r="B50" s="77"/>
      <c r="C50" s="63"/>
      <c r="D50" s="63"/>
      <c r="E50" s="63"/>
      <c r="F50" s="119"/>
    </row>
    <row r="51" spans="1:8">
      <c r="A51" s="119"/>
      <c r="B51" s="1277" t="str">
        <f>B2</f>
        <v>SAN DIEGO GAS &amp; ELECTRIC COMPANY</v>
      </c>
      <c r="C51" s="1317"/>
      <c r="D51" s="1317"/>
      <c r="E51" s="1317"/>
      <c r="F51" s="119"/>
    </row>
    <row r="52" spans="1:8">
      <c r="A52" s="119"/>
      <c r="B52" s="1277" t="str">
        <f>B3</f>
        <v xml:space="preserve">Derivation of End Use Transmission Rate Base </v>
      </c>
      <c r="C52" s="1317"/>
      <c r="D52" s="1317"/>
      <c r="E52" s="1317"/>
      <c r="F52" s="119"/>
    </row>
    <row r="53" spans="1:8">
      <c r="A53" s="119"/>
      <c r="B53" s="1318" t="str">
        <f>B4</f>
        <v>Base Period &amp; True-Up Period 12 - Months Ending December 31, 2023</v>
      </c>
      <c r="C53" s="1319"/>
      <c r="D53" s="1319"/>
      <c r="E53" s="1319"/>
      <c r="F53" s="119"/>
    </row>
    <row r="54" spans="1:8">
      <c r="A54" s="119"/>
      <c r="B54" s="1306" t="s">
        <v>3</v>
      </c>
      <c r="C54" s="1317"/>
      <c r="D54" s="1317"/>
      <c r="E54" s="1317"/>
      <c r="F54" s="119"/>
    </row>
    <row r="55" spans="1:8">
      <c r="A55" s="119"/>
      <c r="B55" s="1093"/>
      <c r="C55" s="63"/>
      <c r="D55" s="63"/>
      <c r="E55" s="63"/>
      <c r="F55" s="119"/>
    </row>
    <row r="56" spans="1:8">
      <c r="A56" s="119" t="s">
        <v>4</v>
      </c>
      <c r="B56" s="1093"/>
      <c r="C56" s="63"/>
      <c r="D56" s="63"/>
      <c r="E56" s="63"/>
      <c r="F56" s="119"/>
    </row>
    <row r="57" spans="1:8">
      <c r="A57" s="119" t="s">
        <v>5</v>
      </c>
      <c r="B57" s="1093"/>
      <c r="C57" s="63"/>
      <c r="D57" s="63"/>
      <c r="E57" s="63"/>
      <c r="F57" s="119"/>
    </row>
    <row r="58" spans="1:8">
      <c r="A58" s="119"/>
      <c r="B58" s="20" t="s">
        <v>866</v>
      </c>
      <c r="C58" s="63"/>
      <c r="D58" s="63"/>
      <c r="E58" s="63"/>
      <c r="F58" s="119"/>
    </row>
    <row r="59" spans="1:8">
      <c r="A59" s="119"/>
      <c r="B59" s="71"/>
      <c r="C59" s="69"/>
      <c r="D59" s="69"/>
      <c r="E59" s="77"/>
      <c r="F59" s="119"/>
    </row>
    <row r="60" spans="1:8">
      <c r="A60" s="119">
        <v>1</v>
      </c>
      <c r="B60" s="20" t="s">
        <v>867</v>
      </c>
      <c r="C60" s="69"/>
      <c r="D60" s="69"/>
      <c r="E60" s="77"/>
      <c r="F60" s="119">
        <f t="shared" ref="F60:F84" si="2">A60</f>
        <v>1</v>
      </c>
    </row>
    <row r="61" spans="1:8">
      <c r="A61" s="119">
        <v>2</v>
      </c>
      <c r="B61" s="17" t="s">
        <v>839</v>
      </c>
      <c r="C61" s="653">
        <f>'Stmt AD'!I21</f>
        <v>8017057.3968355898</v>
      </c>
      <c r="D61" s="69"/>
      <c r="E61" s="70" t="str">
        <f>"Statement AD; Line "&amp;'Stmt AD'!A21</f>
        <v>Statement AD; Line 11</v>
      </c>
      <c r="F61" s="119">
        <f t="shared" si="2"/>
        <v>2</v>
      </c>
      <c r="G61" s="105"/>
      <c r="H61" s="106"/>
    </row>
    <row r="62" spans="1:8">
      <c r="A62" s="119">
        <v>3</v>
      </c>
      <c r="B62" s="17" t="s">
        <v>868</v>
      </c>
      <c r="C62" s="654">
        <f>'Stmt AD'!I37</f>
        <v>12068.234482480817</v>
      </c>
      <c r="D62" s="69"/>
      <c r="E62" s="70" t="str">
        <f>"Statement AD; Line "&amp;'Stmt AD'!A37</f>
        <v>Statement AD; Line 27</v>
      </c>
      <c r="F62" s="119">
        <f t="shared" si="2"/>
        <v>3</v>
      </c>
      <c r="G62" s="105"/>
      <c r="H62" s="106"/>
    </row>
    <row r="63" spans="1:8">
      <c r="A63" s="119">
        <v>4</v>
      </c>
      <c r="B63" s="17" t="s">
        <v>201</v>
      </c>
      <c r="C63" s="654">
        <f>'Stmt AD'!I39</f>
        <v>60153.114391931267</v>
      </c>
      <c r="D63" s="69"/>
      <c r="E63" s="70" t="str">
        <f>"Statement AD; Line "&amp;'Stmt AD'!A39</f>
        <v>Statement AD; Line 29</v>
      </c>
      <c r="F63" s="119">
        <f t="shared" si="2"/>
        <v>4</v>
      </c>
      <c r="G63" s="105"/>
      <c r="H63" s="107"/>
    </row>
    <row r="64" spans="1:8">
      <c r="A64" s="119">
        <v>5</v>
      </c>
      <c r="B64" s="17" t="s">
        <v>840</v>
      </c>
      <c r="C64" s="1084">
        <f>'Stmt AD'!I41</f>
        <v>170715.02359057617</v>
      </c>
      <c r="D64" s="69"/>
      <c r="E64" s="70" t="str">
        <f>"Statement AD; Line "&amp;'Stmt AD'!A41</f>
        <v>Statement AD; Line 31</v>
      </c>
      <c r="F64" s="119">
        <f t="shared" si="2"/>
        <v>5</v>
      </c>
      <c r="G64" s="106"/>
      <c r="H64" s="106"/>
    </row>
    <row r="65" spans="1:8">
      <c r="A65" s="119">
        <v>6</v>
      </c>
      <c r="B65" s="17" t="s">
        <v>869</v>
      </c>
      <c r="C65" s="1080">
        <f>SUM(C61:C64)</f>
        <v>8259993.7693005782</v>
      </c>
      <c r="D65" s="76"/>
      <c r="E65" s="70" t="str">
        <f>"Sum Lines "&amp;A61&amp;" thru "&amp;A64</f>
        <v>Sum Lines 2 thru 5</v>
      </c>
      <c r="F65" s="119">
        <f t="shared" si="2"/>
        <v>6</v>
      </c>
      <c r="G65" s="105"/>
      <c r="H65" s="106"/>
    </row>
    <row r="66" spans="1:8">
      <c r="A66" s="119">
        <v>7</v>
      </c>
      <c r="B66" s="16"/>
      <c r="C66" s="655"/>
      <c r="D66" s="69"/>
      <c r="E66" s="77"/>
      <c r="F66" s="119">
        <f t="shared" si="2"/>
        <v>7</v>
      </c>
      <c r="G66" s="106"/>
      <c r="H66" s="106"/>
    </row>
    <row r="67" spans="1:8">
      <c r="A67" s="119">
        <v>8</v>
      </c>
      <c r="B67" s="19" t="s">
        <v>870</v>
      </c>
      <c r="C67" s="655"/>
      <c r="D67" s="69"/>
      <c r="E67" s="77"/>
      <c r="F67" s="119">
        <f t="shared" si="2"/>
        <v>8</v>
      </c>
      <c r="G67" s="106"/>
      <c r="H67" s="106"/>
    </row>
    <row r="68" spans="1:8">
      <c r="A68" s="119">
        <v>9</v>
      </c>
      <c r="B68" s="16" t="s">
        <v>871</v>
      </c>
      <c r="C68" s="653">
        <f>'Stmt AE'!I11</f>
        <v>1937212.0826894031</v>
      </c>
      <c r="D68" s="69"/>
      <c r="E68" s="70" t="str">
        <f>"Statement AE; Line "&amp;'Stmt AE'!A11</f>
        <v>Statement AE; Line 1</v>
      </c>
      <c r="F68" s="119">
        <f t="shared" si="2"/>
        <v>9</v>
      </c>
      <c r="G68" s="106"/>
      <c r="H68" s="106"/>
    </row>
    <row r="69" spans="1:8">
      <c r="A69" s="119">
        <v>10</v>
      </c>
      <c r="B69" s="16" t="s">
        <v>302</v>
      </c>
      <c r="C69" s="654">
        <f>'Stmt AE'!I21</f>
        <v>7429.6440100041473</v>
      </c>
      <c r="D69" s="69"/>
      <c r="E69" s="70" t="str">
        <f>"Statement AE; Line "&amp;'Stmt AE'!A21</f>
        <v>Statement AE; Line 11</v>
      </c>
      <c r="F69" s="119">
        <f t="shared" si="2"/>
        <v>10</v>
      </c>
      <c r="G69" s="106"/>
      <c r="H69" s="106"/>
    </row>
    <row r="70" spans="1:8">
      <c r="A70" s="119">
        <v>11</v>
      </c>
      <c r="B70" s="16" t="s">
        <v>872</v>
      </c>
      <c r="C70" s="654">
        <f>'Stmt AE'!I23</f>
        <v>25910.304733324985</v>
      </c>
      <c r="D70" s="69"/>
      <c r="E70" s="70" t="str">
        <f>"Statement AE; Line "&amp;'Stmt AE'!A23</f>
        <v>Statement AE; Line 13</v>
      </c>
      <c r="F70" s="119">
        <f t="shared" si="2"/>
        <v>11</v>
      </c>
      <c r="G70" s="106"/>
      <c r="H70" s="106"/>
    </row>
    <row r="71" spans="1:8">
      <c r="A71" s="119">
        <v>12</v>
      </c>
      <c r="B71" s="16" t="s">
        <v>873</v>
      </c>
      <c r="C71" s="1084">
        <f>'Stmt AE'!I25</f>
        <v>71107.903159767055</v>
      </c>
      <c r="D71" s="69"/>
      <c r="E71" s="70" t="str">
        <f>"Statement AE; Line "&amp;'Stmt AE'!A25</f>
        <v>Statement AE; Line 15</v>
      </c>
      <c r="F71" s="119">
        <f t="shared" si="2"/>
        <v>12</v>
      </c>
      <c r="G71" s="106"/>
      <c r="H71" s="106"/>
    </row>
    <row r="72" spans="1:8">
      <c r="A72" s="119">
        <v>13</v>
      </c>
      <c r="B72" s="559" t="s">
        <v>305</v>
      </c>
      <c r="C72" s="1080">
        <f>SUM(C68:C71)</f>
        <v>2041659.9345924994</v>
      </c>
      <c r="D72" s="76"/>
      <c r="E72" s="70" t="str">
        <f>"Sum Lines "&amp;A68&amp;" thru "&amp;A71</f>
        <v>Sum Lines 9 thru 12</v>
      </c>
      <c r="F72" s="119">
        <f t="shared" si="2"/>
        <v>13</v>
      </c>
      <c r="G72" s="106"/>
      <c r="H72" s="106"/>
    </row>
    <row r="73" spans="1:8">
      <c r="A73" s="119">
        <v>14</v>
      </c>
      <c r="B73" s="559"/>
      <c r="C73" s="650"/>
      <c r="D73" s="74"/>
      <c r="E73" s="77"/>
      <c r="F73" s="119">
        <f t="shared" si="2"/>
        <v>14</v>
      </c>
      <c r="G73" s="106"/>
      <c r="H73" s="106"/>
    </row>
    <row r="74" spans="1:8">
      <c r="A74" s="119">
        <v>15</v>
      </c>
      <c r="B74" s="20" t="s">
        <v>838</v>
      </c>
      <c r="C74" s="650"/>
      <c r="D74" s="74"/>
      <c r="E74" s="77"/>
      <c r="F74" s="119">
        <f t="shared" si="2"/>
        <v>15</v>
      </c>
      <c r="G74" s="106"/>
      <c r="H74" s="106"/>
    </row>
    <row r="75" spans="1:8">
      <c r="A75" s="119">
        <v>16</v>
      </c>
      <c r="B75" s="17" t="s">
        <v>839</v>
      </c>
      <c r="C75" s="656">
        <f>C61-C68</f>
        <v>6079845.3141461872</v>
      </c>
      <c r="D75" s="78"/>
      <c r="E75" s="70" t="str">
        <f>"Line "&amp;A61&amp;" Minus Line "&amp;A68</f>
        <v>Line 2 Minus Line 9</v>
      </c>
      <c r="F75" s="119">
        <f t="shared" si="2"/>
        <v>16</v>
      </c>
      <c r="G75" s="106"/>
      <c r="H75" s="106"/>
    </row>
    <row r="76" spans="1:8">
      <c r="A76" s="119">
        <v>17</v>
      </c>
      <c r="B76" s="17" t="s">
        <v>200</v>
      </c>
      <c r="C76" s="657">
        <f>C62-C69</f>
        <v>4638.5904724766697</v>
      </c>
      <c r="D76" s="79"/>
      <c r="E76" s="70" t="str">
        <f>"Line "&amp;A62&amp;" Minus Line "&amp;A69</f>
        <v>Line 3 Minus Line 10</v>
      </c>
      <c r="F76" s="119">
        <f t="shared" si="2"/>
        <v>17</v>
      </c>
      <c r="G76" s="106"/>
      <c r="H76" s="106"/>
    </row>
    <row r="77" spans="1:8">
      <c r="A77" s="119">
        <v>18</v>
      </c>
      <c r="B77" s="17" t="s">
        <v>201</v>
      </c>
      <c r="C77" s="657">
        <f>C63-C70</f>
        <v>34242.809658606282</v>
      </c>
      <c r="D77" s="79"/>
      <c r="E77" s="70" t="str">
        <f>"Line "&amp;A63&amp;" Minus Line "&amp;A70</f>
        <v>Line 4 Minus Line 11</v>
      </c>
      <c r="F77" s="119">
        <f t="shared" si="2"/>
        <v>18</v>
      </c>
    </row>
    <row r="78" spans="1:8">
      <c r="A78" s="119">
        <v>19</v>
      </c>
      <c r="B78" s="17" t="s">
        <v>840</v>
      </c>
      <c r="C78" s="1085">
        <f>C64-C71</f>
        <v>99607.120430809111</v>
      </c>
      <c r="D78" s="558"/>
      <c r="E78" s="70" t="str">
        <f>"Line "&amp;A64&amp;" Minus Line "&amp;A71</f>
        <v>Line 5 Minus Line 12</v>
      </c>
      <c r="F78" s="119">
        <f t="shared" si="2"/>
        <v>19</v>
      </c>
    </row>
    <row r="79" spans="1:8" ht="16" thickBot="1">
      <c r="A79" s="119">
        <v>20</v>
      </c>
      <c r="B79" s="16" t="s">
        <v>841</v>
      </c>
      <c r="C79" s="1086">
        <f>SUM(C75:C78)</f>
        <v>6218333.8347080797</v>
      </c>
      <c r="D79" s="76"/>
      <c r="E79" s="70" t="str">
        <f>"Sum Lines "&amp;A75&amp;" thru "&amp;A78</f>
        <v>Sum Lines 16 thru 19</v>
      </c>
      <c r="F79" s="119">
        <f t="shared" si="2"/>
        <v>20</v>
      </c>
    </row>
    <row r="80" spans="1:8" ht="16" thickTop="1">
      <c r="A80" s="119">
        <v>21</v>
      </c>
      <c r="B80" s="57"/>
      <c r="C80" s="76"/>
      <c r="D80" s="76"/>
      <c r="E80" s="77"/>
      <c r="F80" s="119">
        <f t="shared" si="2"/>
        <v>21</v>
      </c>
    </row>
    <row r="81" spans="1:6">
      <c r="A81" s="119">
        <v>22</v>
      </c>
      <c r="B81" s="20" t="s">
        <v>874</v>
      </c>
      <c r="C81" s="76"/>
      <c r="D81" s="76"/>
      <c r="E81" s="77"/>
      <c r="F81" s="119">
        <f t="shared" si="2"/>
        <v>22</v>
      </c>
    </row>
    <row r="82" spans="1:6">
      <c r="A82" s="119">
        <v>23</v>
      </c>
      <c r="B82" s="17" t="s">
        <v>875</v>
      </c>
      <c r="C82" s="875">
        <v>0</v>
      </c>
      <c r="D82" s="76"/>
      <c r="E82" s="70" t="s">
        <v>307</v>
      </c>
      <c r="F82" s="119">
        <f t="shared" si="2"/>
        <v>23</v>
      </c>
    </row>
    <row r="83" spans="1:6">
      <c r="A83" s="119">
        <v>24</v>
      </c>
      <c r="B83" s="16" t="s">
        <v>876</v>
      </c>
      <c r="C83" s="1083">
        <v>0</v>
      </c>
      <c r="D83" s="76"/>
      <c r="E83" s="70" t="s">
        <v>307</v>
      </c>
      <c r="F83" s="119">
        <f t="shared" si="2"/>
        <v>24</v>
      </c>
    </row>
    <row r="84" spans="1:6" ht="16" thickBot="1">
      <c r="A84" s="119">
        <v>25</v>
      </c>
      <c r="B84" s="17" t="s">
        <v>877</v>
      </c>
      <c r="C84" s="1178">
        <f>C82-C83</f>
        <v>0</v>
      </c>
      <c r="D84" s="76"/>
      <c r="E84" s="70" t="str">
        <f>"Line "&amp;A82&amp;" Minus Line "&amp;A83</f>
        <v>Line 23 Minus Line 24</v>
      </c>
      <c r="F84" s="119">
        <f t="shared" si="2"/>
        <v>25</v>
      </c>
    </row>
    <row r="85" spans="1:6" ht="16" thickTop="1">
      <c r="A85" s="119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  <customProperties>
    <customPr name="_pios_id" r:id="rId2"/>
  </customPropertie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/>
  </sheetViews>
  <sheetFormatPr defaultColWidth="8.6328125" defaultRowHeight="15.5"/>
  <cols>
    <col min="1" max="1" width="5.08984375" style="247" customWidth="1"/>
    <col min="2" max="2" width="50.6328125" style="216" customWidth="1"/>
    <col min="3" max="3" width="21.08984375" style="216" customWidth="1"/>
    <col min="4" max="4" width="1.54296875" style="216" customWidth="1"/>
    <col min="5" max="5" width="16.6328125" style="216" customWidth="1"/>
    <col min="6" max="6" width="1.54296875" style="216" customWidth="1"/>
    <col min="7" max="7" width="36.453125" style="216" customWidth="1"/>
    <col min="8" max="8" width="5.08984375" style="216" customWidth="1"/>
    <col min="9" max="9" width="8.6328125" style="216"/>
    <col min="10" max="10" width="20.36328125" style="216" bestFit="1" customWidth="1"/>
    <col min="11" max="16384" width="8.6328125" style="216"/>
  </cols>
  <sheetData>
    <row r="1" spans="1:8">
      <c r="E1" s="396"/>
      <c r="F1" s="396"/>
      <c r="G1" s="247"/>
      <c r="H1" s="247"/>
    </row>
    <row r="2" spans="1:8">
      <c r="B2" s="1290" t="s">
        <v>0</v>
      </c>
      <c r="C2" s="1290"/>
      <c r="D2" s="1290"/>
      <c r="E2" s="1290"/>
      <c r="F2" s="1290"/>
      <c r="G2" s="1290"/>
      <c r="H2" s="247"/>
    </row>
    <row r="3" spans="1:8">
      <c r="B3" s="1290" t="s">
        <v>878</v>
      </c>
      <c r="C3" s="1290"/>
      <c r="D3" s="1290"/>
      <c r="E3" s="1320"/>
      <c r="F3" s="1320"/>
      <c r="G3" s="1320"/>
      <c r="H3" s="247"/>
    </row>
    <row r="4" spans="1:8">
      <c r="B4" s="1292" t="str">
        <f>'A. Sec.1 - Direct Maintenance'!B5</f>
        <v>Base Period &amp; True-Up Period 12 - Months Ending December 31, 2023</v>
      </c>
      <c r="C4" s="1292"/>
      <c r="D4" s="1292"/>
      <c r="E4" s="1292"/>
      <c r="F4" s="1292"/>
      <c r="G4" s="1292"/>
      <c r="H4" s="247"/>
    </row>
    <row r="5" spans="1:8">
      <c r="B5" s="1288" t="s">
        <v>3</v>
      </c>
      <c r="C5" s="1302"/>
      <c r="D5" s="1302"/>
      <c r="E5" s="1302"/>
      <c r="F5" s="1302"/>
      <c r="G5" s="1302"/>
      <c r="H5" s="247"/>
    </row>
    <row r="6" spans="1:8">
      <c r="B6" s="247"/>
      <c r="C6" s="247"/>
      <c r="D6" s="247"/>
      <c r="E6" s="247"/>
      <c r="F6" s="247"/>
      <c r="G6" s="247"/>
      <c r="H6" s="247"/>
    </row>
    <row r="7" spans="1:8">
      <c r="A7" s="247" t="s">
        <v>4</v>
      </c>
      <c r="B7" s="843"/>
      <c r="C7" s="247" t="s">
        <v>189</v>
      </c>
      <c r="D7" s="551"/>
      <c r="E7" s="551"/>
      <c r="F7" s="551"/>
      <c r="G7" s="247"/>
      <c r="H7" s="247" t="s">
        <v>4</v>
      </c>
    </row>
    <row r="8" spans="1:8">
      <c r="A8" s="247" t="s">
        <v>5</v>
      </c>
      <c r="B8" s="247"/>
      <c r="C8" s="997" t="s">
        <v>191</v>
      </c>
      <c r="D8" s="551"/>
      <c r="E8" s="997" t="s">
        <v>7</v>
      </c>
      <c r="F8" s="551"/>
      <c r="G8" s="997" t="s">
        <v>8</v>
      </c>
      <c r="H8" s="247" t="s">
        <v>5</v>
      </c>
    </row>
    <row r="9" spans="1:8">
      <c r="C9" s="247"/>
      <c r="D9" s="247"/>
      <c r="F9" s="551"/>
      <c r="H9" s="247"/>
    </row>
    <row r="10" spans="1:8" ht="16" thickBot="1">
      <c r="A10" s="247">
        <v>1</v>
      </c>
      <c r="B10" s="420" t="s">
        <v>879</v>
      </c>
      <c r="C10" s="247"/>
      <c r="D10" s="247"/>
      <c r="E10" s="1179">
        <v>0</v>
      </c>
      <c r="F10" s="551"/>
      <c r="G10" s="247" t="s">
        <v>307</v>
      </c>
      <c r="H10" s="247">
        <f>A10</f>
        <v>1</v>
      </c>
    </row>
    <row r="11" spans="1:8" ht="16" thickTop="1">
      <c r="A11" s="247">
        <f t="shared" ref="A11:A16" si="0">A10+1</f>
        <v>2</v>
      </c>
      <c r="C11" s="247"/>
      <c r="D11" s="247"/>
      <c r="F11" s="551"/>
      <c r="H11" s="119">
        <f>H10+1</f>
        <v>2</v>
      </c>
    </row>
    <row r="12" spans="1:8" ht="18.5" thickBot="1">
      <c r="A12" s="247">
        <f t="shared" si="0"/>
        <v>3</v>
      </c>
      <c r="B12" s="420" t="s">
        <v>880</v>
      </c>
      <c r="E12" s="1180">
        <v>0</v>
      </c>
      <c r="F12" s="551"/>
      <c r="G12" s="247"/>
      <c r="H12" s="119">
        <f t="shared" ref="H12:H16" si="1">H11+1</f>
        <v>3</v>
      </c>
    </row>
    <row r="13" spans="1:8" ht="16" thickTop="1">
      <c r="A13" s="247">
        <f t="shared" si="0"/>
        <v>4</v>
      </c>
      <c r="F13" s="551"/>
      <c r="H13" s="119">
        <f t="shared" si="1"/>
        <v>4</v>
      </c>
    </row>
    <row r="14" spans="1:8" ht="18.5" thickBot="1">
      <c r="A14" s="247">
        <f t="shared" si="0"/>
        <v>5</v>
      </c>
      <c r="B14" s="420" t="s">
        <v>881</v>
      </c>
      <c r="E14" s="1180">
        <v>0</v>
      </c>
      <c r="F14" s="551"/>
      <c r="G14" s="247"/>
      <c r="H14" s="119">
        <f t="shared" si="1"/>
        <v>5</v>
      </c>
    </row>
    <row r="15" spans="1:8" ht="16" thickTop="1">
      <c r="A15" s="247">
        <f t="shared" si="0"/>
        <v>6</v>
      </c>
      <c r="B15" s="420"/>
      <c r="E15" s="876"/>
      <c r="F15" s="551"/>
      <c r="G15" s="247"/>
      <c r="H15" s="119">
        <f t="shared" si="1"/>
        <v>6</v>
      </c>
    </row>
    <row r="16" spans="1:8" ht="16" thickBot="1">
      <c r="A16" s="247">
        <f t="shared" si="0"/>
        <v>7</v>
      </c>
      <c r="B16" s="420" t="s">
        <v>862</v>
      </c>
      <c r="E16" s="1179">
        <v>0</v>
      </c>
      <c r="F16" s="551"/>
      <c r="G16" s="247" t="s">
        <v>307</v>
      </c>
      <c r="H16" s="119">
        <f t="shared" si="1"/>
        <v>7</v>
      </c>
    </row>
    <row r="17" spans="1:8" ht="16" thickTop="1">
      <c r="H17" s="247"/>
    </row>
    <row r="18" spans="1:8">
      <c r="H18" s="247"/>
    </row>
    <row r="19" spans="1:8" ht="18">
      <c r="A19" s="477">
        <v>1</v>
      </c>
      <c r="B19" s="216" t="s">
        <v>1026</v>
      </c>
      <c r="H19" s="247"/>
    </row>
    <row r="20" spans="1:8">
      <c r="B20" s="216" t="s">
        <v>1001</v>
      </c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Roman,Regular"&amp;10Misc.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/>
  </sheetViews>
  <sheetFormatPr defaultColWidth="8.6328125" defaultRowHeight="15.5"/>
  <cols>
    <col min="1" max="1" width="5.08984375" style="247" customWidth="1"/>
    <col min="2" max="2" width="69.08984375" style="3" customWidth="1"/>
    <col min="3" max="3" width="14.6328125" style="3" customWidth="1"/>
    <col min="4" max="4" width="50.6328125" style="3" bestFit="1" customWidth="1"/>
    <col min="5" max="5" width="5.08984375" style="247" customWidth="1"/>
    <col min="6" max="16384" width="8.6328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77" t="str">
        <f>'Summary of Cost Components'!B2:D2</f>
        <v>SAN DIEGO GAS &amp; ELECTRIC COMPANY</v>
      </c>
      <c r="C2" s="1277"/>
      <c r="D2" s="1277"/>
      <c r="E2" s="562"/>
    </row>
    <row r="3" spans="1:7">
      <c r="B3" s="1277" t="s">
        <v>1</v>
      </c>
      <c r="C3" s="1277"/>
      <c r="D3" s="1277"/>
      <c r="E3" s="109"/>
    </row>
    <row r="4" spans="1:7">
      <c r="B4" s="1277" t="s">
        <v>153</v>
      </c>
      <c r="C4" s="1277"/>
      <c r="D4" s="1277"/>
      <c r="E4" s="109"/>
    </row>
    <row r="5" spans="1:7">
      <c r="A5" s="562"/>
      <c r="B5" s="1276" t="str">
        <f>"Rate Effective Period January 1, "&amp;Automation!B3+1 &amp;" to December 31, "&amp;Automation!B3+1</f>
        <v>Rate Effective Period January 1, 2024 to December 31, 2024</v>
      </c>
      <c r="C5" s="1276"/>
      <c r="D5" s="1276"/>
      <c r="E5" s="562"/>
    </row>
    <row r="6" spans="1:7">
      <c r="B6" s="1278" t="s">
        <v>3</v>
      </c>
      <c r="C6" s="1277"/>
      <c r="D6" s="1277"/>
      <c r="E6" s="109"/>
    </row>
    <row r="7" spans="1:7" ht="16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5" t="s">
        <v>6</v>
      </c>
      <c r="C9" s="955" t="s">
        <v>7</v>
      </c>
      <c r="D9" s="956" t="s">
        <v>8</v>
      </c>
      <c r="E9" s="564" t="s">
        <v>5</v>
      </c>
    </row>
    <row r="10" spans="1:7">
      <c r="A10" s="563"/>
      <c r="B10" s="929"/>
      <c r="C10" s="56"/>
      <c r="D10" s="88"/>
      <c r="E10" s="564"/>
    </row>
    <row r="11" spans="1:7">
      <c r="A11" s="563">
        <v>1</v>
      </c>
      <c r="B11" s="17" t="s">
        <v>9</v>
      </c>
      <c r="C11" s="855">
        <v>0</v>
      </c>
      <c r="D11" s="725" t="str">
        <f>"Cycle "&amp;Automation!B2-1&amp;"; Summary of Cost Components; Line 1"</f>
        <v>Cycle 6; Summary of Cost Components; Line 1</v>
      </c>
      <c r="E11" s="564">
        <f>A11</f>
        <v>1</v>
      </c>
      <c r="G11" s="701"/>
    </row>
    <row r="12" spans="1:7">
      <c r="A12" s="563">
        <f>A11+1</f>
        <v>2</v>
      </c>
      <c r="B12" s="16"/>
      <c r="C12" s="828"/>
      <c r="D12" s="86"/>
      <c r="E12" s="564">
        <f>E11+1</f>
        <v>2</v>
      </c>
    </row>
    <row r="13" spans="1:7">
      <c r="A13" s="563">
        <f t="shared" ref="A13:A28" si="0">A12+1</f>
        <v>3</v>
      </c>
      <c r="B13" s="17" t="s">
        <v>10</v>
      </c>
      <c r="C13" s="660">
        <v>908.75746351082262</v>
      </c>
      <c r="D13" s="89" t="str">
        <f>"Cycle "&amp;Automation!B2-1&amp;"; Summary of Cost Components; Line 3"</f>
        <v>Cycle 6; Summary of Cost Components; Line 3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16"/>
      <c r="C14" s="828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4">
        <v>-35.964090541623818</v>
      </c>
      <c r="D15" s="658" t="str">
        <f>"Cycle "&amp;Automation!B2-1&amp;"; Summary of Cost Components; Line 5"</f>
        <v>Cycle 6; Summary of Cost Components; Line 5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28"/>
      <c r="D16" s="91"/>
      <c r="E16" s="564">
        <f t="shared" si="1"/>
        <v>6</v>
      </c>
    </row>
    <row r="17" spans="1:9">
      <c r="A17" s="563">
        <f t="shared" si="0"/>
        <v>7</v>
      </c>
      <c r="B17" s="830" t="s">
        <v>12</v>
      </c>
      <c r="C17" s="828">
        <f>C11+C13+C15</f>
        <v>872.7933729691988</v>
      </c>
      <c r="D17" s="94" t="str">
        <f>"Sum Lines "&amp;A11&amp;", "&amp;A13&amp;", "&amp;A15</f>
        <v>Sum Lines 1, 3, 5</v>
      </c>
      <c r="E17" s="564">
        <f t="shared" si="1"/>
        <v>7</v>
      </c>
    </row>
    <row r="18" spans="1:9">
      <c r="A18" s="563">
        <f t="shared" si="0"/>
        <v>8</v>
      </c>
      <c r="B18" s="57"/>
      <c r="C18" s="828"/>
      <c r="D18" s="835"/>
      <c r="E18" s="564">
        <f t="shared" si="1"/>
        <v>8</v>
      </c>
    </row>
    <row r="19" spans="1:9">
      <c r="A19" s="563">
        <f t="shared" si="0"/>
        <v>9</v>
      </c>
      <c r="B19" s="17" t="s">
        <v>13</v>
      </c>
      <c r="C19" s="660">
        <v>91.594927477197942</v>
      </c>
      <c r="D19" s="658" t="str">
        <f>"Cycle "&amp;Automation!B2-1&amp;"; Summary of Cost Components; Line 9"</f>
        <v>Cycle 6; Summary of Cost Components; Line 9</v>
      </c>
      <c r="E19" s="564">
        <f t="shared" si="1"/>
        <v>9</v>
      </c>
    </row>
    <row r="20" spans="1:9">
      <c r="A20" s="563">
        <f t="shared" si="0"/>
        <v>10</v>
      </c>
      <c r="B20" s="17"/>
      <c r="C20" s="828"/>
      <c r="D20" s="92"/>
      <c r="E20" s="564">
        <f t="shared" si="1"/>
        <v>10</v>
      </c>
    </row>
    <row r="21" spans="1:9">
      <c r="A21" s="563">
        <f t="shared" si="0"/>
        <v>11</v>
      </c>
      <c r="B21" s="17" t="s">
        <v>14</v>
      </c>
      <c r="C21" s="1094">
        <v>1.5414350816416671</v>
      </c>
      <c r="D21" s="658" t="str">
        <f>"Cycle "&amp;Automation!B2-1&amp;"; Summary of Cost Components; Line 11"</f>
        <v>Cycle 6; Summary of Cost Components; Line 11</v>
      </c>
      <c r="E21" s="564">
        <f t="shared" si="1"/>
        <v>11</v>
      </c>
      <c r="G21" s="701"/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C17+C19+C21+1</f>
        <v>966.92973552803846</v>
      </c>
      <c r="D23" s="94" t="str">
        <f>"Sum Lines "&amp;A17&amp;", "&amp;A19&amp;", "&amp;A21</f>
        <v>Sum Lines 7, 9, 11</v>
      </c>
      <c r="E23" s="564">
        <f t="shared" si="1"/>
        <v>13</v>
      </c>
    </row>
    <row r="24" spans="1:9">
      <c r="A24" s="563">
        <f t="shared" si="0"/>
        <v>14</v>
      </c>
      <c r="B24" s="57"/>
      <c r="C24" s="829"/>
      <c r="D24" s="93"/>
      <c r="E24" s="564">
        <f t="shared" si="1"/>
        <v>14</v>
      </c>
    </row>
    <row r="25" spans="1:9">
      <c r="A25" s="563">
        <f t="shared" si="0"/>
        <v>15</v>
      </c>
      <c r="B25" s="17" t="s">
        <v>16</v>
      </c>
      <c r="C25" s="1095">
        <v>25</v>
      </c>
      <c r="D25" s="658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30"/>
      <c r="D26" s="93"/>
      <c r="E26" s="564">
        <f t="shared" si="1"/>
        <v>16</v>
      </c>
    </row>
    <row r="27" spans="1:9" ht="16" thickBot="1">
      <c r="A27" s="563">
        <f t="shared" si="0"/>
        <v>17</v>
      </c>
      <c r="B27" s="830" t="s">
        <v>18</v>
      </c>
      <c r="C27" s="598">
        <f>C23+C25</f>
        <v>991.92973552803846</v>
      </c>
      <c r="D27" s="21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6.5" thickTop="1" thickBot="1">
      <c r="A28" s="563">
        <f t="shared" si="0"/>
        <v>18</v>
      </c>
      <c r="B28" s="931"/>
      <c r="C28" s="931"/>
      <c r="D28" s="96"/>
      <c r="E28" s="564">
        <f t="shared" si="1"/>
        <v>18</v>
      </c>
    </row>
    <row r="30" spans="1:9" ht="16" thickBot="1">
      <c r="A30" s="562"/>
      <c r="B30" s="932"/>
      <c r="C30" s="933"/>
      <c r="D30" s="933"/>
      <c r="E30" s="562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5" t="s">
        <v>19</v>
      </c>
      <c r="C32" s="955" t="str">
        <f>C9</f>
        <v>Amounts</v>
      </c>
      <c r="D32" s="956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795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75.72978862590189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6">
        <f>C15/12</f>
        <v>-2.9970075451353182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72.732781080766571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7.6329106230998285</v>
      </c>
      <c r="D42" s="89" t="str">
        <f>"Line "&amp;A19&amp;" / "&amp;C4913&amp;" Months"</f>
        <v>Line 9 / 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0.12845292347013892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6">
        <f>C25/12</f>
        <v>2.0833333333333335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" thickBot="1">
      <c r="A48" s="563">
        <f t="shared" si="2"/>
        <v>34</v>
      </c>
      <c r="B48" s="57" t="s">
        <v>21</v>
      </c>
      <c r="C48" s="849">
        <f>C27/12</f>
        <v>82.66081129400321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" thickTop="1">
      <c r="A49" s="563">
        <f t="shared" si="2"/>
        <v>35</v>
      </c>
      <c r="B49" s="54"/>
      <c r="C49" s="934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7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4"/>
      <c r="D51" s="100"/>
      <c r="E51" s="564">
        <f t="shared" si="3"/>
        <v>37</v>
      </c>
    </row>
    <row r="52" spans="1:5" ht="16" thickBot="1">
      <c r="A52" s="563">
        <f t="shared" si="2"/>
        <v>38</v>
      </c>
      <c r="B52" s="830" t="str">
        <f>B27</f>
        <v>Total Annual Costs</v>
      </c>
      <c r="C52" s="593">
        <f>C48*C50</f>
        <v>991.92973552803846</v>
      </c>
      <c r="D52" s="93" t="str">
        <f>"Line "&amp;A48&amp;" x Line "&amp;A50</f>
        <v>Line 34 x Line 36</v>
      </c>
      <c r="E52" s="564">
        <f t="shared" si="3"/>
        <v>38</v>
      </c>
    </row>
    <row r="53" spans="1:5" ht="16.5" thickTop="1" thickBot="1">
      <c r="A53" s="563">
        <f t="shared" si="2"/>
        <v>39</v>
      </c>
      <c r="B53" s="935"/>
      <c r="C53" s="24"/>
      <c r="D53" s="101"/>
      <c r="E53" s="564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10" orientation="portrait" r:id="rId1"/>
  <headerFooter scaleWithDoc="0">
    <oddFooter>&amp;C&amp;"Times New Roman,Regular"&amp;10Section 4
Cycle 6 Invoice Summary</oddFooter>
  </headerFooter>
  <customProperties>
    <customPr name="_pios_id" r:id="rId2"/>
  </customPropertie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/>
  </sheetViews>
  <sheetFormatPr defaultColWidth="8.6328125" defaultRowHeight="15.5"/>
  <cols>
    <col min="1" max="1" width="28.6328125" style="13" customWidth="1"/>
    <col min="2" max="2" width="14.08984375" style="13" customWidth="1"/>
    <col min="3" max="3" width="29.54296875" style="13" customWidth="1"/>
    <col min="4" max="4" width="17.36328125" style="13" customWidth="1"/>
    <col min="5" max="16384" width="8.6328125" style="13"/>
  </cols>
  <sheetData>
    <row r="1" spans="1:3">
      <c r="A1" s="139" t="s">
        <v>882</v>
      </c>
      <c r="B1" s="138">
        <v>5</v>
      </c>
      <c r="C1" s="138"/>
    </row>
    <row r="2" spans="1:3">
      <c r="A2" s="139" t="s">
        <v>883</v>
      </c>
      <c r="B2" s="138">
        <v>7</v>
      </c>
      <c r="C2" s="138"/>
    </row>
    <row r="3" spans="1:3">
      <c r="A3" s="139" t="s">
        <v>884</v>
      </c>
      <c r="B3" s="138">
        <v>2023</v>
      </c>
      <c r="C3" s="138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zoomScale="80" zoomScaleNormal="80" workbookViewId="0"/>
  </sheetViews>
  <sheetFormatPr defaultColWidth="8.6328125" defaultRowHeight="15.5"/>
  <cols>
    <col min="1" max="1" width="5.08984375" style="247" customWidth="1"/>
    <col min="2" max="2" width="73.08984375" style="3" bestFit="1" customWidth="1"/>
    <col min="3" max="3" width="14.6328125" style="3" customWidth="1"/>
    <col min="4" max="4" width="51.36328125" style="3" bestFit="1" customWidth="1"/>
    <col min="5" max="5" width="5.08984375" style="247" customWidth="1"/>
    <col min="6" max="16384" width="8.6328125" style="3"/>
  </cols>
  <sheetData>
    <row r="1" spans="1:7">
      <c r="A1" s="1213"/>
      <c r="B1" s="77"/>
      <c r="C1" s="77"/>
      <c r="D1" s="77"/>
      <c r="E1" s="1213"/>
    </row>
    <row r="2" spans="1:7">
      <c r="A2" s="1213"/>
      <c r="B2" s="1277" t="s">
        <v>0</v>
      </c>
      <c r="C2" s="1277"/>
      <c r="D2" s="1277"/>
      <c r="E2" s="77"/>
    </row>
    <row r="3" spans="1:7">
      <c r="B3" s="1277" t="s">
        <v>1</v>
      </c>
      <c r="C3" s="1277"/>
      <c r="D3" s="1277"/>
      <c r="E3" s="109"/>
    </row>
    <row r="4" spans="1:7">
      <c r="B4" s="1277" t="s">
        <v>2</v>
      </c>
      <c r="C4" s="1277"/>
      <c r="D4" s="1277"/>
      <c r="E4" s="109"/>
    </row>
    <row r="5" spans="1:7">
      <c r="A5" s="1213"/>
      <c r="B5" s="1276" t="s">
        <v>1025</v>
      </c>
      <c r="C5" s="1276"/>
      <c r="D5" s="1276"/>
      <c r="E5" s="1213"/>
    </row>
    <row r="6" spans="1:7">
      <c r="B6" s="1278" t="s">
        <v>3</v>
      </c>
      <c r="C6" s="1277"/>
      <c r="D6" s="1277"/>
      <c r="E6" s="109"/>
    </row>
    <row r="7" spans="1:7" ht="16" thickBot="1">
      <c r="A7" s="1213"/>
      <c r="B7" s="77"/>
      <c r="C7" s="63"/>
      <c r="D7" s="63"/>
      <c r="E7" s="1213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5" t="s">
        <v>6</v>
      </c>
      <c r="C9" s="955" t="s">
        <v>7</v>
      </c>
      <c r="D9" s="956" t="s">
        <v>8</v>
      </c>
      <c r="E9" s="564" t="s">
        <v>5</v>
      </c>
    </row>
    <row r="10" spans="1:7">
      <c r="A10" s="563"/>
      <c r="B10" s="929"/>
      <c r="C10" s="56"/>
      <c r="D10" s="88"/>
      <c r="E10" s="564"/>
    </row>
    <row r="11" spans="1:7">
      <c r="A11" s="563">
        <v>1</v>
      </c>
      <c r="B11" s="848" t="s">
        <v>9</v>
      </c>
      <c r="C11" s="595">
        <v>0</v>
      </c>
      <c r="D11" s="89" t="s">
        <v>902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v>930.24523814935469</v>
      </c>
      <c r="D13" s="89" t="s">
        <v>903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4">
        <v>-57.529156544946602</v>
      </c>
      <c r="D15" s="658" t="s">
        <v>904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9">
      <c r="A17" s="563">
        <f t="shared" si="0"/>
        <v>7</v>
      </c>
      <c r="B17" s="830" t="s">
        <v>12</v>
      </c>
      <c r="C17" s="899">
        <f>C11+C13+C15</f>
        <v>872.71608160440815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9">
      <c r="A18" s="563">
        <f t="shared" si="0"/>
        <v>8</v>
      </c>
      <c r="B18" s="87"/>
      <c r="C18" s="596"/>
      <c r="D18" s="91"/>
      <c r="E18" s="564">
        <f t="shared" si="1"/>
        <v>8</v>
      </c>
    </row>
    <row r="19" spans="1:9">
      <c r="A19" s="563">
        <f t="shared" si="0"/>
        <v>9</v>
      </c>
      <c r="B19" s="848" t="s">
        <v>13</v>
      </c>
      <c r="C19" s="660">
        <v>25.687464607457734</v>
      </c>
      <c r="D19" s="658" t="s">
        <v>905</v>
      </c>
      <c r="E19" s="564">
        <f t="shared" si="1"/>
        <v>9</v>
      </c>
    </row>
    <row r="20" spans="1:9">
      <c r="A20" s="563">
        <f t="shared" si="0"/>
        <v>10</v>
      </c>
      <c r="B20" s="848"/>
      <c r="C20" s="596"/>
      <c r="D20" s="92"/>
      <c r="E20" s="564">
        <f t="shared" si="1"/>
        <v>10</v>
      </c>
    </row>
    <row r="21" spans="1:9">
      <c r="A21" s="563">
        <f t="shared" si="0"/>
        <v>11</v>
      </c>
      <c r="B21" s="848" t="s">
        <v>14</v>
      </c>
      <c r="C21" s="1094">
        <v>-6.9126708186344317</v>
      </c>
      <c r="D21" s="94" t="s">
        <v>906</v>
      </c>
      <c r="E21" s="564">
        <f t="shared" si="1"/>
        <v>11</v>
      </c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</f>
        <v>891.49087539323148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9">
      <c r="A24" s="563">
        <f t="shared" si="0"/>
        <v>14</v>
      </c>
      <c r="B24" s="793"/>
      <c r="C24" s="178"/>
      <c r="D24" s="94"/>
      <c r="E24" s="564">
        <f t="shared" si="1"/>
        <v>14</v>
      </c>
      <c r="G24" s="702"/>
    </row>
    <row r="25" spans="1:9">
      <c r="A25" s="563">
        <f t="shared" si="0"/>
        <v>15</v>
      </c>
      <c r="B25" s="17" t="s">
        <v>16</v>
      </c>
      <c r="C25" s="1095">
        <v>-0.11252338032306822</v>
      </c>
      <c r="D25" s="94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30"/>
      <c r="D26" s="93"/>
      <c r="E26" s="564">
        <f t="shared" si="1"/>
        <v>16</v>
      </c>
    </row>
    <row r="27" spans="1:9" ht="16" thickBot="1">
      <c r="A27" s="563">
        <f t="shared" si="0"/>
        <v>17</v>
      </c>
      <c r="B27" s="830" t="s">
        <v>18</v>
      </c>
      <c r="C27" s="598">
        <f>C23+C25</f>
        <v>891.37835201290841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6.5" thickTop="1" thickBot="1">
      <c r="A28" s="563">
        <f t="shared" si="0"/>
        <v>18</v>
      </c>
      <c r="B28" s="931"/>
      <c r="C28" s="931"/>
      <c r="D28" s="96"/>
      <c r="E28" s="564">
        <f t="shared" si="1"/>
        <v>18</v>
      </c>
    </row>
    <row r="30" spans="1:9" ht="16" thickBot="1">
      <c r="A30" s="1213"/>
      <c r="B30" s="385"/>
      <c r="C30" s="933"/>
      <c r="D30" s="933"/>
      <c r="E30" s="1213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5" t="s">
        <v>19</v>
      </c>
      <c r="C32" s="955" t="str">
        <f>C9</f>
        <v>Amounts</v>
      </c>
      <c r="D32" s="956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77.520436512446224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6">
        <f>C15/12</f>
        <v>-4.7940963787455502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72.726340133700674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2.1406220506214777</v>
      </c>
      <c r="D42" s="89" t="str">
        <f>"Line "&amp;A19&amp;" / "&amp;C50&amp;" Months"</f>
        <v>Line 9 / 12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-0.57605590155286934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6">
        <f>C25/12</f>
        <v>-9.3769483602556842E-3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" thickBot="1">
      <c r="A48" s="563">
        <f t="shared" si="2"/>
        <v>34</v>
      </c>
      <c r="B48" s="57" t="s">
        <v>21</v>
      </c>
      <c r="C48" s="849">
        <f>C40+C42+C44+C46</f>
        <v>74.281529334409029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" thickTop="1">
      <c r="A49" s="563">
        <f t="shared" si="2"/>
        <v>35</v>
      </c>
      <c r="B49" s="54"/>
      <c r="C49" s="934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7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4"/>
      <c r="D51" s="100"/>
      <c r="E51" s="564">
        <f t="shared" si="3"/>
        <v>37</v>
      </c>
    </row>
    <row r="52" spans="1:5" ht="16" thickBot="1">
      <c r="A52" s="563">
        <f t="shared" si="2"/>
        <v>38</v>
      </c>
      <c r="B52" s="830" t="str">
        <f>B27</f>
        <v>Total Annual Costs</v>
      </c>
      <c r="C52" s="593">
        <f>C48*C50</f>
        <v>891.37835201290841</v>
      </c>
      <c r="D52" s="93" t="str">
        <f>"Line "&amp;A48&amp;" x Line "&amp;A50</f>
        <v>Line 34 x Line 36</v>
      </c>
      <c r="E52" s="564">
        <f t="shared" si="3"/>
        <v>38</v>
      </c>
    </row>
    <row r="53" spans="1:5" ht="16.5" thickTop="1" thickBot="1">
      <c r="A53" s="563">
        <f t="shared" si="2"/>
        <v>39</v>
      </c>
      <c r="B53" s="935"/>
      <c r="C53" s="24"/>
      <c r="D53" s="101"/>
      <c r="E53" s="564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10" orientation="portrait" horizontalDpi="200" verticalDpi="200" r:id="rId1"/>
  <headerFooter scaleWithDoc="0">
    <oddFooter>&amp;C&amp;"Times New Roman,Regular"&amp;10Section 4 
Cycle 5 Invoice Summary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/>
  </sheetViews>
  <sheetFormatPr defaultColWidth="9.08984375" defaultRowHeight="15.5"/>
  <cols>
    <col min="1" max="1" width="5.08984375" style="247" customWidth="1"/>
    <col min="2" max="3" width="19.54296875" style="216" customWidth="1"/>
    <col min="4" max="5" width="20.6328125" style="216" customWidth="1"/>
    <col min="6" max="6" width="35.54296875" style="216" customWidth="1"/>
    <col min="7" max="7" width="20.6328125" style="216" customWidth="1"/>
    <col min="8" max="8" width="35.08984375" style="216" customWidth="1"/>
    <col min="9" max="9" width="5.08984375" style="247" customWidth="1"/>
    <col min="10" max="10" width="8.6328125" style="216" customWidth="1"/>
    <col min="11" max="11" width="9" style="216" customWidth="1"/>
    <col min="12" max="12" width="14" style="216" customWidth="1"/>
    <col min="13" max="13" width="13.08984375" style="216" customWidth="1"/>
    <col min="14" max="14" width="12.6328125" style="216" customWidth="1"/>
    <col min="15" max="15" width="13.54296875" style="216" customWidth="1"/>
    <col min="16" max="16" width="12.54296875" style="216" customWidth="1"/>
    <col min="17" max="16384" width="9.08984375" style="216"/>
  </cols>
  <sheetData>
    <row r="1" spans="1:13">
      <c r="M1" s="722"/>
    </row>
    <row r="2" spans="1:13">
      <c r="B2" s="1290" t="str">
        <f>'Summary of Cost Components'!B2:D2</f>
        <v>SAN DIEGO GAS &amp; ELECTRIC COMPANY</v>
      </c>
      <c r="C2" s="1290"/>
      <c r="D2" s="1290"/>
      <c r="E2" s="1290"/>
      <c r="F2" s="1290"/>
      <c r="G2" s="1290"/>
      <c r="H2" s="1290"/>
      <c r="M2" s="722"/>
    </row>
    <row r="3" spans="1:13">
      <c r="B3" s="1290" t="str">
        <f>'Summary of Cost Components'!B3:D3</f>
        <v>CITIZENS' SHARE OF THE SX-PQ UNDERGROUND LINE SEGMENT</v>
      </c>
      <c r="C3" s="1290"/>
      <c r="D3" s="1290"/>
      <c r="E3" s="1290"/>
      <c r="F3" s="1290"/>
      <c r="G3" s="1290"/>
      <c r="H3" s="1290"/>
      <c r="I3" s="551"/>
      <c r="J3" s="551"/>
      <c r="M3" s="722"/>
    </row>
    <row r="4" spans="1:13">
      <c r="B4" s="1291" t="str">
        <f>"Derivation of Interest on the 12-Month True-Up Adjustment Applicable to Citizens Cycle "&amp;Automation!B2-1</f>
        <v>Derivation of Interest on the 12-Month True-Up Adjustment Applicable to Citizens Cycle 6</v>
      </c>
      <c r="C4" s="1291"/>
      <c r="D4" s="1291"/>
      <c r="E4" s="1291"/>
      <c r="F4" s="1291"/>
      <c r="G4" s="1291"/>
      <c r="H4" s="1291"/>
      <c r="I4" s="551"/>
      <c r="J4" s="551"/>
      <c r="M4" s="722"/>
    </row>
    <row r="5" spans="1:13">
      <c r="B5" s="1292" t="str">
        <f>'D. Sec.4 - TU'!B5:N5</f>
        <v>True-Up Period - January 1, 2023 to December 31, 2023</v>
      </c>
      <c r="C5" s="1292"/>
      <c r="D5" s="1292"/>
      <c r="E5" s="1292"/>
      <c r="F5" s="1292"/>
      <c r="G5" s="1292"/>
      <c r="H5" s="1292"/>
      <c r="I5" s="551"/>
      <c r="J5" s="551"/>
      <c r="M5" s="722"/>
    </row>
    <row r="6" spans="1:13">
      <c r="B6" s="1288" t="s">
        <v>3</v>
      </c>
      <c r="C6" s="1288"/>
      <c r="D6" s="1288"/>
      <c r="E6" s="1288"/>
      <c r="F6" s="1288"/>
      <c r="G6" s="1288"/>
      <c r="H6" s="1288"/>
      <c r="I6" s="551"/>
      <c r="J6" s="551"/>
    </row>
    <row r="7" spans="1:13">
      <c r="A7" s="551"/>
      <c r="B7" s="551"/>
      <c r="C7" s="551"/>
      <c r="D7" s="551"/>
      <c r="E7" s="551"/>
      <c r="F7" s="551"/>
      <c r="G7" s="551"/>
      <c r="H7" s="551"/>
      <c r="I7" s="551"/>
      <c r="J7" s="551"/>
    </row>
    <row r="8" spans="1:13">
      <c r="A8" s="247" t="s">
        <v>4</v>
      </c>
      <c r="B8" s="551"/>
      <c r="C8" s="551"/>
      <c r="D8" s="551"/>
      <c r="E8" s="551"/>
      <c r="F8" s="551"/>
      <c r="G8" s="551"/>
      <c r="H8" s="551"/>
      <c r="I8" s="247" t="s">
        <v>4</v>
      </c>
      <c r="J8" s="551"/>
    </row>
    <row r="9" spans="1:13">
      <c r="A9" s="247" t="s">
        <v>5</v>
      </c>
      <c r="E9" s="712"/>
      <c r="I9" s="247" t="s">
        <v>5</v>
      </c>
      <c r="J9" s="481"/>
    </row>
    <row r="10" spans="1:13">
      <c r="A10" s="481"/>
      <c r="E10" s="712"/>
      <c r="I10" s="481"/>
      <c r="J10" s="481"/>
    </row>
    <row r="11" spans="1:13">
      <c r="A11" s="247">
        <v>1</v>
      </c>
      <c r="C11" s="668" t="s">
        <v>102</v>
      </c>
      <c r="D11" s="668" t="s">
        <v>103</v>
      </c>
      <c r="E11" s="668" t="s">
        <v>104</v>
      </c>
      <c r="F11" s="668" t="s">
        <v>105</v>
      </c>
      <c r="G11" s="668" t="s">
        <v>106</v>
      </c>
      <c r="H11" s="668" t="s">
        <v>107</v>
      </c>
      <c r="I11" s="247">
        <f>A11</f>
        <v>1</v>
      </c>
      <c r="J11" s="247"/>
    </row>
    <row r="12" spans="1:13">
      <c r="A12" s="247">
        <f>A11+1</f>
        <v>2</v>
      </c>
      <c r="B12" s="420" t="s">
        <v>113</v>
      </c>
      <c r="C12" s="668"/>
      <c r="D12" s="247"/>
      <c r="E12" s="247" t="str">
        <f>"See Footnote "&amp;A33</f>
        <v>See Footnote 2</v>
      </c>
      <c r="F12" s="247" t="str">
        <f>"See Footnote "&amp;A34</f>
        <v>See Footnote 3</v>
      </c>
      <c r="G12" s="412" t="str">
        <f>"See Footnote "&amp;A35</f>
        <v>See Footnote 4</v>
      </c>
      <c r="H12" s="412" t="str">
        <f>"= "&amp;F11&amp;" + "&amp;G11</f>
        <v>= Col. 4 + Col. 5</v>
      </c>
      <c r="I12" s="247">
        <f>I11+1</f>
        <v>2</v>
      </c>
      <c r="J12" s="247"/>
    </row>
    <row r="13" spans="1:13">
      <c r="A13" s="247">
        <f t="shared" ref="A13:A29" si="0">A12+1</f>
        <v>3</v>
      </c>
      <c r="C13" s="668"/>
      <c r="D13" s="668"/>
      <c r="E13" s="668"/>
      <c r="F13" s="551"/>
      <c r="G13" s="668"/>
      <c r="H13" s="668"/>
      <c r="I13" s="247">
        <f t="shared" ref="I13:I29" si="1">I12+1</f>
        <v>3</v>
      </c>
      <c r="J13" s="247"/>
    </row>
    <row r="14" spans="1:13">
      <c r="A14" s="247">
        <f t="shared" si="0"/>
        <v>4</v>
      </c>
      <c r="C14" s="551"/>
      <c r="D14" s="551" t="s">
        <v>154</v>
      </c>
      <c r="E14" s="551" t="s">
        <v>115</v>
      </c>
      <c r="F14" s="551" t="s">
        <v>155</v>
      </c>
      <c r="H14" s="551" t="s">
        <v>155</v>
      </c>
      <c r="I14" s="247">
        <f t="shared" si="1"/>
        <v>4</v>
      </c>
      <c r="J14" s="247"/>
    </row>
    <row r="15" spans="1:13">
      <c r="A15" s="247">
        <f t="shared" si="0"/>
        <v>5</v>
      </c>
      <c r="C15" s="551"/>
      <c r="D15" s="551" t="s">
        <v>156</v>
      </c>
      <c r="E15" s="551" t="s">
        <v>122</v>
      </c>
      <c r="F15" s="551" t="s">
        <v>157</v>
      </c>
      <c r="G15" s="551"/>
      <c r="H15" s="551" t="s">
        <v>157</v>
      </c>
      <c r="I15" s="247">
        <f t="shared" si="1"/>
        <v>5</v>
      </c>
      <c r="J15" s="247"/>
    </row>
    <row r="16" spans="1:13" ht="18">
      <c r="A16" s="247">
        <f t="shared" si="0"/>
        <v>6</v>
      </c>
      <c r="B16" s="669" t="s">
        <v>124</v>
      </c>
      <c r="C16" s="669" t="s">
        <v>125</v>
      </c>
      <c r="D16" s="500" t="s">
        <v>158</v>
      </c>
      <c r="E16" s="500" t="s">
        <v>83</v>
      </c>
      <c r="F16" s="500" t="s">
        <v>132</v>
      </c>
      <c r="G16" s="500" t="s">
        <v>122</v>
      </c>
      <c r="H16" s="500" t="s">
        <v>133</v>
      </c>
      <c r="I16" s="247">
        <f t="shared" si="1"/>
        <v>6</v>
      </c>
      <c r="J16" s="247"/>
    </row>
    <row r="17" spans="1:11">
      <c r="A17" s="247">
        <f t="shared" si="0"/>
        <v>7</v>
      </c>
      <c r="B17" s="18" t="s">
        <v>134</v>
      </c>
      <c r="C17" s="671" t="str">
        <f>RIGHT(B5,4)</f>
        <v>2023</v>
      </c>
      <c r="D17" s="856">
        <f>'D1. Sec.4 - C6 Invoice Summary'!$C$19</f>
        <v>91.594927477197942</v>
      </c>
      <c r="E17" s="726">
        <f>'D. Sec.4 - TU'!J19</f>
        <v>5.4000000000000003E-3</v>
      </c>
      <c r="F17" s="508">
        <f>D17</f>
        <v>91.594927477197942</v>
      </c>
      <c r="G17" s="1218">
        <f>(F17*E17)</f>
        <v>0.49461260837686893</v>
      </c>
      <c r="H17" s="508">
        <f>F17+G17</f>
        <v>92.089540085574811</v>
      </c>
      <c r="I17" s="247">
        <f t="shared" si="1"/>
        <v>7</v>
      </c>
      <c r="J17" s="247"/>
      <c r="K17" s="1222"/>
    </row>
    <row r="18" spans="1:11">
      <c r="A18" s="247">
        <f t="shared" si="0"/>
        <v>8</v>
      </c>
      <c r="B18" s="18" t="s">
        <v>135</v>
      </c>
      <c r="C18" s="671" t="str">
        <f>$C$17</f>
        <v>2023</v>
      </c>
      <c r="D18" s="678"/>
      <c r="E18" s="726">
        <f>'D. Sec.4 - TU'!J20</f>
        <v>4.7999999999999996E-3</v>
      </c>
      <c r="F18" s="715">
        <f t="shared" ref="F18:F22" si="2">H17</f>
        <v>92.089540085574811</v>
      </c>
      <c r="G18" s="1223">
        <f t="shared" ref="G18:G21" si="3">((H17+F18)/2)*E18</f>
        <v>0.44202979241075907</v>
      </c>
      <c r="H18" s="715">
        <f t="shared" ref="H18:H23" si="4">F18+G18</f>
        <v>92.531569877985575</v>
      </c>
      <c r="I18" s="247">
        <f t="shared" si="1"/>
        <v>8</v>
      </c>
      <c r="J18" s="247"/>
      <c r="K18" s="1222"/>
    </row>
    <row r="19" spans="1:11">
      <c r="A19" s="247">
        <f t="shared" si="0"/>
        <v>9</v>
      </c>
      <c r="B19" s="18" t="s">
        <v>159</v>
      </c>
      <c r="C19" s="671" t="str">
        <f t="shared" ref="C19:C28" si="5">$C$17</f>
        <v>2023</v>
      </c>
      <c r="D19" s="678"/>
      <c r="E19" s="726">
        <f>'D. Sec.4 - TU'!J21</f>
        <v>5.4000000000000003E-3</v>
      </c>
      <c r="F19" s="715">
        <f t="shared" si="2"/>
        <v>92.531569877985575</v>
      </c>
      <c r="G19" s="1223">
        <f t="shared" si="3"/>
        <v>0.49967047734112213</v>
      </c>
      <c r="H19" s="715">
        <f t="shared" si="4"/>
        <v>93.031240355326702</v>
      </c>
      <c r="I19" s="247">
        <f t="shared" si="1"/>
        <v>9</v>
      </c>
      <c r="J19" s="247"/>
      <c r="K19" s="1222"/>
    </row>
    <row r="20" spans="1:11">
      <c r="A20" s="247">
        <f t="shared" si="0"/>
        <v>10</v>
      </c>
      <c r="B20" s="18" t="s">
        <v>160</v>
      </c>
      <c r="C20" s="671" t="str">
        <f t="shared" si="5"/>
        <v>2023</v>
      </c>
      <c r="D20" s="678"/>
      <c r="E20" s="726">
        <f>'D. Sec.4 - TU'!J22</f>
        <v>6.1999999999999998E-3</v>
      </c>
      <c r="F20" s="715">
        <f t="shared" si="2"/>
        <v>93.031240355326702</v>
      </c>
      <c r="G20" s="1223">
        <f>((H19+F20)/2)*E20</f>
        <v>0.57679369020302551</v>
      </c>
      <c r="H20" s="715">
        <f t="shared" si="4"/>
        <v>93.60803404552972</v>
      </c>
      <c r="I20" s="247">
        <f t="shared" si="1"/>
        <v>10</v>
      </c>
      <c r="J20" s="247"/>
      <c r="K20" s="1222"/>
    </row>
    <row r="21" spans="1:11">
      <c r="A21" s="247">
        <f t="shared" si="0"/>
        <v>11</v>
      </c>
      <c r="B21" s="18" t="s">
        <v>161</v>
      </c>
      <c r="C21" s="671" t="str">
        <f t="shared" si="5"/>
        <v>2023</v>
      </c>
      <c r="D21" s="678"/>
      <c r="E21" s="726">
        <f>'D. Sec.4 - TU'!J23</f>
        <v>6.4000000000000003E-3</v>
      </c>
      <c r="F21" s="715">
        <f t="shared" si="2"/>
        <v>93.60803404552972</v>
      </c>
      <c r="G21" s="1223">
        <f t="shared" si="3"/>
        <v>0.5990914178913902</v>
      </c>
      <c r="H21" s="715">
        <f t="shared" si="4"/>
        <v>94.207125463421107</v>
      </c>
      <c r="I21" s="247">
        <f t="shared" si="1"/>
        <v>11</v>
      </c>
      <c r="J21" s="247"/>
      <c r="K21" s="1222"/>
    </row>
    <row r="22" spans="1:11">
      <c r="A22" s="247">
        <f t="shared" si="0"/>
        <v>12</v>
      </c>
      <c r="B22" s="18" t="s">
        <v>162</v>
      </c>
      <c r="C22" s="671" t="str">
        <f t="shared" si="5"/>
        <v>2023</v>
      </c>
      <c r="D22" s="672"/>
      <c r="E22" s="726">
        <f>'D. Sec.4 - TU'!J24</f>
        <v>6.1999999999999998E-3</v>
      </c>
      <c r="F22" s="715">
        <f t="shared" si="2"/>
        <v>94.207125463421107</v>
      </c>
      <c r="G22" s="1223">
        <f>((H21+F22)/2)*E22</f>
        <v>0.58408417787321087</v>
      </c>
      <c r="H22" s="715">
        <f t="shared" si="4"/>
        <v>94.791209641294316</v>
      </c>
      <c r="I22" s="247">
        <f t="shared" si="1"/>
        <v>12</v>
      </c>
      <c r="J22" s="247"/>
      <c r="K22" s="1222"/>
    </row>
    <row r="23" spans="1:11">
      <c r="A23" s="247">
        <f t="shared" si="0"/>
        <v>13</v>
      </c>
      <c r="B23" s="18" t="s">
        <v>163</v>
      </c>
      <c r="C23" s="671" t="str">
        <f t="shared" si="5"/>
        <v>2023</v>
      </c>
      <c r="D23" s="678"/>
      <c r="E23" s="726">
        <f>'D. Sec.4 - TU'!J25</f>
        <v>6.7999999999999996E-3</v>
      </c>
      <c r="F23" s="715">
        <f t="shared" ref="F23:F28" si="6">H22</f>
        <v>94.791209641294316</v>
      </c>
      <c r="G23" s="1223">
        <f t="shared" ref="G23:G28" si="7">((H22+F23)/2)*E23</f>
        <v>0.6445802255608013</v>
      </c>
      <c r="H23" s="715">
        <f t="shared" si="4"/>
        <v>95.435789866855117</v>
      </c>
      <c r="I23" s="247">
        <f t="shared" si="1"/>
        <v>13</v>
      </c>
      <c r="J23" s="247"/>
      <c r="K23" s="1222"/>
    </row>
    <row r="24" spans="1:11">
      <c r="A24" s="247">
        <f t="shared" si="0"/>
        <v>14</v>
      </c>
      <c r="B24" s="18" t="s">
        <v>164</v>
      </c>
      <c r="C24" s="671" t="str">
        <f t="shared" si="5"/>
        <v>2023</v>
      </c>
      <c r="D24" s="678"/>
      <c r="E24" s="726">
        <f>'D. Sec.4 - TU'!J26</f>
        <v>6.7999999999999996E-3</v>
      </c>
      <c r="F24" s="715">
        <f t="shared" si="6"/>
        <v>95.435789866855117</v>
      </c>
      <c r="G24" s="1223">
        <f t="shared" si="7"/>
        <v>0.64896337109461477</v>
      </c>
      <c r="H24" s="715">
        <f t="shared" ref="H24:H28" si="8">F24+G24</f>
        <v>96.084753237949727</v>
      </c>
      <c r="I24" s="247">
        <f t="shared" si="1"/>
        <v>14</v>
      </c>
      <c r="J24" s="247"/>
      <c r="K24" s="1222"/>
    </row>
    <row r="25" spans="1:11">
      <c r="A25" s="247">
        <f t="shared" si="0"/>
        <v>15</v>
      </c>
      <c r="B25" s="18" t="s">
        <v>165</v>
      </c>
      <c r="C25" s="671" t="str">
        <f t="shared" si="5"/>
        <v>2023</v>
      </c>
      <c r="D25" s="678"/>
      <c r="E25" s="726">
        <f>'D. Sec.4 - TU'!J27</f>
        <v>6.6E-3</v>
      </c>
      <c r="F25" s="715">
        <f t="shared" si="6"/>
        <v>96.084753237949727</v>
      </c>
      <c r="G25" s="1223">
        <f t="shared" si="7"/>
        <v>0.63415937137046818</v>
      </c>
      <c r="H25" s="715">
        <f t="shared" si="8"/>
        <v>96.718912609320199</v>
      </c>
      <c r="I25" s="247">
        <f t="shared" si="1"/>
        <v>15</v>
      </c>
      <c r="J25" s="247"/>
      <c r="K25" s="1222"/>
    </row>
    <row r="26" spans="1:11">
      <c r="A26" s="247">
        <f t="shared" si="0"/>
        <v>16</v>
      </c>
      <c r="B26" s="18" t="s">
        <v>166</v>
      </c>
      <c r="C26" s="671" t="str">
        <f t="shared" si="5"/>
        <v>2023</v>
      </c>
      <c r="D26" s="678"/>
      <c r="E26" s="726">
        <f>'D. Sec.4 - TU'!J28</f>
        <v>7.1000000000000004E-3</v>
      </c>
      <c r="F26" s="715">
        <f t="shared" si="6"/>
        <v>96.718912609320199</v>
      </c>
      <c r="G26" s="1223">
        <f t="shared" si="7"/>
        <v>0.68670427952617341</v>
      </c>
      <c r="H26" s="715">
        <f t="shared" si="8"/>
        <v>97.405616888846367</v>
      </c>
      <c r="I26" s="247">
        <f t="shared" si="1"/>
        <v>16</v>
      </c>
      <c r="J26" s="247"/>
      <c r="K26" s="1222"/>
    </row>
    <row r="27" spans="1:11">
      <c r="A27" s="247">
        <f t="shared" si="0"/>
        <v>17</v>
      </c>
      <c r="B27" s="18" t="s">
        <v>167</v>
      </c>
      <c r="C27" s="671" t="str">
        <f t="shared" si="5"/>
        <v>2023</v>
      </c>
      <c r="D27" s="678"/>
      <c r="E27" s="726">
        <f>'D. Sec.4 - TU'!J29</f>
        <v>6.8999999999999999E-3</v>
      </c>
      <c r="F27" s="715">
        <f t="shared" si="6"/>
        <v>97.405616888846367</v>
      </c>
      <c r="G27" s="1223">
        <f t="shared" si="7"/>
        <v>0.67209875653303996</v>
      </c>
      <c r="H27" s="715">
        <f t="shared" si="8"/>
        <v>98.077715645379413</v>
      </c>
      <c r="I27" s="247">
        <f t="shared" si="1"/>
        <v>17</v>
      </c>
      <c r="J27" s="247"/>
      <c r="K27" s="1222"/>
    </row>
    <row r="28" spans="1:11">
      <c r="A28" s="247">
        <f t="shared" si="0"/>
        <v>18</v>
      </c>
      <c r="B28" s="950" t="s">
        <v>168</v>
      </c>
      <c r="C28" s="951" t="str">
        <f t="shared" si="5"/>
        <v>2023</v>
      </c>
      <c r="D28" s="1101"/>
      <c r="E28" s="1102">
        <f>'D. Sec.4 - TU'!J30</f>
        <v>7.1000000000000004E-3</v>
      </c>
      <c r="F28" s="952">
        <f t="shared" si="6"/>
        <v>98.077715645379413</v>
      </c>
      <c r="G28" s="1224">
        <f t="shared" si="7"/>
        <v>0.69635178108219387</v>
      </c>
      <c r="H28" s="952">
        <f t="shared" si="8"/>
        <v>98.774067426461613</v>
      </c>
      <c r="I28" s="247">
        <f t="shared" si="1"/>
        <v>18</v>
      </c>
      <c r="J28" s="1210"/>
      <c r="K28" s="1222"/>
    </row>
    <row r="29" spans="1:11" ht="16" thickBot="1">
      <c r="A29" s="247">
        <f t="shared" si="0"/>
        <v>19</v>
      </c>
      <c r="B29" s="18"/>
      <c r="C29" s="671"/>
      <c r="D29" s="678"/>
      <c r="E29" s="492"/>
      <c r="F29" s="727"/>
      <c r="G29" s="1209">
        <f>SUM(G17:G28)</f>
        <v>7.1791399492636687</v>
      </c>
      <c r="H29" s="727"/>
      <c r="I29" s="247">
        <f t="shared" si="1"/>
        <v>19</v>
      </c>
      <c r="J29" s="247"/>
      <c r="K29" s="1222"/>
    </row>
    <row r="30" spans="1:11" ht="16" thickTop="1">
      <c r="B30" s="18"/>
      <c r="C30" s="671"/>
      <c r="D30" s="678"/>
      <c r="E30" s="492"/>
      <c r="F30" s="727"/>
      <c r="G30" s="727"/>
      <c r="H30" s="727"/>
      <c r="J30" s="247"/>
    </row>
    <row r="31" spans="1:11">
      <c r="B31" s="18"/>
      <c r="C31" s="671"/>
      <c r="D31" s="728"/>
      <c r="E31" s="678"/>
      <c r="F31" s="712"/>
      <c r="G31" s="492"/>
      <c r="H31" s="678"/>
      <c r="I31" s="729"/>
      <c r="J31" s="678"/>
    </row>
    <row r="32" spans="1:11" ht="18">
      <c r="A32" s="677">
        <v>1</v>
      </c>
      <c r="B32" s="18" t="s">
        <v>169</v>
      </c>
      <c r="C32" s="671"/>
      <c r="D32" s="728"/>
      <c r="E32" s="678"/>
      <c r="F32" s="712"/>
      <c r="G32" s="492"/>
      <c r="H32" s="678"/>
      <c r="I32" s="729"/>
      <c r="J32" s="678"/>
    </row>
    <row r="33" spans="1:10" ht="18">
      <c r="A33" s="477">
        <v>2</v>
      </c>
      <c r="B33" s="18" t="s">
        <v>150</v>
      </c>
      <c r="C33" s="671"/>
      <c r="D33" s="728"/>
      <c r="E33" s="678"/>
      <c r="F33" s="712"/>
      <c r="G33" s="492"/>
      <c r="H33" s="678"/>
      <c r="I33" s="729"/>
      <c r="J33" s="678"/>
    </row>
    <row r="34" spans="1:10" ht="18">
      <c r="A34" s="677">
        <v>3</v>
      </c>
      <c r="B34" s="216" t="s">
        <v>170</v>
      </c>
      <c r="C34" s="671"/>
      <c r="D34" s="728"/>
      <c r="E34" s="678"/>
      <c r="F34" s="712"/>
      <c r="G34" s="492"/>
      <c r="H34" s="678"/>
      <c r="I34" s="729"/>
      <c r="J34" s="678"/>
    </row>
    <row r="35" spans="1:10" ht="18">
      <c r="A35" s="677">
        <v>4</v>
      </c>
      <c r="B35" s="216" t="s">
        <v>171</v>
      </c>
    </row>
    <row r="36" spans="1:10">
      <c r="B36" s="216" t="s">
        <v>172</v>
      </c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Roman,Regular"&amp;10Section 5
Interest TU (BP)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/>
  </sheetViews>
  <sheetFormatPr defaultColWidth="9.08984375" defaultRowHeight="15.5"/>
  <cols>
    <col min="1" max="1" width="5.08984375" style="138" customWidth="1"/>
    <col min="2" max="3" width="21.36328125" style="138" customWidth="1"/>
    <col min="4" max="9" width="22" style="138" customWidth="1"/>
    <col min="10" max="10" width="5.08984375" style="104" customWidth="1"/>
    <col min="11" max="11" width="14" style="138" customWidth="1"/>
    <col min="12" max="12" width="13.08984375" style="138" customWidth="1"/>
    <col min="13" max="13" width="12.6328125" style="138" customWidth="1"/>
    <col min="14" max="14" width="13.54296875" style="138" customWidth="1"/>
    <col min="15" max="15" width="12.54296875" style="138" customWidth="1"/>
    <col min="16" max="16384" width="9.08984375" style="138"/>
  </cols>
  <sheetData>
    <row r="1" spans="1:10">
      <c r="A1" s="1088"/>
      <c r="B1" s="224"/>
      <c r="C1" s="683"/>
      <c r="D1" s="684"/>
      <c r="E1" s="685"/>
      <c r="F1" s="686"/>
      <c r="G1" s="687"/>
      <c r="H1" s="688"/>
      <c r="I1" s="688"/>
      <c r="J1" s="689"/>
    </row>
    <row r="2" spans="1:10">
      <c r="A2" s="1088"/>
      <c r="B2" s="1293" t="str">
        <f>'Summary of Cost Components'!B2:D2</f>
        <v>SAN DIEGO GAS &amp; ELECTRIC COMPANY</v>
      </c>
      <c r="C2" s="1293"/>
      <c r="D2" s="1293"/>
      <c r="E2" s="1293"/>
      <c r="F2" s="1293"/>
      <c r="G2" s="1293"/>
      <c r="H2" s="1293"/>
      <c r="I2" s="1293"/>
      <c r="J2" s="689"/>
    </row>
    <row r="3" spans="1:10">
      <c r="B3" s="1293" t="str">
        <f>'Summary of Cost Components'!B3:D3</f>
        <v>CITIZENS' SHARE OF THE SX-PQ UNDERGROUND LINE SEGMENT</v>
      </c>
      <c r="C3" s="1293"/>
      <c r="D3" s="1293"/>
      <c r="E3" s="1293"/>
      <c r="F3" s="1293"/>
      <c r="G3" s="1293"/>
      <c r="H3" s="1293"/>
      <c r="I3" s="1293"/>
      <c r="J3" s="1088"/>
    </row>
    <row r="4" spans="1:10">
      <c r="B4" s="1294" t="str">
        <f>'E. Sec.5 - Interest TU (BP)'!B4:H4</f>
        <v>Derivation of Interest on the 12-Month True-Up Adjustment Applicable to Citizens Cycle 6</v>
      </c>
      <c r="C4" s="1294"/>
      <c r="D4" s="1294"/>
      <c r="E4" s="1294"/>
      <c r="F4" s="1294"/>
      <c r="G4" s="1294"/>
      <c r="H4" s="1294"/>
      <c r="I4" s="1294"/>
      <c r="J4" s="1088"/>
    </row>
    <row r="5" spans="1:10">
      <c r="B5" s="1294" t="str">
        <f>'D. Sec.4 - TU'!B5:N5</f>
        <v>True-Up Period - January 1, 2023 to December 31, 2023</v>
      </c>
      <c r="C5" s="1294"/>
      <c r="D5" s="1294"/>
      <c r="E5" s="1294"/>
      <c r="F5" s="1294"/>
      <c r="G5" s="1294"/>
      <c r="H5" s="1294"/>
      <c r="I5" s="1294"/>
      <c r="J5" s="1088"/>
    </row>
    <row r="6" spans="1:10">
      <c r="B6" s="1295" t="s">
        <v>3</v>
      </c>
      <c r="C6" s="1295"/>
      <c r="D6" s="1295"/>
      <c r="E6" s="1295"/>
      <c r="F6" s="1295"/>
      <c r="G6" s="1295"/>
      <c r="H6" s="1295"/>
      <c r="I6" s="1295"/>
      <c r="J6" s="1088"/>
    </row>
    <row r="7" spans="1:10">
      <c r="A7" s="1088"/>
      <c r="B7" s="1088"/>
      <c r="C7" s="1088"/>
      <c r="D7" s="1088"/>
      <c r="E7" s="1088"/>
      <c r="F7" s="1088"/>
      <c r="G7" s="1088"/>
      <c r="H7" s="1088"/>
      <c r="I7" s="1088"/>
      <c r="J7" s="1088"/>
    </row>
    <row r="8" spans="1:10">
      <c r="A8" s="247" t="s">
        <v>4</v>
      </c>
      <c r="B8" s="18"/>
      <c r="C8" s="671"/>
      <c r="D8" s="680"/>
      <c r="E8" s="678"/>
      <c r="F8" s="681"/>
      <c r="G8" s="679"/>
      <c r="H8" s="682"/>
      <c r="I8" s="682"/>
      <c r="J8" s="247" t="s">
        <v>4</v>
      </c>
    </row>
    <row r="9" spans="1:10">
      <c r="A9" s="247" t="s">
        <v>5</v>
      </c>
      <c r="B9" s="18"/>
      <c r="C9" s="671"/>
      <c r="D9" s="680"/>
      <c r="E9" s="678"/>
      <c r="F9" s="681"/>
      <c r="G9" s="679"/>
      <c r="H9" s="682"/>
      <c r="I9" s="682"/>
      <c r="J9" s="247" t="s">
        <v>5</v>
      </c>
    </row>
    <row r="10" spans="1:10">
      <c r="B10" s="18"/>
      <c r="C10" s="671"/>
      <c r="D10" s="680"/>
      <c r="E10" s="678"/>
      <c r="F10" s="681"/>
      <c r="G10" s="679"/>
      <c r="H10" s="682"/>
      <c r="I10" s="682"/>
    </row>
    <row r="11" spans="1:10">
      <c r="A11" s="104">
        <v>1</v>
      </c>
      <c r="C11" s="668" t="s">
        <v>102</v>
      </c>
      <c r="D11" s="668" t="s">
        <v>103</v>
      </c>
      <c r="E11" s="668" t="s">
        <v>104</v>
      </c>
      <c r="F11" s="668" t="s">
        <v>105</v>
      </c>
      <c r="G11" s="668" t="s">
        <v>106</v>
      </c>
      <c r="H11" s="668" t="s">
        <v>107</v>
      </c>
      <c r="I11" s="668" t="s">
        <v>108</v>
      </c>
      <c r="J11" s="104">
        <f>A11</f>
        <v>1</v>
      </c>
    </row>
    <row r="12" spans="1:10">
      <c r="A12" s="104">
        <f>A11+1</f>
        <v>2</v>
      </c>
      <c r="C12" s="668"/>
      <c r="D12" s="247"/>
      <c r="E12" s="247" t="str">
        <f>"See Footnote "&amp;A34</f>
        <v>See Footnote 2</v>
      </c>
      <c r="F12" s="247" t="str">
        <f>"See Footnote "&amp;A36</f>
        <v>See Footnote 3</v>
      </c>
      <c r="G12" s="412" t="str">
        <f>"= - ("&amp;F11&amp;" + "&amp;H11&amp;")"</f>
        <v>= - (Col. 4 + Col. 6)</v>
      </c>
      <c r="H12" s="412" t="str">
        <f>"= "&amp;D11&amp;" x "&amp;E11</f>
        <v>= Col. 2 x Col. 3</v>
      </c>
      <c r="I12" s="412" t="str">
        <f>"= "&amp;E11&amp;" - "&amp;G11</f>
        <v>= Col. 3 - Col. 5</v>
      </c>
      <c r="J12" s="104">
        <f>J11+1</f>
        <v>2</v>
      </c>
    </row>
    <row r="13" spans="1:10">
      <c r="A13" s="104">
        <f t="shared" ref="A13:A30" si="0">A12+1</f>
        <v>3</v>
      </c>
      <c r="C13" s="668"/>
      <c r="D13" s="247"/>
      <c r="E13" s="247"/>
      <c r="F13" s="1088"/>
      <c r="I13" s="668"/>
      <c r="J13" s="104">
        <f t="shared" ref="J13:J30" si="1">J12+1</f>
        <v>3</v>
      </c>
    </row>
    <row r="14" spans="1:10">
      <c r="A14" s="104">
        <f t="shared" si="0"/>
        <v>4</v>
      </c>
      <c r="B14" s="18"/>
      <c r="C14" s="671"/>
      <c r="D14" s="551" t="s">
        <v>115</v>
      </c>
      <c r="E14" s="689" t="s">
        <v>124</v>
      </c>
      <c r="F14" s="1088"/>
      <c r="I14" s="690" t="s">
        <v>124</v>
      </c>
      <c r="J14" s="104">
        <f t="shared" si="1"/>
        <v>4</v>
      </c>
    </row>
    <row r="15" spans="1:10">
      <c r="A15" s="104">
        <f t="shared" si="0"/>
        <v>5</v>
      </c>
      <c r="C15" s="671"/>
      <c r="D15" s="551" t="s">
        <v>122</v>
      </c>
      <c r="E15" s="689" t="s">
        <v>173</v>
      </c>
      <c r="F15" s="1088"/>
      <c r="I15" s="690" t="s">
        <v>174</v>
      </c>
      <c r="J15" s="104">
        <f t="shared" si="1"/>
        <v>5</v>
      </c>
    </row>
    <row r="16" spans="1:10" ht="18">
      <c r="A16" s="104">
        <f t="shared" si="0"/>
        <v>6</v>
      </c>
      <c r="B16" s="669" t="s">
        <v>124</v>
      </c>
      <c r="C16" s="669" t="s">
        <v>125</v>
      </c>
      <c r="D16" s="500" t="s">
        <v>175</v>
      </c>
      <c r="E16" s="691" t="s">
        <v>176</v>
      </c>
      <c r="F16" s="670" t="s">
        <v>177</v>
      </c>
      <c r="G16" s="500" t="s">
        <v>178</v>
      </c>
      <c r="H16" s="500" t="s">
        <v>122</v>
      </c>
      <c r="I16" s="668" t="s">
        <v>176</v>
      </c>
      <c r="J16" s="104">
        <f t="shared" si="1"/>
        <v>6</v>
      </c>
    </row>
    <row r="17" spans="1:13">
      <c r="A17" s="104">
        <f t="shared" si="0"/>
        <v>7</v>
      </c>
      <c r="B17" s="18" t="s">
        <v>134</v>
      </c>
      <c r="C17" s="692">
        <f>Automation!B3+1</f>
        <v>2024</v>
      </c>
      <c r="D17" s="693">
        <f>AVERAGE('D. Sec.4 - TU'!J19:J30)</f>
        <v>6.3083333333333333E-3</v>
      </c>
      <c r="E17" s="694">
        <f>'E. Sec.5 - Interest TU (BP)'!H28</f>
        <v>98.774067426461613</v>
      </c>
      <c r="F17" s="666">
        <f>-E17/(((1+D17)^12-1)/(D17*(1+D17)^12))</f>
        <v>-8.5725754376600953</v>
      </c>
      <c r="G17" s="666">
        <f>-(F17+H17)</f>
        <v>7.9494756956448338</v>
      </c>
      <c r="H17" s="1219">
        <f>E17*D17</f>
        <v>0.62309974201526197</v>
      </c>
      <c r="I17" s="695">
        <f t="shared" ref="I17:I28" si="2">E17-G17</f>
        <v>90.824591730816778</v>
      </c>
      <c r="J17" s="104">
        <f t="shared" si="1"/>
        <v>7</v>
      </c>
    </row>
    <row r="18" spans="1:13">
      <c r="A18" s="104">
        <f t="shared" si="0"/>
        <v>8</v>
      </c>
      <c r="B18" s="18" t="s">
        <v>135</v>
      </c>
      <c r="C18" s="692">
        <f>$C$17</f>
        <v>2024</v>
      </c>
      <c r="D18" s="679">
        <f t="shared" ref="D18:D28" si="3">$D$17</f>
        <v>6.3083333333333333E-3</v>
      </c>
      <c r="E18" s="673">
        <f t="shared" ref="E18:E28" si="4">I17</f>
        <v>90.824591730816778</v>
      </c>
      <c r="F18" s="667">
        <f>-E17/(((1+D17)^12-1)/(D17*(1+D17)^12))</f>
        <v>-8.5725754376600953</v>
      </c>
      <c r="G18" s="667">
        <f t="shared" ref="G18:G28" si="5">-(F18+H18)</f>
        <v>7.9996236381581927</v>
      </c>
      <c r="H18" s="1220">
        <f t="shared" ref="H18:H28" si="6">E18*D18</f>
        <v>0.57295179950190256</v>
      </c>
      <c r="I18" s="696">
        <f t="shared" si="2"/>
        <v>82.82496809265858</v>
      </c>
      <c r="J18" s="104">
        <f t="shared" si="1"/>
        <v>8</v>
      </c>
      <c r="L18" s="697"/>
    </row>
    <row r="19" spans="1:13">
      <c r="A19" s="104">
        <f t="shared" si="0"/>
        <v>9</v>
      </c>
      <c r="B19" s="18" t="s">
        <v>159</v>
      </c>
      <c r="C19" s="692">
        <f t="shared" ref="C19:C28" si="7">$C$17</f>
        <v>2024</v>
      </c>
      <c r="D19" s="679">
        <f t="shared" si="3"/>
        <v>6.3083333333333333E-3</v>
      </c>
      <c r="E19" s="673">
        <f t="shared" si="4"/>
        <v>82.82496809265858</v>
      </c>
      <c r="F19" s="667">
        <f>-E17/(((1+D17)^12-1)/(D17*(1+D17)^12))</f>
        <v>-8.5725754376600953</v>
      </c>
      <c r="G19" s="667">
        <f t="shared" si="5"/>
        <v>8.0500879306089068</v>
      </c>
      <c r="H19" s="1220">
        <f t="shared" si="6"/>
        <v>0.52248750705118785</v>
      </c>
      <c r="I19" s="696">
        <f t="shared" si="2"/>
        <v>74.774880162049669</v>
      </c>
      <c r="J19" s="104">
        <f t="shared" si="1"/>
        <v>9</v>
      </c>
    </row>
    <row r="20" spans="1:13">
      <c r="A20" s="104">
        <f t="shared" si="0"/>
        <v>10</v>
      </c>
      <c r="B20" s="18" t="s">
        <v>160</v>
      </c>
      <c r="C20" s="692">
        <f t="shared" si="7"/>
        <v>2024</v>
      </c>
      <c r="D20" s="679">
        <f t="shared" si="3"/>
        <v>6.3083333333333333E-3</v>
      </c>
      <c r="E20" s="673">
        <f t="shared" si="4"/>
        <v>74.774880162049669</v>
      </c>
      <c r="F20" s="667">
        <f>-E17/(((1+D17)^12-1)/(D17*(1+D17)^12))</f>
        <v>-8.5725754376600953</v>
      </c>
      <c r="G20" s="667">
        <f t="shared" si="5"/>
        <v>8.1008705686378324</v>
      </c>
      <c r="H20" s="1220">
        <f t="shared" si="6"/>
        <v>0.47170486902226333</v>
      </c>
      <c r="I20" s="696">
        <f t="shared" si="2"/>
        <v>66.674009593411839</v>
      </c>
      <c r="J20" s="104">
        <f t="shared" si="1"/>
        <v>10</v>
      </c>
    </row>
    <row r="21" spans="1:13">
      <c r="A21" s="104">
        <f t="shared" si="0"/>
        <v>11</v>
      </c>
      <c r="B21" s="18" t="s">
        <v>161</v>
      </c>
      <c r="C21" s="692">
        <f t="shared" si="7"/>
        <v>2024</v>
      </c>
      <c r="D21" s="679">
        <f t="shared" si="3"/>
        <v>6.3083333333333333E-3</v>
      </c>
      <c r="E21" s="673">
        <f t="shared" si="4"/>
        <v>66.674009593411839</v>
      </c>
      <c r="F21" s="667">
        <f>-E17/(((1+D17)^12-1)/(D17*(1+D17)^12))</f>
        <v>-8.5725754376600953</v>
      </c>
      <c r="G21" s="667">
        <f t="shared" si="5"/>
        <v>8.151973560474989</v>
      </c>
      <c r="H21" s="1220">
        <f t="shared" si="6"/>
        <v>0.42060187718510633</v>
      </c>
      <c r="I21" s="696">
        <f t="shared" si="2"/>
        <v>58.522036032936853</v>
      </c>
      <c r="J21" s="104">
        <f t="shared" si="1"/>
        <v>11</v>
      </c>
    </row>
    <row r="22" spans="1:13">
      <c r="A22" s="104">
        <f t="shared" si="0"/>
        <v>12</v>
      </c>
      <c r="B22" s="18" t="s">
        <v>179</v>
      </c>
      <c r="C22" s="692">
        <f t="shared" si="7"/>
        <v>2024</v>
      </c>
      <c r="D22" s="679">
        <f t="shared" si="3"/>
        <v>6.3083333333333333E-3</v>
      </c>
      <c r="E22" s="673">
        <f t="shared" si="4"/>
        <v>58.522036032936853</v>
      </c>
      <c r="F22" s="667">
        <f>-E17/(((1+D17)^12-1)/(D17*(1+D17)^12))</f>
        <v>-8.5725754376600953</v>
      </c>
      <c r="G22" s="667">
        <f t="shared" si="5"/>
        <v>8.203398927018986</v>
      </c>
      <c r="H22" s="1220">
        <f t="shared" si="6"/>
        <v>0.36917651064110996</v>
      </c>
      <c r="I22" s="696">
        <f t="shared" si="2"/>
        <v>50.318637105917865</v>
      </c>
      <c r="J22" s="104">
        <f t="shared" si="1"/>
        <v>12</v>
      </c>
    </row>
    <row r="23" spans="1:13">
      <c r="A23" s="104">
        <f t="shared" si="0"/>
        <v>13</v>
      </c>
      <c r="B23" s="18" t="s">
        <v>163</v>
      </c>
      <c r="C23" s="692">
        <f t="shared" si="7"/>
        <v>2024</v>
      </c>
      <c r="D23" s="679">
        <f t="shared" si="3"/>
        <v>6.3083333333333333E-3</v>
      </c>
      <c r="E23" s="673">
        <f t="shared" si="4"/>
        <v>50.318637105917865</v>
      </c>
      <c r="F23" s="667">
        <f>-E17/(((1+D17)^12-1)/(D17*(1+D17)^12))</f>
        <v>-8.5725754376600953</v>
      </c>
      <c r="G23" s="667">
        <f t="shared" si="5"/>
        <v>8.2551487019169301</v>
      </c>
      <c r="H23" s="1220">
        <f t="shared" si="6"/>
        <v>0.31742673574316521</v>
      </c>
      <c r="I23" s="696">
        <f t="shared" si="2"/>
        <v>42.063488404000935</v>
      </c>
      <c r="J23" s="104">
        <f t="shared" si="1"/>
        <v>13</v>
      </c>
    </row>
    <row r="24" spans="1:13">
      <c r="A24" s="104">
        <f t="shared" si="0"/>
        <v>14</v>
      </c>
      <c r="B24" s="18" t="s">
        <v>164</v>
      </c>
      <c r="C24" s="692">
        <f t="shared" si="7"/>
        <v>2024</v>
      </c>
      <c r="D24" s="679">
        <f t="shared" si="3"/>
        <v>6.3083333333333333E-3</v>
      </c>
      <c r="E24" s="673">
        <f t="shared" si="4"/>
        <v>42.063488404000935</v>
      </c>
      <c r="F24" s="667">
        <f>-E17/(((1+D17)^12-1)/(D17*(1+D17)^12))</f>
        <v>-8.5725754376600953</v>
      </c>
      <c r="G24" s="667">
        <f t="shared" si="5"/>
        <v>8.307224931644857</v>
      </c>
      <c r="H24" s="1220">
        <f t="shared" si="6"/>
        <v>0.26535050601523924</v>
      </c>
      <c r="I24" s="696">
        <f t="shared" si="2"/>
        <v>33.756263472356082</v>
      </c>
      <c r="J24" s="104">
        <f t="shared" si="1"/>
        <v>14</v>
      </c>
    </row>
    <row r="25" spans="1:13">
      <c r="A25" s="104">
        <f t="shared" si="0"/>
        <v>15</v>
      </c>
      <c r="B25" s="18" t="s">
        <v>165</v>
      </c>
      <c r="C25" s="692">
        <f t="shared" si="7"/>
        <v>2024</v>
      </c>
      <c r="D25" s="679">
        <f t="shared" si="3"/>
        <v>6.3083333333333333E-3</v>
      </c>
      <c r="E25" s="673">
        <f t="shared" si="4"/>
        <v>33.756263472356082</v>
      </c>
      <c r="F25" s="667">
        <f>-E17/(((1+D17)^12-1)/(D17*(1+D17)^12))</f>
        <v>-8.5725754376600953</v>
      </c>
      <c r="G25" s="667">
        <f t="shared" si="5"/>
        <v>8.3596296755886499</v>
      </c>
      <c r="H25" s="1220">
        <f t="shared" si="6"/>
        <v>0.21294576207144628</v>
      </c>
      <c r="I25" s="696">
        <f t="shared" si="2"/>
        <v>25.396633796767432</v>
      </c>
      <c r="J25" s="104">
        <f t="shared" si="1"/>
        <v>15</v>
      </c>
      <c r="K25" s="698"/>
    </row>
    <row r="26" spans="1:13">
      <c r="A26" s="104">
        <f t="shared" si="0"/>
        <v>16</v>
      </c>
      <c r="B26" s="18" t="s">
        <v>166</v>
      </c>
      <c r="C26" s="692">
        <f t="shared" si="7"/>
        <v>2024</v>
      </c>
      <c r="D26" s="679">
        <f t="shared" si="3"/>
        <v>6.3083333333333333E-3</v>
      </c>
      <c r="E26" s="673">
        <f t="shared" si="4"/>
        <v>25.396633796767432</v>
      </c>
      <c r="F26" s="667">
        <f>-E17/(((1+D17)^12-1)/(D17*(1+D17)^12))</f>
        <v>-8.5725754376600953</v>
      </c>
      <c r="G26" s="667">
        <f t="shared" si="5"/>
        <v>8.4123650061254871</v>
      </c>
      <c r="H26" s="1220">
        <f t="shared" si="6"/>
        <v>0.16021043153460787</v>
      </c>
      <c r="I26" s="696">
        <f t="shared" si="2"/>
        <v>16.984268790641945</v>
      </c>
      <c r="J26" s="104">
        <f t="shared" si="1"/>
        <v>16</v>
      </c>
      <c r="K26" s="698"/>
      <c r="M26" s="675"/>
    </row>
    <row r="27" spans="1:13">
      <c r="A27" s="104">
        <f t="shared" si="0"/>
        <v>17</v>
      </c>
      <c r="B27" s="18" t="s">
        <v>167</v>
      </c>
      <c r="C27" s="692">
        <f t="shared" si="7"/>
        <v>2024</v>
      </c>
      <c r="D27" s="679">
        <f t="shared" si="3"/>
        <v>6.3083333333333333E-3</v>
      </c>
      <c r="E27" s="673">
        <f t="shared" si="4"/>
        <v>16.984268790641945</v>
      </c>
      <c r="F27" s="667">
        <f>-E17/(((1+D17)^12-1)/(D17*(1+D17)^12))</f>
        <v>-8.5725754376600953</v>
      </c>
      <c r="G27" s="667">
        <f t="shared" si="5"/>
        <v>8.4654330087057961</v>
      </c>
      <c r="H27" s="1220">
        <f t="shared" si="6"/>
        <v>0.10714242895429961</v>
      </c>
      <c r="I27" s="696">
        <f t="shared" si="2"/>
        <v>8.5188357819361489</v>
      </c>
      <c r="J27" s="104">
        <f t="shared" si="1"/>
        <v>17</v>
      </c>
      <c r="K27" s="698"/>
    </row>
    <row r="28" spans="1:13">
      <c r="A28" s="104">
        <f t="shared" si="0"/>
        <v>18</v>
      </c>
      <c r="B28" s="950" t="s">
        <v>168</v>
      </c>
      <c r="C28" s="1103">
        <f t="shared" si="7"/>
        <v>2024</v>
      </c>
      <c r="D28" s="1104">
        <f t="shared" si="3"/>
        <v>6.3083333333333333E-3</v>
      </c>
      <c r="E28" s="1105">
        <f t="shared" si="4"/>
        <v>8.5188357819361489</v>
      </c>
      <c r="F28" s="1106">
        <f>-E17/(((1+D17)^12-1)/(D17*(1+D17)^12))</f>
        <v>-8.5725754376600953</v>
      </c>
      <c r="G28" s="1106">
        <f t="shared" si="5"/>
        <v>8.5188357819357154</v>
      </c>
      <c r="H28" s="1221">
        <f t="shared" si="6"/>
        <v>5.3739655724380539E-2</v>
      </c>
      <c r="I28" s="1107">
        <f t="shared" si="2"/>
        <v>4.3343106881366111E-13</v>
      </c>
      <c r="J28" s="104">
        <f t="shared" si="1"/>
        <v>18</v>
      </c>
    </row>
    <row r="29" spans="1:13" ht="18">
      <c r="A29" s="104">
        <f t="shared" si="0"/>
        <v>19</v>
      </c>
      <c r="B29" s="224" t="s">
        <v>885</v>
      </c>
      <c r="C29" s="692"/>
      <c r="D29" s="679"/>
      <c r="E29" s="896"/>
      <c r="F29" s="897"/>
      <c r="G29" s="897"/>
      <c r="H29" s="1220">
        <f>'E. Sec.5 - Interest TU (BP)'!G29</f>
        <v>7.1791399492636687</v>
      </c>
      <c r="I29" s="898"/>
      <c r="J29" s="104">
        <f t="shared" si="1"/>
        <v>19</v>
      </c>
    </row>
    <row r="30" spans="1:13" ht="16" thickBot="1">
      <c r="A30" s="104">
        <f t="shared" si="0"/>
        <v>20</v>
      </c>
      <c r="B30" s="224" t="s">
        <v>180</v>
      </c>
      <c r="C30" s="671"/>
      <c r="D30" s="680"/>
      <c r="E30" s="699"/>
      <c r="F30" s="676"/>
      <c r="H30" s="1225">
        <f>SUM(H17:H29)</f>
        <v>11.275977774723639</v>
      </c>
      <c r="I30" s="676"/>
      <c r="J30" s="104">
        <f t="shared" si="1"/>
        <v>20</v>
      </c>
    </row>
    <row r="31" spans="1:13" ht="16" thickTop="1">
      <c r="A31" s="104"/>
    </row>
    <row r="32" spans="1:13">
      <c r="A32" s="104"/>
    </row>
    <row r="33" spans="1:2" ht="18">
      <c r="A33" s="677">
        <v>1</v>
      </c>
      <c r="B33" s="138" t="s">
        <v>181</v>
      </c>
    </row>
    <row r="34" spans="1:2" ht="18">
      <c r="A34" s="677">
        <v>2</v>
      </c>
      <c r="B34" s="138" t="s">
        <v>182</v>
      </c>
    </row>
    <row r="35" spans="1:2" ht="18">
      <c r="A35" s="677"/>
      <c r="B35" s="138" t="s">
        <v>183</v>
      </c>
    </row>
    <row r="36" spans="1:2" ht="18">
      <c r="A36" s="677">
        <v>3</v>
      </c>
      <c r="B36" s="138" t="s">
        <v>184</v>
      </c>
    </row>
    <row r="37" spans="1:2">
      <c r="B37" s="138" t="s">
        <v>185</v>
      </c>
    </row>
    <row r="38" spans="1:2" ht="18">
      <c r="A38" s="677">
        <v>4</v>
      </c>
      <c r="B38" s="138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10" orientation="landscape" r:id="rId1"/>
  <headerFooter scaleWithDoc="0">
    <oddFooter>&amp;C&amp;"Times New Roman,Regular"&amp;10Section 5
Interest TU (CY)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3a3a0556e2a07f679fa10fc3f4ab9ce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3a0fa221147707eaa3da16d0478548a6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11BA89-ED55-4C3F-975A-5A56332A7399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6fc4548d-ff52-42f9-a254-3bffe5157158"/>
    <ds:schemaRef ds:uri="http://schemas.microsoft.com/office/infopath/2007/PartnerControls"/>
    <ds:schemaRef ds:uri="d3533485-01ac-4c85-a144-d07c02817ce0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6493AC3-20CD-44E8-A402-C9A6067666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C6 Invoice Summary</vt:lpstr>
      <vt:lpstr>D2. Sec.4 - C5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Tanedo, Lolit</cp:lastModifiedBy>
  <cp:revision/>
  <cp:lastPrinted>2024-05-20T15:57:13Z</cp:lastPrinted>
  <dcterms:created xsi:type="dcterms:W3CDTF">2016-08-29T13:22:03Z</dcterms:created>
  <dcterms:modified xsi:type="dcterms:W3CDTF">2024-09-05T20:11:33Z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0x01010020AF033832634A47ACBF5D0BC7D2D682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