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Citizens/SX-PQ/Cycle 7 Annual Filing/SX-PQ Cycle 7 Oct Filing/Cost Adjustment Workpapers - Oct Filing/"/>
    </mc:Choice>
  </mc:AlternateContent>
  <xr:revisionPtr revIDLastSave="1" documentId="8_{E964839A-1EDA-4FC6-B380-B3AADC0F214C}" xr6:coauthVersionLast="47" xr6:coauthVersionMax="47" xr10:uidLastSave="{31E4E339-F67A-4F3A-8D90-918B0C39EC0C}"/>
  <bookViews>
    <workbookView xWindow="-110" yWindow="-110" windowWidth="19420" windowHeight="10420" tabRatio="722" xr2:uid="{A1AA674E-836A-4CFE-B14F-C8BAAC5651C2}"/>
  </bookViews>
  <sheets>
    <sheet name="Pg1 App XII C5 Cost Adj" sheetId="1" r:id="rId1"/>
    <sheet name="Pg2 App XII C5 Comparison" sheetId="16" r:id="rId2"/>
    <sheet name="Pg3 Rev App XII C5" sheetId="15" r:id="rId3"/>
    <sheet name="Pg4 As Filed App XII C5 FERC" sheetId="54" r:id="rId4"/>
    <sheet name="Pg5 Rev Sec.2-Non-Dir Exp" sheetId="50" r:id="rId5"/>
    <sheet name="Pg6 As Filed-Non-Dir Exp FERC" sheetId="13" r:id="rId6"/>
    <sheet name="Pg7 Rev Sec.4-TU" sheetId="51" r:id="rId7"/>
    <sheet name="Pg7.1 As Filed Sec.4-TU FERC " sheetId="12" r:id="rId8"/>
    <sheet name="Pg8 Rev Stmt AH" sheetId="48" r:id="rId9"/>
    <sheet name="Pg8.1 As Filed Stmt AH FERC Adj" sheetId="19" r:id="rId10"/>
    <sheet name="Pg8.2 Rev AH-3" sheetId="47" r:id="rId11"/>
    <sheet name="Pg8.3 As Filed AH-3 FERC Adj" sheetId="55" r:id="rId12"/>
    <sheet name="Pg9 Rev Stmt AL " sheetId="49" r:id="rId13"/>
    <sheet name="Pg9.1 As Filed Stmt AL FERC Adj" sheetId="17" r:id="rId14"/>
    <sheet name="Pg10 Rev Stmt AV" sheetId="52" r:id="rId15"/>
    <sheet name="Pg11 As Filed Stmt AV FERC Adj" sheetId="11" r:id="rId16"/>
    <sheet name="Pg12 Rev AV-4" sheetId="53" r:id="rId17"/>
    <sheet name="Pg13 As Filed AV 4 FERC Adj" sheetId="21" r:id="rId18"/>
    <sheet name="Pg14 Appendix XII C5 Int Calc" sheetId="26" r:id="rId19"/>
  </sheets>
  <definedNames>
    <definedName name="_xlnm.Print_Area" localSheetId="15">'Pg11 As Filed Stmt AV FERC Adj'!$A$2:$J$157</definedName>
    <definedName name="_xlnm.Print_Area" localSheetId="17">'Pg13 As Filed AV 4 FERC Adj'!$A$2:$F$93</definedName>
    <definedName name="_xlnm.Print_Area" localSheetId="3">'Pg4 As Filed App XII C5 FERC'!$A$2:$F$57</definedName>
    <definedName name="_xlnm.Print_Area" localSheetId="5">'Pg6 As Filed-Non-Dir Exp FERC'!$A$2:$H$104</definedName>
    <definedName name="_xlnm.Print_Area" localSheetId="7">'Pg7.1 As Filed Sec.4-TU FERC '!$A$2:$P$43</definedName>
    <definedName name="_xlnm.Print_Area" localSheetId="9">'Pg8.1 As Filed Stmt AH FERC Adj'!$A$2:$H$75</definedName>
    <definedName name="_xlnm.Print_Area" localSheetId="11">'Pg8.3 As Filed AH-3 FERC Adj'!$A$2:$O$77</definedName>
    <definedName name="_xlnm.Print_Area" localSheetId="13">'Pg9.1 As Filed Stmt AL FERC Adj'!$A$3:$J$37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47" l="1"/>
  <c r="R78" i="47" s="1"/>
  <c r="R79" i="47" s="1"/>
  <c r="B51" i="53"/>
  <c r="C70" i="47"/>
  <c r="B74" i="48"/>
  <c r="G49" i="16"/>
  <c r="G43" i="16"/>
  <c r="G18" i="16" l="1"/>
  <c r="C18" i="54"/>
  <c r="C17" i="15"/>
  <c r="C18" i="16" s="1"/>
  <c r="G14" i="16"/>
  <c r="E41" i="16"/>
  <c r="E18" i="16"/>
  <c r="C41" i="16"/>
  <c r="G26" i="16" l="1"/>
  <c r="E51" i="16"/>
  <c r="E47" i="16"/>
  <c r="E45" i="16"/>
  <c r="E43" i="16"/>
  <c r="E39" i="16"/>
  <c r="E37" i="16"/>
  <c r="E35" i="16"/>
  <c r="E26" i="16"/>
  <c r="E22" i="16"/>
  <c r="E20" i="16"/>
  <c r="E16" i="16"/>
  <c r="E14" i="16"/>
  <c r="E12" i="16"/>
  <c r="B53" i="54"/>
  <c r="C47" i="54"/>
  <c r="B47" i="54"/>
  <c r="C45" i="54"/>
  <c r="B45" i="54"/>
  <c r="B43" i="54"/>
  <c r="C39" i="54"/>
  <c r="B39" i="54"/>
  <c r="B37" i="54"/>
  <c r="E35" i="54"/>
  <c r="C35" i="54"/>
  <c r="B35" i="54"/>
  <c r="E33" i="54"/>
  <c r="C33" i="54"/>
  <c r="C43" i="54"/>
  <c r="C37" i="54"/>
  <c r="A13" i="54"/>
  <c r="A14" i="54" s="1"/>
  <c r="F12" i="54"/>
  <c r="F13" i="54" s="1"/>
  <c r="F14" i="54" s="1"/>
  <c r="F15" i="54" s="1"/>
  <c r="F16" i="54" s="1"/>
  <c r="F17" i="54" s="1"/>
  <c r="F18" i="54" s="1"/>
  <c r="F19" i="54" s="1"/>
  <c r="F20" i="54" s="1"/>
  <c r="F21" i="54" s="1"/>
  <c r="F22" i="54" s="1"/>
  <c r="F23" i="54" s="1"/>
  <c r="F24" i="54" s="1"/>
  <c r="F25" i="54" s="1"/>
  <c r="F26" i="54" s="1"/>
  <c r="F27" i="54" s="1"/>
  <c r="F28" i="54" s="1"/>
  <c r="F29" i="54" s="1"/>
  <c r="F34" i="54" s="1"/>
  <c r="F35" i="54" s="1"/>
  <c r="F36" i="54" s="1"/>
  <c r="F37" i="54" s="1"/>
  <c r="F38" i="54" s="1"/>
  <c r="F39" i="54" s="1"/>
  <c r="F40" i="54" s="1"/>
  <c r="F41" i="54" s="1"/>
  <c r="F42" i="54" s="1"/>
  <c r="F43" i="54" s="1"/>
  <c r="F44" i="54" s="1"/>
  <c r="F45" i="54" s="1"/>
  <c r="F46" i="54" s="1"/>
  <c r="F47" i="54" s="1"/>
  <c r="F48" i="54" s="1"/>
  <c r="F49" i="54" s="1"/>
  <c r="F50" i="54" s="1"/>
  <c r="F51" i="54" s="1"/>
  <c r="F52" i="54" s="1"/>
  <c r="F53" i="54" s="1"/>
  <c r="F54" i="54" s="1"/>
  <c r="B104" i="13"/>
  <c r="E91" i="13"/>
  <c r="E93" i="13"/>
  <c r="E78" i="13"/>
  <c r="E82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5" i="13"/>
  <c r="B44" i="13"/>
  <c r="B43" i="13"/>
  <c r="B42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H12" i="13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F87" i="53"/>
  <c r="C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C79" i="53"/>
  <c r="C13" i="53" s="1"/>
  <c r="F64" i="53"/>
  <c r="F63" i="53"/>
  <c r="B56" i="53"/>
  <c r="B55" i="53"/>
  <c r="B54" i="53"/>
  <c r="C46" i="53"/>
  <c r="C41" i="53"/>
  <c r="C26" i="53"/>
  <c r="C21" i="53"/>
  <c r="A12" i="53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F11" i="53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F29" i="53" s="1"/>
  <c r="F30" i="53" s="1"/>
  <c r="F31" i="53" s="1"/>
  <c r="F32" i="53" s="1"/>
  <c r="F33" i="53" s="1"/>
  <c r="F34" i="53" s="1"/>
  <c r="F35" i="53" s="1"/>
  <c r="F36" i="53" s="1"/>
  <c r="F37" i="53" s="1"/>
  <c r="F38" i="53" s="1"/>
  <c r="F39" i="53" s="1"/>
  <c r="F40" i="53" s="1"/>
  <c r="F41" i="53" s="1"/>
  <c r="F42" i="53" s="1"/>
  <c r="F43" i="53" s="1"/>
  <c r="F44" i="53" s="1"/>
  <c r="F45" i="53" s="1"/>
  <c r="F46" i="53" s="1"/>
  <c r="F47" i="53" s="1"/>
  <c r="F48" i="53" s="1"/>
  <c r="F89" i="21"/>
  <c r="C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C77" i="21"/>
  <c r="F72" i="21"/>
  <c r="F71" i="21"/>
  <c r="F70" i="21"/>
  <c r="F69" i="21"/>
  <c r="F68" i="21"/>
  <c r="C82" i="21"/>
  <c r="C15" i="21" s="1"/>
  <c r="F67" i="21"/>
  <c r="C81" i="21"/>
  <c r="C14" i="21" s="1"/>
  <c r="F66" i="21"/>
  <c r="C70" i="21"/>
  <c r="F65" i="21"/>
  <c r="B58" i="21"/>
  <c r="B57" i="21"/>
  <c r="B56" i="21"/>
  <c r="C47" i="21"/>
  <c r="C42" i="21"/>
  <c r="C33" i="21"/>
  <c r="C27" i="21"/>
  <c r="C22" i="21"/>
  <c r="F13" i="2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F49" i="21" s="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F12" i="21"/>
  <c r="E28" i="17"/>
  <c r="E26" i="17"/>
  <c r="E30" i="17" s="1"/>
  <c r="G16" i="17"/>
  <c r="G20" i="17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J12" i="17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C41" i="54" l="1"/>
  <c r="A15" i="54"/>
  <c r="A16" i="54" s="1"/>
  <c r="E37" i="54"/>
  <c r="C24" i="54"/>
  <c r="E61" i="13"/>
  <c r="E15" i="13" s="1"/>
  <c r="E66" i="13"/>
  <c r="E17" i="13" s="1"/>
  <c r="E71" i="13"/>
  <c r="E19" i="13" s="1"/>
  <c r="E56" i="13"/>
  <c r="E13" i="13" s="1"/>
  <c r="E95" i="13"/>
  <c r="E99" i="13" s="1"/>
  <c r="E101" i="13" s="1"/>
  <c r="E23" i="13" s="1"/>
  <c r="E84" i="13"/>
  <c r="E21" i="13" s="1"/>
  <c r="C81" i="53"/>
  <c r="C15" i="53" s="1"/>
  <c r="C78" i="53"/>
  <c r="C12" i="53" s="1"/>
  <c r="C75" i="53"/>
  <c r="C80" i="53"/>
  <c r="C14" i="53" s="1"/>
  <c r="C68" i="53"/>
  <c r="C83" i="21"/>
  <c r="C16" i="21" s="1"/>
  <c r="C80" i="21"/>
  <c r="C28" i="54" l="1"/>
  <c r="E24" i="16"/>
  <c r="G24" i="16" s="1"/>
  <c r="C82" i="53"/>
  <c r="A17" i="54"/>
  <c r="A18" i="54" s="1"/>
  <c r="A19" i="54" s="1"/>
  <c r="A20" i="54" s="1"/>
  <c r="E39" i="54"/>
  <c r="E25" i="13"/>
  <c r="C16" i="53"/>
  <c r="C13" i="21"/>
  <c r="C17" i="21" s="1"/>
  <c r="C37" i="21" s="1"/>
  <c r="C84" i="21"/>
  <c r="C49" i="54" l="1"/>
  <c r="E28" i="16"/>
  <c r="E43" i="54"/>
  <c r="A21" i="54"/>
  <c r="A22" i="54" s="1"/>
  <c r="E27" i="13"/>
  <c r="E29" i="13" s="1"/>
  <c r="E34" i="13" s="1"/>
  <c r="E36" i="13" s="1"/>
  <c r="C53" i="54" l="1"/>
  <c r="E53" i="16" s="1"/>
  <c r="E49" i="16"/>
  <c r="A23" i="54"/>
  <c r="A24" i="54" s="1"/>
  <c r="A25" i="54" s="1"/>
  <c r="A26" i="54" s="1"/>
  <c r="E45" i="54"/>
  <c r="E47" i="54" l="1"/>
  <c r="A27" i="54"/>
  <c r="A28" i="54" s="1"/>
  <c r="A29" i="54" s="1"/>
  <c r="A34" i="54" s="1"/>
  <c r="A35" i="54" s="1"/>
  <c r="A36" i="54" l="1"/>
  <c r="A37" i="54" s="1"/>
  <c r="A38" i="54" s="1"/>
  <c r="A39" i="54" s="1"/>
  <c r="A40" i="54" s="1"/>
  <c r="A41" i="54" s="1"/>
  <c r="A42" i="54" l="1"/>
  <c r="A43" i="54" s="1"/>
  <c r="A44" i="54" s="1"/>
  <c r="A45" i="54" s="1"/>
  <c r="A46" i="54" s="1"/>
  <c r="A47" i="54" s="1"/>
  <c r="A48" i="54" s="1"/>
  <c r="A49" i="54" s="1"/>
  <c r="E41" i="54"/>
  <c r="E49" i="54" l="1"/>
  <c r="A50" i="54"/>
  <c r="A51" i="54" s="1"/>
  <c r="A52" i="54" s="1"/>
  <c r="A53" i="54" s="1"/>
  <c r="A54" i="54" s="1"/>
  <c r="E53" i="54"/>
  <c r="H44" i="48" l="1"/>
  <c r="H45" i="48" s="1"/>
  <c r="H46" i="48" s="1"/>
  <c r="A44" i="48"/>
  <c r="A45" i="48" s="1"/>
  <c r="A46" i="48" s="1"/>
  <c r="E59" i="19" l="1"/>
  <c r="E46" i="19"/>
  <c r="E48" i="19" s="1"/>
  <c r="E50" i="19" s="1"/>
  <c r="E28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H12" i="19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H71" i="19" s="1"/>
  <c r="K26" i="47"/>
  <c r="K30" i="47" s="1"/>
  <c r="E61" i="55"/>
  <c r="E23" i="55" s="1"/>
  <c r="F23" i="55" s="1"/>
  <c r="E58" i="55"/>
  <c r="E20" i="55" s="1"/>
  <c r="F20" i="55" s="1"/>
  <c r="J20" i="55" s="1"/>
  <c r="M20" i="55" s="1"/>
  <c r="E51" i="55"/>
  <c r="E18" i="55" s="1"/>
  <c r="F18" i="55" s="1"/>
  <c r="E46" i="55"/>
  <c r="E40" i="55"/>
  <c r="E15" i="55" s="1"/>
  <c r="F15" i="55" s="1"/>
  <c r="F29" i="55"/>
  <c r="J29" i="55" s="1"/>
  <c r="M29" i="55" s="1"/>
  <c r="K27" i="55"/>
  <c r="K31" i="55" s="1"/>
  <c r="D27" i="55"/>
  <c r="D31" i="55" s="1"/>
  <c r="E25" i="55"/>
  <c r="F25" i="55" s="1"/>
  <c r="J25" i="55" s="1"/>
  <c r="M25" i="55" s="1"/>
  <c r="H24" i="55"/>
  <c r="E24" i="55"/>
  <c r="F24" i="55" s="1"/>
  <c r="J24" i="55" s="1"/>
  <c r="M24" i="55" s="1"/>
  <c r="H23" i="55"/>
  <c r="E22" i="55"/>
  <c r="F22" i="55" s="1"/>
  <c r="J22" i="55" s="1"/>
  <c r="M22" i="55" s="1"/>
  <c r="F21" i="55"/>
  <c r="J21" i="55" s="1"/>
  <c r="M21" i="55" s="1"/>
  <c r="E19" i="55"/>
  <c r="F19" i="55" s="1"/>
  <c r="J19" i="55" s="1"/>
  <c r="M19" i="55" s="1"/>
  <c r="H18" i="55"/>
  <c r="H17" i="55"/>
  <c r="F16" i="55"/>
  <c r="J16" i="55" s="1"/>
  <c r="M16" i="55" s="1"/>
  <c r="H15" i="55"/>
  <c r="F14" i="55"/>
  <c r="J14" i="55" s="1"/>
  <c r="M14" i="55" s="1"/>
  <c r="H13" i="55"/>
  <c r="E13" i="55"/>
  <c r="F13" i="55" s="1"/>
  <c r="A13" i="55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0" i="55" s="1"/>
  <c r="A71" i="55" s="1"/>
  <c r="A72" i="55" s="1"/>
  <c r="A73" i="55" s="1"/>
  <c r="A74" i="55" s="1"/>
  <c r="A75" i="55" s="1"/>
  <c r="A76" i="55" s="1"/>
  <c r="A77" i="55" s="1"/>
  <c r="O12" i="55"/>
  <c r="O13" i="55" s="1"/>
  <c r="O14" i="55" s="1"/>
  <c r="O15" i="55" s="1"/>
  <c r="O16" i="55" s="1"/>
  <c r="O17" i="55" s="1"/>
  <c r="O18" i="55" s="1"/>
  <c r="O19" i="55" s="1"/>
  <c r="O20" i="55" s="1"/>
  <c r="O21" i="55" s="1"/>
  <c r="O22" i="55" s="1"/>
  <c r="O23" i="55" s="1"/>
  <c r="O24" i="55" s="1"/>
  <c r="O25" i="55" s="1"/>
  <c r="O26" i="55" s="1"/>
  <c r="O27" i="55" s="1"/>
  <c r="O28" i="55" s="1"/>
  <c r="O29" i="55" s="1"/>
  <c r="O30" i="55" s="1"/>
  <c r="O31" i="55" s="1"/>
  <c r="O32" i="55" s="1"/>
  <c r="O33" i="55" s="1"/>
  <c r="O34" i="55" s="1"/>
  <c r="O35" i="55" s="1"/>
  <c r="O36" i="55" s="1"/>
  <c r="O37" i="55" s="1"/>
  <c r="O38" i="55" s="1"/>
  <c r="O39" i="55" s="1"/>
  <c r="O40" i="55" s="1"/>
  <c r="O41" i="55" s="1"/>
  <c r="O42" i="55" s="1"/>
  <c r="O43" i="55" s="1"/>
  <c r="O44" i="55" s="1"/>
  <c r="O45" i="55" s="1"/>
  <c r="O46" i="55" s="1"/>
  <c r="O47" i="55" s="1"/>
  <c r="O48" i="55" s="1"/>
  <c r="O49" i="55" s="1"/>
  <c r="O50" i="55" s="1"/>
  <c r="O51" i="55" s="1"/>
  <c r="O52" i="55" s="1"/>
  <c r="O53" i="55" s="1"/>
  <c r="O54" i="55" s="1"/>
  <c r="O55" i="55" s="1"/>
  <c r="O56" i="55" s="1"/>
  <c r="O57" i="55" s="1"/>
  <c r="O58" i="55" s="1"/>
  <c r="O59" i="55" s="1"/>
  <c r="O60" i="55" s="1"/>
  <c r="O61" i="55" s="1"/>
  <c r="O62" i="55" s="1"/>
  <c r="O63" i="55" s="1"/>
  <c r="O64" i="55" s="1"/>
  <c r="O65" i="55" s="1"/>
  <c r="O66" i="55" s="1"/>
  <c r="O67" i="55" s="1"/>
  <c r="O68" i="55" s="1"/>
  <c r="O69" i="55" s="1"/>
  <c r="O70" i="55" s="1"/>
  <c r="O71" i="55" s="1"/>
  <c r="O72" i="55" s="1"/>
  <c r="O73" i="55" s="1"/>
  <c r="O74" i="55" s="1"/>
  <c r="O75" i="55" s="1"/>
  <c r="O76" i="55" s="1"/>
  <c r="O77" i="55" s="1"/>
  <c r="H12" i="55"/>
  <c r="E12" i="55"/>
  <c r="J15" i="55" l="1"/>
  <c r="M15" i="55" s="1"/>
  <c r="E61" i="19"/>
  <c r="E69" i="19" s="1"/>
  <c r="E71" i="19" s="1"/>
  <c r="E51" i="19" s="1"/>
  <c r="E52" i="19" s="1"/>
  <c r="J23" i="55"/>
  <c r="M23" i="55" s="1"/>
  <c r="E67" i="55"/>
  <c r="J13" i="55"/>
  <c r="M13" i="55" s="1"/>
  <c r="H27" i="55"/>
  <c r="H31" i="55" s="1"/>
  <c r="E17" i="55"/>
  <c r="F17" i="55" s="1"/>
  <c r="J17" i="55" s="1"/>
  <c r="M17" i="55" s="1"/>
  <c r="J18" i="55"/>
  <c r="M18" i="55" s="1"/>
  <c r="F12" i="55"/>
  <c r="E27" i="55" l="1"/>
  <c r="E31" i="55" s="1"/>
  <c r="F27" i="55"/>
  <c r="F31" i="55" s="1"/>
  <c r="J12" i="55"/>
  <c r="M12" i="55" l="1"/>
  <c r="M27" i="55" s="1"/>
  <c r="M31" i="55" s="1"/>
  <c r="J27" i="55"/>
  <c r="J31" i="55" s="1"/>
  <c r="G147" i="52" l="1"/>
  <c r="B147" i="52"/>
  <c r="B146" i="52"/>
  <c r="G145" i="52"/>
  <c r="G144" i="52"/>
  <c r="B144" i="52"/>
  <c r="B143" i="52"/>
  <c r="G135" i="52"/>
  <c r="B135" i="52"/>
  <c r="B132" i="52"/>
  <c r="B131" i="52"/>
  <c r="A128" i="52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J127" i="52"/>
  <c r="J128" i="52" s="1"/>
  <c r="J129" i="52" s="1"/>
  <c r="J130" i="52" s="1"/>
  <c r="J131" i="52" s="1"/>
  <c r="J132" i="52" s="1"/>
  <c r="J133" i="52" s="1"/>
  <c r="J134" i="52" s="1"/>
  <c r="J135" i="52" s="1"/>
  <c r="J136" i="52" s="1"/>
  <c r="J137" i="52" s="1"/>
  <c r="J138" i="52" s="1"/>
  <c r="J139" i="52" s="1"/>
  <c r="J140" i="52" s="1"/>
  <c r="J141" i="52" s="1"/>
  <c r="J142" i="52" s="1"/>
  <c r="J143" i="52" s="1"/>
  <c r="J144" i="52" s="1"/>
  <c r="J145" i="52" s="1"/>
  <c r="J146" i="52" s="1"/>
  <c r="J147" i="52" s="1"/>
  <c r="J148" i="52" s="1"/>
  <c r="J149" i="52" s="1"/>
  <c r="J150" i="52" s="1"/>
  <c r="J151" i="52" s="1"/>
  <c r="J152" i="52" s="1"/>
  <c r="J153" i="52" s="1"/>
  <c r="J154" i="52" s="1"/>
  <c r="J155" i="52" s="1"/>
  <c r="J156" i="52" s="1"/>
  <c r="A127" i="52"/>
  <c r="B120" i="52"/>
  <c r="B113" i="52"/>
  <c r="G98" i="52"/>
  <c r="J82" i="52"/>
  <c r="J83" i="52" s="1"/>
  <c r="J84" i="52" s="1"/>
  <c r="J85" i="52" s="1"/>
  <c r="J86" i="52" s="1"/>
  <c r="J87" i="52" s="1"/>
  <c r="J88" i="52" s="1"/>
  <c r="J89" i="52" s="1"/>
  <c r="J90" i="52" s="1"/>
  <c r="J91" i="52" s="1"/>
  <c r="J92" i="52" s="1"/>
  <c r="J93" i="52" s="1"/>
  <c r="J94" i="52" s="1"/>
  <c r="J95" i="52" s="1"/>
  <c r="J96" i="52" s="1"/>
  <c r="J97" i="52" s="1"/>
  <c r="J98" i="52" s="1"/>
  <c r="J99" i="52" s="1"/>
  <c r="J100" i="52" s="1"/>
  <c r="J101" i="52" s="1"/>
  <c r="J102" i="52" s="1"/>
  <c r="J103" i="52" s="1"/>
  <c r="J104" i="52" s="1"/>
  <c r="J105" i="52" s="1"/>
  <c r="J106" i="52" s="1"/>
  <c r="J107" i="52" s="1"/>
  <c r="J108" i="52" s="1"/>
  <c r="J109" i="52" s="1"/>
  <c r="J110" i="52" s="1"/>
  <c r="J81" i="52"/>
  <c r="A81" i="52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B74" i="52"/>
  <c r="D63" i="52"/>
  <c r="C63" i="52"/>
  <c r="G62" i="52"/>
  <c r="G61" i="52"/>
  <c r="G65" i="52" s="1"/>
  <c r="G131" i="52" s="1"/>
  <c r="G60" i="52"/>
  <c r="E49" i="52"/>
  <c r="C48" i="52"/>
  <c r="G39" i="52"/>
  <c r="C49" i="52" s="1"/>
  <c r="G32" i="52"/>
  <c r="E48" i="52" s="1"/>
  <c r="G27" i="52"/>
  <c r="E47" i="52" s="1"/>
  <c r="G25" i="52"/>
  <c r="G17" i="52"/>
  <c r="C47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J46" i="52" s="1"/>
  <c r="J47" i="52" s="1"/>
  <c r="J48" i="52" s="1"/>
  <c r="J49" i="52" s="1"/>
  <c r="J50" i="52" s="1"/>
  <c r="J51" i="52" s="1"/>
  <c r="J52" i="52" s="1"/>
  <c r="J53" i="52" s="1"/>
  <c r="J54" i="52" s="1"/>
  <c r="J55" i="52" s="1"/>
  <c r="J56" i="52" s="1"/>
  <c r="J57" i="52" s="1"/>
  <c r="J58" i="52" s="1"/>
  <c r="J59" i="52" s="1"/>
  <c r="J60" i="52" s="1"/>
  <c r="J61" i="52" s="1"/>
  <c r="J62" i="52" s="1"/>
  <c r="J63" i="52" s="1"/>
  <c r="J64" i="52" s="1"/>
  <c r="J65" i="52" s="1"/>
  <c r="A12" i="52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J11" i="52"/>
  <c r="G30" i="51"/>
  <c r="F30" i="51"/>
  <c r="E30" i="51"/>
  <c r="H29" i="51"/>
  <c r="G29" i="51"/>
  <c r="F29" i="51"/>
  <c r="E29" i="51"/>
  <c r="G28" i="51"/>
  <c r="F28" i="51"/>
  <c r="E28" i="51"/>
  <c r="G27" i="51"/>
  <c r="H27" i="51" s="1"/>
  <c r="F27" i="51"/>
  <c r="E27" i="51"/>
  <c r="G26" i="51"/>
  <c r="F26" i="51"/>
  <c r="E26" i="51"/>
  <c r="G25" i="51"/>
  <c r="F25" i="51"/>
  <c r="H25" i="51" s="1"/>
  <c r="E25" i="51"/>
  <c r="G24" i="51"/>
  <c r="F24" i="51"/>
  <c r="E24" i="51"/>
  <c r="G23" i="51"/>
  <c r="F23" i="51"/>
  <c r="E23" i="51"/>
  <c r="H23" i="51" s="1"/>
  <c r="G22" i="51"/>
  <c r="F22" i="51"/>
  <c r="E22" i="51"/>
  <c r="H22" i="51" s="1"/>
  <c r="G21" i="51"/>
  <c r="F21" i="51"/>
  <c r="E21" i="51"/>
  <c r="H21" i="51" s="1"/>
  <c r="G20" i="51"/>
  <c r="F20" i="51"/>
  <c r="E20" i="51"/>
  <c r="H19" i="51"/>
  <c r="C19" i="51"/>
  <c r="C30" i="51" s="1"/>
  <c r="O12" i="51"/>
  <c r="M12" i="51"/>
  <c r="K12" i="51"/>
  <c r="I12" i="51"/>
  <c r="H12" i="51"/>
  <c r="Q11" i="51"/>
  <c r="Q12" i="51" s="1"/>
  <c r="Q13" i="51" s="1"/>
  <c r="Q14" i="51" s="1"/>
  <c r="Q15" i="51" s="1"/>
  <c r="Q16" i="51" s="1"/>
  <c r="Q17" i="51" s="1"/>
  <c r="Q18" i="51" s="1"/>
  <c r="Q19" i="51" s="1"/>
  <c r="Q20" i="51" s="1"/>
  <c r="Q21" i="51" s="1"/>
  <c r="Q22" i="51" s="1"/>
  <c r="Q23" i="51" s="1"/>
  <c r="Q24" i="51" s="1"/>
  <c r="Q25" i="51" s="1"/>
  <c r="Q26" i="51" s="1"/>
  <c r="Q27" i="51" s="1"/>
  <c r="Q28" i="51" s="1"/>
  <c r="Q29" i="51" s="1"/>
  <c r="Q30" i="51" s="1"/>
  <c r="Q31" i="51" s="1"/>
  <c r="A11" i="5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F12" i="51" s="1"/>
  <c r="E90" i="50"/>
  <c r="E70" i="50"/>
  <c r="E18" i="50" s="1"/>
  <c r="E65" i="50"/>
  <c r="E16" i="50" s="1"/>
  <c r="E55" i="50"/>
  <c r="E12" i="50" s="1"/>
  <c r="H52" i="50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H98" i="50" s="1"/>
  <c r="H99" i="50" s="1"/>
  <c r="H100" i="50" s="1"/>
  <c r="H51" i="50"/>
  <c r="A51" i="50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H50" i="50"/>
  <c r="B45" i="50"/>
  <c r="B44" i="50"/>
  <c r="B43" i="50"/>
  <c r="B42" i="50"/>
  <c r="B41" i="50"/>
  <c r="B38" i="50"/>
  <c r="H12" i="50"/>
  <c r="H13" i="50" s="1"/>
  <c r="H14" i="50" s="1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H11" i="50"/>
  <c r="B32" i="49"/>
  <c r="N26" i="47"/>
  <c r="N30" i="47" s="1"/>
  <c r="E45" i="48" s="1"/>
  <c r="H26" i="51" l="1"/>
  <c r="H24" i="51"/>
  <c r="H30" i="51"/>
  <c r="H28" i="51"/>
  <c r="E31" i="51"/>
  <c r="F31" i="51"/>
  <c r="G31" i="51"/>
  <c r="G137" i="52"/>
  <c r="G146" i="52" s="1"/>
  <c r="G143" i="52"/>
  <c r="C50" i="52"/>
  <c r="D48" i="52" s="1"/>
  <c r="G48" i="52" s="1"/>
  <c r="D47" i="52"/>
  <c r="G63" i="52"/>
  <c r="G154" i="52" s="1"/>
  <c r="C21" i="51"/>
  <c r="C23" i="51"/>
  <c r="C25" i="51"/>
  <c r="C27" i="51"/>
  <c r="C29" i="51"/>
  <c r="H20" i="51"/>
  <c r="H31" i="51" s="1"/>
  <c r="C20" i="51"/>
  <c r="C22" i="51"/>
  <c r="C24" i="51"/>
  <c r="C26" i="51"/>
  <c r="C28" i="51"/>
  <c r="D50" i="52" l="1"/>
  <c r="G47" i="52"/>
  <c r="G50" i="52" s="1"/>
  <c r="G108" i="52" s="1"/>
  <c r="G52" i="52"/>
  <c r="G85" i="52" s="1"/>
  <c r="G149" i="52"/>
  <c r="G152" i="52" s="1"/>
  <c r="G156" i="52" s="1"/>
  <c r="D49" i="52"/>
  <c r="G49" i="52" s="1"/>
  <c r="G97" i="52" l="1"/>
  <c r="E27" i="49" l="1"/>
  <c r="G19" i="49"/>
  <c r="G15" i="49"/>
  <c r="A12" i="49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J11" i="49"/>
  <c r="J12" i="49" s="1"/>
  <c r="J13" i="49" s="1"/>
  <c r="J14" i="49" s="1"/>
  <c r="J15" i="49" s="1"/>
  <c r="J16" i="49" s="1"/>
  <c r="J17" i="49" s="1"/>
  <c r="J18" i="49" s="1"/>
  <c r="J19" i="49" s="1"/>
  <c r="J20" i="49" s="1"/>
  <c r="J21" i="49" s="1"/>
  <c r="J22" i="49" s="1"/>
  <c r="J23" i="49" s="1"/>
  <c r="J24" i="49" s="1"/>
  <c r="J25" i="49" s="1"/>
  <c r="J26" i="49" s="1"/>
  <c r="J27" i="49" s="1"/>
  <c r="J28" i="49" s="1"/>
  <c r="J29" i="49" s="1"/>
  <c r="E61" i="47"/>
  <c r="E22" i="47" s="1"/>
  <c r="F22" i="47" s="1"/>
  <c r="E57" i="47"/>
  <c r="E19" i="47" s="1"/>
  <c r="F19" i="47" s="1"/>
  <c r="J19" i="47" s="1"/>
  <c r="E50" i="47"/>
  <c r="E17" i="47" s="1"/>
  <c r="F17" i="47" s="1"/>
  <c r="E45" i="47"/>
  <c r="E16" i="47" s="1"/>
  <c r="F16" i="47" s="1"/>
  <c r="E39" i="47"/>
  <c r="F28" i="47"/>
  <c r="J28" i="47" s="1"/>
  <c r="D26" i="47"/>
  <c r="D30" i="47" s="1"/>
  <c r="E24" i="47"/>
  <c r="F24" i="47" s="1"/>
  <c r="J24" i="47" s="1"/>
  <c r="H23" i="47"/>
  <c r="E23" i="47"/>
  <c r="F23" i="47" s="1"/>
  <c r="H22" i="47"/>
  <c r="E21" i="47"/>
  <c r="F21" i="47" s="1"/>
  <c r="J21" i="47" s="1"/>
  <c r="F20" i="47"/>
  <c r="J20" i="47" s="1"/>
  <c r="E18" i="47"/>
  <c r="F18" i="47" s="1"/>
  <c r="J18" i="47" s="1"/>
  <c r="H17" i="47"/>
  <c r="H16" i="47"/>
  <c r="F15" i="47"/>
  <c r="J15" i="47" s="1"/>
  <c r="H14" i="47"/>
  <c r="F13" i="47"/>
  <c r="J13" i="47" s="1"/>
  <c r="H12" i="47"/>
  <c r="E12" i="47"/>
  <c r="F12" i="47" s="1"/>
  <c r="A12" i="47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R11" i="47"/>
  <c r="R12" i="47" s="1"/>
  <c r="R13" i="47" s="1"/>
  <c r="R14" i="47" s="1"/>
  <c r="R15" i="47" s="1"/>
  <c r="R16" i="47" s="1"/>
  <c r="R17" i="47" s="1"/>
  <c r="R18" i="47" s="1"/>
  <c r="R19" i="47" s="1"/>
  <c r="R20" i="47" s="1"/>
  <c r="R21" i="47" s="1"/>
  <c r="R22" i="47" s="1"/>
  <c r="R23" i="47" s="1"/>
  <c r="R24" i="47" s="1"/>
  <c r="R25" i="47" s="1"/>
  <c r="R26" i="47" s="1"/>
  <c r="R27" i="47" s="1"/>
  <c r="R28" i="47" s="1"/>
  <c r="R29" i="47" s="1"/>
  <c r="R30" i="47" s="1"/>
  <c r="R31" i="47" s="1"/>
  <c r="R32" i="47" s="1"/>
  <c r="R33" i="47" s="1"/>
  <c r="R34" i="47" s="1"/>
  <c r="R35" i="47" s="1"/>
  <c r="R36" i="47" s="1"/>
  <c r="R37" i="47" s="1"/>
  <c r="R38" i="47" s="1"/>
  <c r="R39" i="47" s="1"/>
  <c r="R40" i="47" s="1"/>
  <c r="R41" i="47" s="1"/>
  <c r="R42" i="47" s="1"/>
  <c r="R43" i="47" s="1"/>
  <c r="R44" i="47" s="1"/>
  <c r="R45" i="47" s="1"/>
  <c r="R46" i="47" s="1"/>
  <c r="R47" i="47" s="1"/>
  <c r="R48" i="47" s="1"/>
  <c r="R49" i="47" s="1"/>
  <c r="R50" i="47" s="1"/>
  <c r="R51" i="47" s="1"/>
  <c r="R52" i="47" s="1"/>
  <c r="R53" i="47" s="1"/>
  <c r="R54" i="47" s="1"/>
  <c r="R55" i="47" s="1"/>
  <c r="R56" i="47" s="1"/>
  <c r="R57" i="47" s="1"/>
  <c r="H11" i="47"/>
  <c r="E11" i="47"/>
  <c r="F11" i="47" s="1"/>
  <c r="E61" i="48"/>
  <c r="E69" i="48" s="1"/>
  <c r="E59" i="48"/>
  <c r="E27" i="48"/>
  <c r="A12" i="48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H11" i="48"/>
  <c r="H12" i="48" s="1"/>
  <c r="H13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J16" i="47" l="1"/>
  <c r="M16" i="47" s="1"/>
  <c r="P16" i="47" s="1"/>
  <c r="P28" i="47"/>
  <c r="M28" i="47"/>
  <c r="H47" i="48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0" i="48" s="1"/>
  <c r="H61" i="48" s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A47" i="48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M18" i="47"/>
  <c r="P18" i="47" s="1"/>
  <c r="M21" i="47"/>
  <c r="P21" i="47" s="1"/>
  <c r="M13" i="47"/>
  <c r="P13" i="47" s="1"/>
  <c r="M19" i="47"/>
  <c r="P19" i="47" s="1"/>
  <c r="M20" i="47"/>
  <c r="P20" i="47" s="1"/>
  <c r="M15" i="47"/>
  <c r="P15" i="47" s="1"/>
  <c r="M24" i="47"/>
  <c r="P24" i="47" s="1"/>
  <c r="R58" i="47"/>
  <c r="R59" i="47" s="1"/>
  <c r="R60" i="47" s="1"/>
  <c r="R61" i="47" s="1"/>
  <c r="R62" i="47" s="1"/>
  <c r="R63" i="47" s="1"/>
  <c r="R64" i="47" s="1"/>
  <c r="R65" i="47" s="1"/>
  <c r="R66" i="47" s="1"/>
  <c r="R67" i="47" s="1"/>
  <c r="R68" i="47" s="1"/>
  <c r="R69" i="47" s="1"/>
  <c r="R70" i="47" s="1"/>
  <c r="R71" i="47" s="1"/>
  <c r="R72" i="47" s="1"/>
  <c r="R73" i="47" s="1"/>
  <c r="R74" i="47" s="1"/>
  <c r="R75" i="47" s="1"/>
  <c r="R76" i="47" s="1"/>
  <c r="J12" i="47"/>
  <c r="J17" i="47"/>
  <c r="J23" i="47"/>
  <c r="E67" i="47"/>
  <c r="H26" i="47"/>
  <c r="H30" i="47" s="1"/>
  <c r="J22" i="47"/>
  <c r="E14" i="47"/>
  <c r="F14" i="47" s="1"/>
  <c r="J14" i="47" s="1"/>
  <c r="J11" i="47"/>
  <c r="Q26" i="47"/>
  <c r="A25" i="47"/>
  <c r="A26" i="47" s="1"/>
  <c r="E71" i="48"/>
  <c r="E51" i="48" s="1"/>
  <c r="B56" i="15"/>
  <c r="B52" i="15"/>
  <c r="C46" i="15"/>
  <c r="B46" i="15"/>
  <c r="C44" i="15"/>
  <c r="B44" i="15"/>
  <c r="B42" i="15"/>
  <c r="C38" i="15"/>
  <c r="B38" i="15"/>
  <c r="B36" i="15"/>
  <c r="C34" i="15"/>
  <c r="B34" i="15"/>
  <c r="E32" i="15"/>
  <c r="C3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12" i="15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G31" i="12"/>
  <c r="F31" i="12"/>
  <c r="E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G25" i="12"/>
  <c r="F25" i="12"/>
  <c r="E25" i="12"/>
  <c r="G24" i="12"/>
  <c r="F24" i="12"/>
  <c r="E24" i="12"/>
  <c r="G23" i="12"/>
  <c r="F23" i="12"/>
  <c r="E23" i="12"/>
  <c r="G22" i="12"/>
  <c r="H22" i="12" s="1"/>
  <c r="F22" i="12"/>
  <c r="E22" i="12"/>
  <c r="G21" i="12"/>
  <c r="F21" i="12"/>
  <c r="E21" i="12"/>
  <c r="H20" i="12"/>
  <c r="C20" i="12"/>
  <c r="C31" i="12" s="1"/>
  <c r="N13" i="12"/>
  <c r="M13" i="12"/>
  <c r="K13" i="12"/>
  <c r="I13" i="12"/>
  <c r="H13" i="12"/>
  <c r="P12" i="12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F13" i="12" s="1"/>
  <c r="B103" i="50" l="1"/>
  <c r="B34" i="51"/>
  <c r="H24" i="12"/>
  <c r="M14" i="47"/>
  <c r="P14" i="47" s="1"/>
  <c r="M22" i="47"/>
  <c r="P22" i="47" s="1"/>
  <c r="M23" i="47"/>
  <c r="P23" i="47" s="1"/>
  <c r="M17" i="47"/>
  <c r="P17" i="47" s="1"/>
  <c r="M12" i="47"/>
  <c r="P12" i="47" s="1"/>
  <c r="M11" i="47"/>
  <c r="E26" i="47"/>
  <c r="E30" i="47" s="1"/>
  <c r="F26" i="47"/>
  <c r="F30" i="47" s="1"/>
  <c r="J26" i="47"/>
  <c r="J30" i="47" s="1"/>
  <c r="A27" i="47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H30" i="12"/>
  <c r="H28" i="12"/>
  <c r="H26" i="12"/>
  <c r="F32" i="12"/>
  <c r="G32" i="12"/>
  <c r="E32" i="12"/>
  <c r="H23" i="12"/>
  <c r="H25" i="12"/>
  <c r="H27" i="12"/>
  <c r="H29" i="12"/>
  <c r="H31" i="12"/>
  <c r="C22" i="12"/>
  <c r="C24" i="12"/>
  <c r="C26" i="12"/>
  <c r="C28" i="12"/>
  <c r="C30" i="12"/>
  <c r="H21" i="12"/>
  <c r="C21" i="12"/>
  <c r="C23" i="12"/>
  <c r="C25" i="12"/>
  <c r="C27" i="12"/>
  <c r="C29" i="12"/>
  <c r="M26" i="47" l="1"/>
  <c r="M30" i="47" s="1"/>
  <c r="P11" i="47"/>
  <c r="P26" i="47" s="1"/>
  <c r="P30" i="47" s="1"/>
  <c r="A58" i="47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Q30" i="47"/>
  <c r="H32" i="12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9" i="16"/>
  <c r="C35" i="16"/>
  <c r="C26" i="16"/>
  <c r="C22" i="16"/>
  <c r="C16" i="16"/>
  <c r="C12" i="16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B121" i="1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B75" i="11"/>
  <c r="D64" i="11"/>
  <c r="C64" i="11"/>
  <c r="G63" i="11"/>
  <c r="G62" i="11"/>
  <c r="G66" i="11" s="1"/>
  <c r="G132" i="11" s="1"/>
  <c r="G61" i="11"/>
  <c r="G64" i="11" s="1"/>
  <c r="G155" i="11" s="1"/>
  <c r="E50" i="11"/>
  <c r="C50" i="11"/>
  <c r="C49" i="11"/>
  <c r="G40" i="11"/>
  <c r="G33" i="11"/>
  <c r="E49" i="11" s="1"/>
  <c r="G26" i="11"/>
  <c r="G18" i="11"/>
  <c r="C48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A16" i="26" l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C51" i="11"/>
  <c r="D50" i="11" s="1"/>
  <c r="G50" i="11" s="1"/>
  <c r="G28" i="11"/>
  <c r="E48" i="11" s="1"/>
  <c r="D49" i="11"/>
  <c r="G49" i="11" s="1"/>
  <c r="G144" i="11"/>
  <c r="G138" i="11"/>
  <c r="G147" i="11" s="1"/>
  <c r="G53" i="11" l="1"/>
  <c r="G86" i="11" s="1"/>
  <c r="D48" i="11"/>
  <c r="G48" i="11" s="1"/>
  <c r="G51" i="11" s="1"/>
  <c r="G109" i="11" s="1"/>
  <c r="D51" i="11"/>
  <c r="G150" i="11"/>
  <c r="G153" i="11" s="1"/>
  <c r="G157" i="11" s="1"/>
  <c r="G98" i="11"/>
  <c r="E46" i="48" l="1"/>
  <c r="E48" i="48" s="1"/>
  <c r="E50" i="48" s="1"/>
  <c r="E52" i="48" s="1"/>
  <c r="E23" i="49" l="1"/>
  <c r="E25" i="49" s="1"/>
  <c r="E29" i="49" s="1"/>
  <c r="E58" i="50"/>
  <c r="E60" i="50" s="1"/>
  <c r="E14" i="50" s="1"/>
  <c r="G100" i="11"/>
  <c r="C31" i="53" l="1"/>
  <c r="C32" i="53" s="1"/>
  <c r="C36" i="53" s="1"/>
  <c r="G88" i="52" s="1"/>
  <c r="G91" i="52" s="1"/>
  <c r="G100" i="52" s="1"/>
  <c r="E76" i="50"/>
  <c r="E77" i="50" s="1"/>
  <c r="G92" i="11"/>
  <c r="G101" i="11" s="1"/>
  <c r="G99" i="52" l="1"/>
  <c r="G103" i="52" s="1"/>
  <c r="G106" i="52" s="1"/>
  <c r="G110" i="52" s="1"/>
  <c r="G104" i="11"/>
  <c r="G107" i="11" s="1"/>
  <c r="G111" i="11" s="1"/>
  <c r="E79" i="50"/>
  <c r="E92" i="50" l="1"/>
  <c r="E94" i="50" s="1"/>
  <c r="E98" i="50" s="1"/>
  <c r="E100" i="50" s="1"/>
  <c r="E22" i="50" s="1"/>
  <c r="E81" i="50"/>
  <c r="E83" i="50" s="1"/>
  <c r="E20" i="50" s="1"/>
  <c r="E24" i="50" l="1"/>
  <c r="E26" i="50" s="1"/>
  <c r="E28" i="50" s="1"/>
  <c r="E33" i="50" s="1"/>
  <c r="E35" i="50" s="1"/>
  <c r="C13" i="15" s="1"/>
  <c r="C36" i="15" l="1"/>
  <c r="C40" i="15" s="1"/>
  <c r="C14" i="16"/>
  <c r="D19" i="51"/>
  <c r="C37" i="16" l="1"/>
  <c r="D29" i="51"/>
  <c r="I29" i="51" s="1"/>
  <c r="D26" i="51"/>
  <c r="I26" i="51" s="1"/>
  <c r="D30" i="51"/>
  <c r="I30" i="51" s="1"/>
  <c r="D22" i="51"/>
  <c r="I22" i="51" s="1"/>
  <c r="D28" i="51"/>
  <c r="I28" i="51" s="1"/>
  <c r="D24" i="51"/>
  <c r="I24" i="51" s="1"/>
  <c r="D20" i="51"/>
  <c r="I20" i="51" s="1"/>
  <c r="I19" i="51"/>
  <c r="D27" i="51"/>
  <c r="I27" i="51" s="1"/>
  <c r="D23" i="51"/>
  <c r="I23" i="51" s="1"/>
  <c r="D21" i="51"/>
  <c r="I21" i="51" s="1"/>
  <c r="D25" i="51"/>
  <c r="I25" i="51" s="1"/>
  <c r="D23" i="12"/>
  <c r="I23" i="12" s="1"/>
  <c r="D26" i="12"/>
  <c r="I26" i="12" s="1"/>
  <c r="D28" i="12"/>
  <c r="I28" i="12" s="1"/>
  <c r="D21" i="12"/>
  <c r="D31" i="12"/>
  <c r="I31" i="12" s="1"/>
  <c r="D25" i="12"/>
  <c r="I25" i="12" s="1"/>
  <c r="I20" i="12"/>
  <c r="D30" i="12"/>
  <c r="I30" i="12" s="1"/>
  <c r="D27" i="12"/>
  <c r="I27" i="12" s="1"/>
  <c r="D24" i="12"/>
  <c r="I24" i="12" s="1"/>
  <c r="D29" i="12"/>
  <c r="I29" i="12" s="1"/>
  <c r="D22" i="12"/>
  <c r="I22" i="12" s="1"/>
  <c r="D31" i="51" l="1"/>
  <c r="M20" i="12"/>
  <c r="K20" i="12"/>
  <c r="K19" i="51"/>
  <c r="M19" i="51"/>
  <c r="I31" i="51"/>
  <c r="I21" i="12"/>
  <c r="I32" i="12" s="1"/>
  <c r="D32" i="12"/>
  <c r="N20" i="12" l="1"/>
  <c r="O19" i="51"/>
  <c r="K20" i="51" l="1"/>
  <c r="M20" i="51" s="1"/>
  <c r="O20" i="51" s="1"/>
  <c r="K21" i="12"/>
  <c r="M21" i="12" s="1"/>
  <c r="N21" i="12" s="1"/>
  <c r="K22" i="12" s="1"/>
  <c r="M22" i="12" s="1"/>
  <c r="N22" i="12" s="1"/>
  <c r="K23" i="12" l="1"/>
  <c r="M23" i="12" s="1"/>
  <c r="N23" i="12" s="1"/>
  <c r="K24" i="12" s="1"/>
  <c r="M24" i="12" s="1"/>
  <c r="N24" i="12" s="1"/>
  <c r="K21" i="51"/>
  <c r="M21" i="51" s="1"/>
  <c r="K25" i="12" l="1"/>
  <c r="M25" i="12"/>
  <c r="N25" i="12" s="1"/>
  <c r="K26" i="12" s="1"/>
  <c r="O21" i="51"/>
  <c r="K22" i="51" s="1"/>
  <c r="M26" i="12" l="1"/>
  <c r="N26" i="12" s="1"/>
  <c r="K27" i="12" s="1"/>
  <c r="M27" i="12" s="1"/>
  <c r="N27" i="12" s="1"/>
  <c r="M22" i="51"/>
  <c r="O22" i="51" s="1"/>
  <c r="K23" i="51" l="1"/>
  <c r="M23" i="51" s="1"/>
  <c r="O23" i="51" s="1"/>
  <c r="K28" i="12"/>
  <c r="M28" i="12" s="1"/>
  <c r="N28" i="12" s="1"/>
  <c r="K24" i="51" l="1"/>
  <c r="K29" i="12"/>
  <c r="M29" i="12" s="1"/>
  <c r="N29" i="12" s="1"/>
  <c r="M24" i="51" l="1"/>
  <c r="O24" i="51" s="1"/>
  <c r="K30" i="12"/>
  <c r="M30" i="12" s="1"/>
  <c r="N30" i="12" s="1"/>
  <c r="E32" i="16"/>
  <c r="C32" i="16"/>
  <c r="K25" i="51" l="1"/>
  <c r="M25" i="51" s="1"/>
  <c r="O25" i="51" s="1"/>
  <c r="K31" i="12"/>
  <c r="M31" i="12" s="1"/>
  <c r="M32" i="12" s="1"/>
  <c r="G51" i="16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K26" i="51" l="1"/>
  <c r="M26" i="51" s="1"/>
  <c r="O26" i="51" s="1"/>
  <c r="N31" i="12"/>
  <c r="G47" i="16"/>
  <c r="G45" i="16"/>
  <c r="G39" i="16"/>
  <c r="G12" i="16"/>
  <c r="G22" i="16"/>
  <c r="G16" i="16"/>
  <c r="A15" i="16"/>
  <c r="A16" i="16" s="1"/>
  <c r="K27" i="51" l="1"/>
  <c r="G37" i="16"/>
  <c r="G35" i="16"/>
  <c r="A17" i="16"/>
  <c r="A18" i="16" s="1"/>
  <c r="H18" i="16"/>
  <c r="M27" i="51" l="1"/>
  <c r="O27" i="51" s="1"/>
  <c r="G41" i="16"/>
  <c r="A19" i="16"/>
  <c r="A20" i="16" s="1"/>
  <c r="K28" i="51" l="1"/>
  <c r="A21" i="16"/>
  <c r="A22" i="16" s="1"/>
  <c r="H24" i="16" s="1"/>
  <c r="M28" i="51" l="1"/>
  <c r="O28" i="51" s="1"/>
  <c r="A23" i="16"/>
  <c r="A24" i="16" s="1"/>
  <c r="K29" i="51" l="1"/>
  <c r="M29" i="51" s="1"/>
  <c r="A25" i="16"/>
  <c r="A26" i="16" s="1"/>
  <c r="O29" i="51" l="1"/>
  <c r="A27" i="16"/>
  <c r="A28" i="16" s="1"/>
  <c r="A29" i="16" s="1"/>
  <c r="A34" i="16" s="1"/>
  <c r="A35" i="16" s="1"/>
  <c r="H28" i="16"/>
  <c r="K30" i="51" l="1"/>
  <c r="A36" i="16"/>
  <c r="A37" i="16" s="1"/>
  <c r="A38" i="16" s="1"/>
  <c r="A39" i="16" s="1"/>
  <c r="A40" i="16" s="1"/>
  <c r="A41" i="16" s="1"/>
  <c r="M30" i="51" l="1"/>
  <c r="M31" i="51" s="1"/>
  <c r="A42" i="16"/>
  <c r="A43" i="16" s="1"/>
  <c r="A44" i="16" s="1"/>
  <c r="A45" i="16" s="1"/>
  <c r="A46" i="16" s="1"/>
  <c r="A47" i="16" s="1"/>
  <c r="A48" i="16" s="1"/>
  <c r="A49" i="16" s="1"/>
  <c r="H41" i="16"/>
  <c r="O30" i="51" l="1"/>
  <c r="C19" i="15" s="1"/>
  <c r="A50" i="16"/>
  <c r="A51" i="16" s="1"/>
  <c r="A52" i="16" s="1"/>
  <c r="A53" i="16" s="1"/>
  <c r="A54" i="16" s="1"/>
  <c r="H49" i="16"/>
  <c r="C23" i="15" l="1"/>
  <c r="C42" i="15"/>
  <c r="C43" i="16" s="1"/>
  <c r="C20" i="16"/>
  <c r="C27" i="15" l="1"/>
  <c r="C24" i="16"/>
  <c r="G20" i="16"/>
  <c r="C48" i="15" l="1"/>
  <c r="C28" i="16"/>
  <c r="G28" i="16" s="1"/>
  <c r="D13" i="1" s="1"/>
  <c r="C52" i="15" l="1"/>
  <c r="C53" i="16" s="1"/>
  <c r="G53" i="16" s="1"/>
  <c r="D16" i="26" s="1"/>
  <c r="D25" i="26" s="1"/>
  <c r="C49" i="16"/>
  <c r="D24" i="26"/>
  <c r="D22" i="26" l="1"/>
  <c r="D20" i="26"/>
  <c r="F16" i="26"/>
  <c r="D21" i="26"/>
  <c r="D26" i="26"/>
  <c r="D64" i="26" s="1"/>
  <c r="D17" i="26"/>
  <c r="D23" i="26"/>
  <c r="G16" i="26"/>
  <c r="H16" i="26" s="1"/>
  <c r="F17" i="26" s="1"/>
  <c r="G17" i="26" s="1"/>
  <c r="H17" i="26" s="1"/>
  <c r="F18" i="26" s="1"/>
  <c r="G18" i="26" s="1"/>
  <c r="H18" i="26" s="1"/>
  <c r="D19" i="26"/>
  <c r="D27" i="26"/>
  <c r="D18" i="26"/>
  <c r="F19" i="26" l="1"/>
  <c r="G19" i="26" s="1"/>
  <c r="H19" i="26" s="1"/>
  <c r="F20" i="26" l="1"/>
  <c r="G20" i="26" s="1"/>
  <c r="H20" i="26" l="1"/>
  <c r="F21" i="26" l="1"/>
  <c r="G21" i="26" s="1"/>
  <c r="H21" i="26" s="1"/>
  <c r="F22" i="26" s="1"/>
  <c r="G22" i="26" l="1"/>
  <c r="H22" i="26" s="1"/>
  <c r="F23" i="26" l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H51" i="26" l="1"/>
  <c r="F52" i="26" s="1"/>
  <c r="G52" i="26" l="1"/>
  <c r="H52" i="26" s="1"/>
  <c r="F53" i="26" s="1"/>
  <c r="G53" i="26" l="1"/>
  <c r="H53" i="26" s="1"/>
  <c r="F54" i="26" s="1"/>
  <c r="G54" i="26" l="1"/>
  <c r="H54" i="26" s="1"/>
  <c r="F55" i="26" l="1"/>
  <c r="G55" i="26" s="1"/>
  <c r="H55" i="26" l="1"/>
  <c r="F56" i="26" l="1"/>
  <c r="G56" i="26" s="1"/>
  <c r="H56" i="26" s="1"/>
  <c r="F57" i="26" l="1"/>
  <c r="G57" i="26" l="1"/>
  <c r="H57" i="26" s="1"/>
  <c r="F58" i="26" l="1"/>
  <c r="G58" i="26" s="1"/>
  <c r="H58" i="26" l="1"/>
  <c r="F59" i="26" l="1"/>
  <c r="G59" i="26" s="1"/>
  <c r="H59" i="26" l="1"/>
  <c r="F60" i="26" l="1"/>
  <c r="G60" i="26" s="1"/>
  <c r="H60" i="26" s="1"/>
  <c r="F61" i="26" l="1"/>
  <c r="G61" i="26" s="1"/>
  <c r="H61" i="26" s="1"/>
  <c r="F62" i="26" l="1"/>
  <c r="G62" i="26" l="1"/>
  <c r="H62" i="26" s="1"/>
  <c r="F63" i="26" l="1"/>
  <c r="G63" i="26" s="1"/>
  <c r="G64" i="26" s="1"/>
  <c r="D15" i="1" s="1"/>
  <c r="D17" i="1" s="1"/>
  <c r="D21" i="1" s="1"/>
  <c r="H63" i="26" l="1"/>
</calcChain>
</file>

<file path=xl/sharedStrings.xml><?xml version="1.0" encoding="utf-8"?>
<sst xmlns="http://schemas.openxmlformats.org/spreadsheetml/2006/main" count="1987" uniqueCount="706">
  <si>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</si>
  <si>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</si>
  <si>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</si>
  <si>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</si>
  <si>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</si>
  <si>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</si>
  <si>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</si>
  <si>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</si>
  <si>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</si>
  <si>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</si>
  <si>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</si>
  <si>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</si>
  <si>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</si>
  <si>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</si>
  <si>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</si>
  <si>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</si>
  <si>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</si>
  <si>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</si>
  <si>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</si>
  <si>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</si>
  <si>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</si>
  <si>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</si>
  <si>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</si>
  <si>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</si>
  <si>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</si>
  <si>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</si>
  <si>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</si>
  <si>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</si>
  <si>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</si>
  <si>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</si>
  <si>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</si>
  <si>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</si>
  <si>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</si>
  <si>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</si>
  <si>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</si>
  <si>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</si>
  <si>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</si>
  <si>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</si>
  <si>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</si>
  <si>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</si>
  <si>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</si>
  <si>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</si>
  <si>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</si>
  <si>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</si>
  <si>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</si>
  <si>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</si>
  <si>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</si>
  <si>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</si>
  <si>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</si>
  <si>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</si>
  <si>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</si>
  <si>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</si>
  <si>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</si>
  <si>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</si>
  <si>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</si>
  <si>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</si>
  <si>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</si>
  <si>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</si>
  <si>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</si>
  <si>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</si>
  <si>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</si>
  <si>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</si>
  <si>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</si>
  <si>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</si>
  <si>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</si>
  <si>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</si>
  <si>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</si>
  <si>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</si>
  <si>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</si>
  <si>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</si>
  <si>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</si>
  <si>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</si>
  <si>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</si>
  <si>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</si>
  <si>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</si>
  <si>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</si>
  <si>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</si>
  <si>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</si>
  <si>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</si>
  <si>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</si>
  <si>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</si>
  <si>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</si>
  <si>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</si>
  <si>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</si>
  <si>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</si>
  <si>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</si>
  <si>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</si>
  <si>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</si>
  <si>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</si>
  <si>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</si>
  <si>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</si>
  <si>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</si>
  <si>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</si>
  <si>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</si>
  <si>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</si>
  <si>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</si>
  <si>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</si>
  <si>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</si>
  <si>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</si>
  <si>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</si>
  <si>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</si>
  <si>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</si>
  <si>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</si>
  <si>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</si>
  <si>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</si>
  <si>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</si>
  <si>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</si>
  <si>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</si>
  <si>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</si>
  <si>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</si>
  <si>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</si>
  <si>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</si>
  <si>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</si>
  <si>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</si>
  <si>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</si>
  <si>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</si>
  <si>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</si>
  <si>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</si>
  <si>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</si>
  <si>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</si>
  <si>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</si>
  <si>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</si>
  <si>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</si>
  <si>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</si>
  <si>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</si>
  <si>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</si>
  <si>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</si>
  <si>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</si>
  <si>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</si>
  <si>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</si>
  <si>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</si>
  <si>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</si>
  <si>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</si>
  <si>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</si>
  <si>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</si>
  <si>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</si>
  <si>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</si>
  <si>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</si>
  <si>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</si>
  <si>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</si>
  <si>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</si>
  <si>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</si>
  <si>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</si>
  <si>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</si>
  <si>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</si>
  <si>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</si>
  <si>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</si>
  <si>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</si>
  <si>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</si>
  <si>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</si>
  <si>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</si>
  <si>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</si>
  <si>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</si>
  <si>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</si>
  <si>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</si>
  <si>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</si>
  <si>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</si>
  <si>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</si>
  <si>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</si>
  <si>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</si>
  <si>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</si>
  <si>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</si>
  <si>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</si>
  <si>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</si>
  <si>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</si>
  <si>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</si>
  <si>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</si>
  <si>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</si>
  <si>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</si>
  <si>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</si>
  <si>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</si>
  <si>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</si>
  <si>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</si>
  <si>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</si>
  <si>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</si>
  <si>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</si>
  <si>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</si>
  <si>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</si>
  <si>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</si>
  <si>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</si>
  <si>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</si>
  <si>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</si>
  <si>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</si>
  <si>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</si>
  <si>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</si>
  <si>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</si>
  <si>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</si>
  <si>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</si>
  <si>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</si>
  <si>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</si>
  <si>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</si>
  <si>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</si>
  <si>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</si>
  <si>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</si>
  <si>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</si>
  <si>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</si>
  <si>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Adjustments to Per Book A&amp;G Expense:</t>
  </si>
  <si>
    <t xml:space="preserve"> </t>
  </si>
  <si>
    <t xml:space="preserve">   Abandoned Projects</t>
  </si>
  <si>
    <t xml:space="preserve">   CPUC energy efficiency programs</t>
  </si>
  <si>
    <t xml:space="preserve">   CPUC Intervenor Funding Expense - Transmission</t>
  </si>
  <si>
    <t xml:space="preserve">   CPUC Intervenor Funding Expense - Distribution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</si>
  <si>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</si>
  <si>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</si>
  <si>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</si>
  <si>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</si>
  <si>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</si>
  <si>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</si>
  <si>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</si>
  <si>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</si>
  <si>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</si>
  <si>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</si>
  <si>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</si>
  <si>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</si>
  <si>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</si>
  <si>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</si>
  <si>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</si>
  <si>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</si>
  <si>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</si>
  <si>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</si>
  <si>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</si>
  <si>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</si>
  <si>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</si>
  <si>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</si>
  <si>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</si>
  <si>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</si>
  <si>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</si>
  <si>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</si>
  <si>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</si>
  <si>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</si>
  <si>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</si>
  <si>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</si>
  <si>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</si>
  <si>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</si>
  <si>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</si>
  <si>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</si>
  <si>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</si>
  <si>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</si>
  <si>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</si>
  <si>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</si>
  <si>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</si>
  <si>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</si>
  <si>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</si>
  <si>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</si>
  <si>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>(a)</t>
  </si>
  <si>
    <t>(b)</t>
  </si>
  <si>
    <t xml:space="preserve">(c) = (a) - (b) </t>
  </si>
  <si>
    <t>FERC</t>
  </si>
  <si>
    <t>Total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</si>
  <si>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</si>
  <si>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</si>
  <si>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</si>
  <si>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</si>
  <si>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</si>
  <si>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</si>
  <si>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</si>
  <si>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</si>
  <si>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</si>
  <si>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</si>
  <si>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</si>
  <si>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</si>
  <si>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t>Employee Pensions &amp; Benefits</t>
  </si>
  <si>
    <t xml:space="preserve">Franchise Requirements </t>
  </si>
  <si>
    <t xml:space="preserve">Regulatory Commission Expenses  </t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</si>
  <si>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</si>
  <si>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</si>
  <si>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</si>
  <si>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</si>
  <si>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</si>
  <si>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</si>
  <si>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</si>
  <si>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</si>
  <si>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</si>
  <si>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Customer Information System</t>
  </si>
  <si>
    <t>Litigation expenses - Litigation Cost Memorandum Account (LCMA)</t>
  </si>
  <si>
    <t>CPUC Intervenor Funding Expense - Transmission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</si>
  <si>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</si>
  <si>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</si>
  <si>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</si>
  <si>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</si>
  <si>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Account 7000717, which was created to track Citizens Border East Line A&amp;G Expense.</t>
  </si>
  <si>
    <t>2</t>
  </si>
  <si>
    <t>Statement AL</t>
  </si>
  <si>
    <t>Working Capital</t>
  </si>
  <si>
    <t>Working</t>
  </si>
  <si>
    <t>13-Months</t>
  </si>
  <si>
    <t>Cash</t>
  </si>
  <si>
    <t>Average Balance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</si>
  <si>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</si>
  <si>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</si>
  <si>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</si>
  <si>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</si>
  <si>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</si>
  <si>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</si>
  <si>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</si>
  <si>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</si>
  <si>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</si>
  <si>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</si>
  <si>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</si>
  <si>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</si>
  <si>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</si>
  <si>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</si>
  <si>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</si>
  <si>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</si>
  <si>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</si>
  <si>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</si>
  <si>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</si>
  <si>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</si>
  <si>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</si>
  <si>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</si>
  <si>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</si>
  <si>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</si>
  <si>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</si>
  <si>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</si>
  <si>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</si>
  <si>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</si>
  <si>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</si>
  <si>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</si>
  <si>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</si>
  <si>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</si>
  <si>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</si>
  <si>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</si>
  <si>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</si>
  <si>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</si>
  <si>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</si>
  <si>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</si>
  <si>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</si>
  <si>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</si>
  <si>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</si>
  <si>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</si>
  <si>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</si>
  <si>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</si>
  <si>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</si>
  <si>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</si>
  <si>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</si>
  <si>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</si>
  <si>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</si>
  <si>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</si>
  <si>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</si>
  <si>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</si>
  <si>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</si>
  <si>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</si>
  <si>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</si>
  <si>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</si>
  <si>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</si>
  <si>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</si>
  <si>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</si>
  <si>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</si>
  <si>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</si>
  <si>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</si>
  <si>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</si>
  <si>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</si>
  <si>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</si>
  <si>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</si>
  <si>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</si>
  <si>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</si>
  <si>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</si>
  <si>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</si>
  <si>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</si>
  <si>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</si>
  <si>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</si>
  <si>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</si>
  <si>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</si>
  <si>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</si>
  <si>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</si>
  <si>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</si>
  <si>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</si>
  <si>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</si>
  <si>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</si>
  <si>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</si>
  <si>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</si>
  <si>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</si>
  <si>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</si>
  <si>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</si>
  <si>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</si>
  <si>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</si>
  <si>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</si>
  <si>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</si>
  <si>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</si>
  <si>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</si>
  <si>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</si>
  <si>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</si>
  <si>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</si>
  <si>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</si>
  <si>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</si>
  <si>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</si>
  <si>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</si>
  <si>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</si>
  <si>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</si>
  <si>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</si>
  <si>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</si>
  <si>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</si>
  <si>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</si>
  <si>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</si>
  <si>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</si>
  <si>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</si>
  <si>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</si>
  <si>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</si>
  <si>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</si>
  <si>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</si>
  <si>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</si>
  <si>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</si>
  <si>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</si>
  <si>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</si>
  <si>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</si>
  <si>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</si>
  <si>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</si>
  <si>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</si>
  <si>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</si>
  <si>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</si>
  <si>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</si>
  <si>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</si>
  <si>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</si>
  <si>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</si>
  <si>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</si>
  <si>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</si>
  <si>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</si>
  <si>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</si>
  <si>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</si>
  <si>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</si>
  <si>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</si>
  <si>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</si>
  <si>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</si>
  <si>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</si>
  <si>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</si>
  <si>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</si>
  <si>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</si>
  <si>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</si>
  <si>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</si>
  <si>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</si>
  <si>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</si>
  <si>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</si>
  <si>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</si>
  <si>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</si>
  <si>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</si>
  <si>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</si>
  <si>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</si>
  <si>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</si>
  <si>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</si>
  <si>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</si>
  <si>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</si>
  <si>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</si>
  <si>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</si>
  <si>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</si>
  <si>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</si>
  <si>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</si>
  <si>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</si>
  <si>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</si>
  <si>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</si>
  <si>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</si>
  <si>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</si>
  <si>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</si>
  <si>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</si>
  <si>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</si>
  <si>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</si>
  <si>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</si>
  <si>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</si>
  <si>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</si>
  <si>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</si>
  <si>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</si>
  <si>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</si>
  <si>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</si>
  <si>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</si>
  <si>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</si>
  <si>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</si>
  <si>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Addtl A&amp;G</t>
  </si>
  <si>
    <t>Posted FERC Interest rates</t>
  </si>
  <si>
    <t>CEMA/WMPMA exclusion corrections</t>
  </si>
  <si>
    <t>Pg5 Rev Section 2; Page 1; Line 25</t>
  </si>
  <si>
    <t>Pg7 Rev Section 4; Page TU; Col. 11; Line 21</t>
  </si>
  <si>
    <t>Sum Lines 20, 22, 24</t>
  </si>
  <si>
    <t>True-Up Period - January 1, 2021 to December 31, 2021</t>
  </si>
  <si>
    <t xml:space="preserve">Negative of AH-2; Line 41; Col. b </t>
  </si>
  <si>
    <t>Negative of AH-3; Line 38; Col. a</t>
  </si>
  <si>
    <t>Not Applicable to 2021 Base Period</t>
  </si>
  <si>
    <t xml:space="preserve">Negative of AH-3; Line 39; Col. a   </t>
  </si>
  <si>
    <t>Base Period &amp; True-Up Period 12 - Months Ending December 31, 2021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</si>
  <si>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</si>
  <si>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</si>
  <si>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</si>
  <si>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</si>
  <si>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</si>
  <si>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</si>
  <si>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</si>
  <si>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</si>
  <si>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</si>
  <si>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</si>
  <si>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</si>
  <si>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</si>
  <si>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</si>
  <si>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</si>
  <si>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</si>
  <si>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2</t>
    </r>
  </si>
  <si>
    <t>Electric Power Research Institute (EPRI) Dues</t>
  </si>
  <si>
    <t>Covid-19 Pandemic Protections</t>
  </si>
  <si>
    <t>Residential Disconnect Protections</t>
  </si>
  <si>
    <t>CSI Transition, Stabilization, &amp; OCM</t>
  </si>
  <si>
    <t>CPUC Reimbursement Fees</t>
  </si>
  <si>
    <t>Adjusting journal entries related to prior year A&amp;G costs (2016-2019) that resulted from the 2020 FERC Audit are excluded from TO5 Cycle 5.</t>
  </si>
  <si>
    <t>The impacts of the adjusting entries is reflected in the per book amount and were excluded from the adjusted 2021 total. The impact of FERC Audit</t>
  </si>
  <si>
    <t>adjustments and corresponding refunds will be accounted for in a separate refund analysis filed with FERC.</t>
  </si>
  <si>
    <t xml:space="preserve"> 12 Months Ending December 31, 2021</t>
  </si>
  <si>
    <t>2021 CEMA/WMPMA exclusion corrections.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</si>
  <si>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</si>
  <si>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</si>
  <si>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</si>
  <si>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 xml:space="preserve">The 13-Month Avg. for Electric Plant Prepayments included on FERC Form 1; Page 110-111; Footnote Data (b) is slightly incorrect. During the preparation of the Appendix X Cycle 11 filing, </t>
  </si>
  <si>
    <t>an error was identified in the allocation used to prepare the footnote. The 13-Month Avg. included in Appendix X Cycle 11 is the correct amount.</t>
  </si>
  <si>
    <t>Statement AH; Line 17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</si>
  <si>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</si>
  <si>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</si>
  <si>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</si>
  <si>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</si>
  <si>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</si>
  <si>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</si>
  <si>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</si>
  <si>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</si>
  <si>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</si>
  <si>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</si>
  <si>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</si>
  <si>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</si>
  <si>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</si>
  <si>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</si>
  <si>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</si>
  <si>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</si>
  <si>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</si>
  <si>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</si>
  <si>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</si>
  <si>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</si>
  <si>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</si>
  <si>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</si>
  <si>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</si>
  <si>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</si>
  <si>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</si>
  <si>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</si>
  <si>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</si>
  <si>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</si>
  <si>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</si>
  <si>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</si>
  <si>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</si>
  <si>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</si>
  <si>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</si>
  <si>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</si>
  <si>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</si>
  <si>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</si>
  <si>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</si>
  <si>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</si>
  <si>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</si>
  <si>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</si>
  <si>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</si>
  <si>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</si>
  <si>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</si>
  <si>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</si>
  <si>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</si>
  <si>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</si>
  <si>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</si>
  <si>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</si>
  <si>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</si>
  <si>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</si>
  <si>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</si>
  <si>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</si>
  <si>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</si>
  <si>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</si>
  <si>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</si>
  <si>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</si>
  <si>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</si>
  <si>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</si>
  <si>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Negative of AH-2; Line 42; Col. b</t>
  </si>
  <si>
    <t>Negative of AH-2; Line 43; Col. b</t>
  </si>
  <si>
    <t>Negative of AH-2; Line 52; Col. b</t>
  </si>
  <si>
    <t>Negative of AH-2; Line 53; Col. b</t>
  </si>
  <si>
    <t>Negative of AH-2; Line 54; Col. b</t>
  </si>
  <si>
    <t>Sum Lines 5 thru 16</t>
  </si>
  <si>
    <t>AH-3; Line 20; Col. a</t>
  </si>
  <si>
    <t>Rate Effective Period January 1, 2023 to December 31, 2023</t>
  </si>
  <si>
    <t>This amount represents the Non-Direct A&amp;G expenses billed to Citizens in 2021, which is added back to derive Total Adjusted A&amp;G Expenses in SAP</t>
  </si>
  <si>
    <t xml:space="preserve">Citizens' Share of the SX-PQ Underground Line Segment  </t>
  </si>
  <si>
    <t>Total Annual Costs Citizens' Share of the SX-PQ Underground Line Segment - Before Interest</t>
  </si>
  <si>
    <t>Derivation of Other Adjustments Applicable to Appendix XII Cycle 5</t>
  </si>
  <si>
    <t>Other Cost Adjustments due to Appendix XII Cycle 5 Cost Adjustments Calculation:</t>
  </si>
  <si>
    <t>Revised - Appendix XII Cycle 5</t>
  </si>
  <si>
    <t>CITIZENS' SHARE OF THE SX-PQ UNDERGROUND LINE SEGMENT</t>
  </si>
  <si>
    <t xml:space="preserve">   Overhead Line Expense</t>
  </si>
  <si>
    <t xml:space="preserve">   CPUC reimbursement fees</t>
  </si>
  <si>
    <t>AH-1; Line 48</t>
  </si>
  <si>
    <t>Negative of AH-2; Line 55; Col. b</t>
  </si>
  <si>
    <t>Derivation of Interest Expense on Other Adjustments Applicable to Appendix XII Cycle 5</t>
  </si>
  <si>
    <t>(d)</t>
  </si>
  <si>
    <t>(e) = (c) + (d)</t>
  </si>
  <si>
    <t>Negative of AH-3; Line 49; Col. a</t>
  </si>
  <si>
    <t>Negative of AH-3; Sum Lines 26, 28, 31, 37, 45, 50; Col. a and Line 24, 26, 52; Col. b</t>
  </si>
  <si>
    <t>Negative of AH-3; Line 46; Col. a</t>
  </si>
  <si>
    <t>Negative of AH-3; Line 47; Col. a</t>
  </si>
  <si>
    <t>Negative of AH-3; Line 48; Col. b</t>
  </si>
  <si>
    <t>Negative of AH-3; Line 42; Col. b</t>
  </si>
  <si>
    <t>Negative of AH-3; Line 54; Col. b</t>
  </si>
  <si>
    <t xml:space="preserve">Negative of AH-3; Sum Lines 29, 32, 33, 34, 35, 38, 39, 40; Col. a </t>
  </si>
  <si>
    <t>Adj</t>
  </si>
  <si>
    <t>A&amp;G</t>
  </si>
  <si>
    <r>
      <t xml:space="preserve">Appendix XII Cycle 7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</si>
  <si>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Add / (Deduct) </t>
  </si>
  <si>
    <t>A&amp;G Cost Adj</t>
  </si>
  <si>
    <t>(f)</t>
  </si>
  <si>
    <t>This is to correct the overallocation of duplicate charges credit for company energy use in FERC Account no. 929.</t>
  </si>
  <si>
    <r>
      <t xml:space="preserve">Other Exclusion - FERC Audit Adjustments (Finding #3) </t>
    </r>
    <r>
      <rPr>
        <vertAlign val="superscript"/>
        <sz val="12"/>
        <rFont val="Times New Roman"/>
        <family val="1"/>
      </rPr>
      <t>2</t>
    </r>
  </si>
  <si>
    <t>Revised</t>
  </si>
  <si>
    <t>Negative of AH-3; Line 50; Col. a</t>
  </si>
  <si>
    <t>Negative of AH-3; Line 43; Col. a</t>
  </si>
  <si>
    <t>Negative of AH-3; Line 49; Col. b</t>
  </si>
  <si>
    <t>Negative of AH-3; Line 55; Col. b</t>
  </si>
  <si>
    <t xml:space="preserve">Negative of AH-3; Line 44; Col. a   </t>
  </si>
  <si>
    <t>Negative of AH-3; Sum Lines 28, 31, 37, 45, 51; Col. a and Line 24, 26, 53; Col. b</t>
  </si>
  <si>
    <t>Line 35 + Line 36</t>
  </si>
  <si>
    <t>Line 37 x Line 38</t>
  </si>
  <si>
    <t>Negative of Line 36 x Line 60</t>
  </si>
  <si>
    <t>Line 39 + Line 40</t>
  </si>
  <si>
    <t>Sum Lines 44 thru 47</t>
  </si>
  <si>
    <t>Line 44 Above</t>
  </si>
  <si>
    <t>Sum Lines 50 thru 57</t>
  </si>
  <si>
    <t>Line 48 / Line 58</t>
  </si>
  <si>
    <t>Pg8 Rev Section 4; Page TU; Col. 11; Line 21</t>
  </si>
  <si>
    <t>As Filed - Appendix XII Cycle 5 ER23-110 and ER24-175</t>
  </si>
  <si>
    <t xml:space="preserve">Appendix XII Cycle 7 Annual Informational Filing </t>
  </si>
  <si>
    <t>Page 17 Line 56; Col. 5</t>
  </si>
  <si>
    <t>Pg9 Rev Statement AL; Line 19</t>
  </si>
  <si>
    <t>Pg12 Rev AV-4; Page 1; Line 26</t>
  </si>
  <si>
    <t>Sum Lines 20 thru 34</t>
  </si>
  <si>
    <t>(g) = (e) + (f)</t>
  </si>
  <si>
    <t>Adj A&amp;G with</t>
  </si>
  <si>
    <t xml:space="preserve">FERC Audit </t>
  </si>
  <si>
    <t>Excl.  Adj</t>
  </si>
  <si>
    <t>Addtl Excl. Adj</t>
  </si>
  <si>
    <t>Adj.</t>
  </si>
  <si>
    <t>FERC Audit Adj</t>
  </si>
  <si>
    <t>Sum Lines 1 thru 14</t>
  </si>
  <si>
    <t>Line 16 + Line 18</t>
  </si>
  <si>
    <t>Items in BOLD have changed due to various FERC audit adj. compared to Appendix XII Cycle 5 filing per ER23-110 and Appendix XII Cycle 6 July Posting's  various cost adjustments.</t>
  </si>
  <si>
    <t>(i) = (g) - (h)</t>
  </si>
  <si>
    <t>Rev AH-3; Line 20; Col. d</t>
  </si>
  <si>
    <t xml:space="preserve">   FERC Audit Adjustment</t>
  </si>
  <si>
    <t>Pg12.3 Rev AH-3; Line 23; Col. h</t>
  </si>
  <si>
    <t>Pg9 Rev Statement AD; Line 25</t>
  </si>
  <si>
    <t>Pg9 Rev Statement AD; Line 29</t>
  </si>
  <si>
    <t>Pg9 Rev Statement AD; Line 31</t>
  </si>
  <si>
    <t>Pg9 Rev Statement AD; Line 1</t>
  </si>
  <si>
    <t>Pg9 Rev Statement AD; Line 7</t>
  </si>
  <si>
    <t>Pg9 Rev Statement AD; Line 9</t>
  </si>
  <si>
    <t>Pg9 Rev Statement AD; Line 17</t>
  </si>
  <si>
    <t>Pg9 Rev Statement AD; Line 19</t>
  </si>
  <si>
    <t>Items in BOLD have changed due to various FERC audit adj. compared to Appendix XII Cycle 5 filing per ER23-110 and Appendix XII Cycle 6 July Posting's cost adjustments.</t>
  </si>
  <si>
    <t xml:space="preserve">   Other Cost Adjustments </t>
  </si>
  <si>
    <t xml:space="preserve">   Other Cost Adjustments (incl. in Appendix XII Cycle 6; ER24-175)</t>
  </si>
  <si>
    <t xml:space="preserve">   FERC Audit Adjustment (incl. in Appendix XII Cycle 6; ER24-175)</t>
  </si>
  <si>
    <t>Sum Lines 20 thru 35</t>
  </si>
  <si>
    <t>Line 36 + Line 37</t>
  </si>
  <si>
    <t>Line 38 x Line 39</t>
  </si>
  <si>
    <t>Negative of Line 37 x Line 61</t>
  </si>
  <si>
    <t>Sum Lines 45 thru 48</t>
  </si>
  <si>
    <t>Line 45 Above</t>
  </si>
  <si>
    <t>Sum Lines 51 thru 58</t>
  </si>
  <si>
    <t>Line 49 / Line 59</t>
  </si>
  <si>
    <t>Line 40 + Line 41</t>
  </si>
  <si>
    <t>Pg9 Rev Statement AD; Line 35</t>
  </si>
  <si>
    <t>Pg12 Rev Statement AH; Line 41</t>
  </si>
  <si>
    <t xml:space="preserve">The 13-Month Avg. for Electric Plant Prepayments included on FERC Form 1; Page 110-111; Footnote Data (b) is slightly incorrect. During the preparation of the Appendix XII Cycle 5 filing, </t>
  </si>
  <si>
    <t>an error was identified in the allocation used to prepare the footnote. The 13-Month Avg. included in Appendix XII  Cycle 5 is the correct amount.</t>
  </si>
  <si>
    <t>Pg8 Rev Statement AH; Line 42</t>
  </si>
  <si>
    <t>Pg11 Rev Statement AF; Line 7</t>
  </si>
  <si>
    <t>Pg14 Rev Statement AL; Line 5</t>
  </si>
  <si>
    <t>Pg14 Rev Statement AL; Line 9</t>
  </si>
  <si>
    <t>Pg14 Rev Statement AL; Line 19</t>
  </si>
  <si>
    <t xml:space="preserve">Items in BOLD have changed due to various FERC audit adj. compared to Appendix XII Cycle 5 filing per ER23-110 and Appendix XII Cycle 6 July Posting's  </t>
  </si>
  <si>
    <t>cost adjustments.</t>
  </si>
  <si>
    <t>Pg9 Rev Statement AD; Line 11</t>
  </si>
  <si>
    <t>Pg9 Rev Statement AD; Line 27</t>
  </si>
  <si>
    <t>Pg10 Rev Statement AE; Line 1</t>
  </si>
  <si>
    <t>Pg10 Rev Statement AE; Line 11</t>
  </si>
  <si>
    <t>Pg10 Rev Statement AE; Line 13</t>
  </si>
  <si>
    <t>Pg10 Rev Statement AE; Line 15</t>
  </si>
  <si>
    <t>Pg9 Rev Statement AL; Line 5</t>
  </si>
  <si>
    <t>Pg9 Rev Statement AL; Line 9</t>
  </si>
  <si>
    <t>Pg18 Rev AV-4; Page 1; Line 26</t>
  </si>
  <si>
    <t>Pg18 Rev AV-4; Line 6</t>
  </si>
  <si>
    <t>Rev Statement AK; Line 17</t>
  </si>
  <si>
    <t>Pg15 Rev Statement AV2; Line 31</t>
  </si>
  <si>
    <t>Pg18 Rev AV-4; Line 4</t>
  </si>
  <si>
    <t>Pg18 Rev AV-4; Line 5</t>
  </si>
  <si>
    <t>Source: As Filed Appendix XII Cycle 5; Summary of Cost Components in FERC Audit Adj; ER24-175</t>
  </si>
  <si>
    <t>Source: As Filed Appendix XII Cycle 5; Stmt AV in FERC Audit Adj; ER24-175</t>
  </si>
  <si>
    <t>Source: As Filed Appendix XII Cycle 5; AV-4 in FERC Audit Adj; ER24-175</t>
  </si>
  <si>
    <t>Source: As Filed Appendix XII Cycle 5; Stmt AL in FERC Audit Adj; ER24-175</t>
  </si>
  <si>
    <t>Source: As Filed Appendix XII Cycle 5; Rev AH-3 in FERC Audit Adj; ER24-175</t>
  </si>
  <si>
    <t>FERC Audit Adjustment - Compliance Finding #3 - Allocation of Overhead Costs to CWIP.</t>
  </si>
  <si>
    <r>
      <t xml:space="preserve">(f) </t>
    </r>
    <r>
      <rPr>
        <b/>
        <vertAlign val="superscript"/>
        <sz val="12"/>
        <rFont val="Times New Roman"/>
        <family val="1"/>
      </rPr>
      <t>4</t>
    </r>
  </si>
  <si>
    <r>
      <t xml:space="preserve">(h) </t>
    </r>
    <r>
      <rPr>
        <b/>
        <vertAlign val="superscript"/>
        <sz val="12"/>
        <rFont val="Times New Roman"/>
        <family val="1"/>
      </rPr>
      <t>5</t>
    </r>
  </si>
  <si>
    <r>
      <t xml:space="preserve">Duplicate Charges (Company Energy Use) </t>
    </r>
    <r>
      <rPr>
        <b/>
        <vertAlign val="superscript"/>
        <sz val="12"/>
        <rFont val="Times New Roman"/>
        <family val="1"/>
      </rPr>
      <t>5</t>
    </r>
  </si>
  <si>
    <t>Negative of Pg8.2 Rev AH-3; Line 20; Col. h</t>
  </si>
  <si>
    <t>Pg11 Rev Statement AV2; Line 31</t>
  </si>
  <si>
    <t>Source: As Filed Appendix XII Cycle 5; Rev Sec 4-TU in FERC Audit Adj; ER24-175</t>
  </si>
  <si>
    <t>Source: As Filed Appendix XII Cycle 5; Sec 2-Non-Dir Exp in FERC Audit Adj; ER24-175</t>
  </si>
  <si>
    <t>Rev AH-3; Line 20; Col. f</t>
  </si>
  <si>
    <t xml:space="preserve">Section C.6a of the Protocols provides a mechanism for SDG&amp;E to correct errors that affected the Appendix XII costs in a previous Informational Filing. In this </t>
  </si>
  <si>
    <t>Energy Use)" Credit accounted for in FERC account 929. This error understated the Citizens Share of the SX-PQ Underground Line Segment in the previous</t>
  </si>
  <si>
    <t>Appendix XII Cycle 7 Informational Filing, SDG&amp;E is correcting Appendix XII Cycle 5 for approximately $5K for the over-allocation of "Duplicate Charges (Company</t>
  </si>
  <si>
    <t>Appendix XII Cycle 5 filing causing its correction in the Appendix XII Cycle 7 Annual Informational Filing.</t>
  </si>
  <si>
    <t>Items in BOLD have changed to correct the over-allocation of "Duplicate Charges (Company Energy Use)" Credit in FERC Account no. 929.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</si>
</sst>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  <numFmt numFmtId="179" formatCode="_(&quot;$&quot;* #,##0.0_);_(&quot;$&quot;* \(#,##0.0\);_(&quot;$&quot;* &quot;-&quot;??_);_(@_)"/>
    <numFmt numFmtId="180" formatCode="_(* #,##0.000000000000000_);_(* \(#,##0.000000000000000\);_(* &quot;-&quot;??_);_(@_)"/>
    <numFmt numFmtId="181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2"/>
      <name val="Calibri"/>
      <family val="2"/>
    </font>
    <font>
      <vertAlign val="superscript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27" fillId="5" borderId="0"/>
    <xf numFmtId="0" fontId="1" fillId="0" borderId="0"/>
    <xf numFmtId="0" fontId="13" fillId="0" borderId="0"/>
    <xf numFmtId="0" fontId="1" fillId="0" borderId="0"/>
  </cellStyleXfs>
  <cellXfs count="832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7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5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5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2" xfId="2" applyNumberFormat="1" applyFont="1" applyFill="1" applyBorder="1" applyAlignment="1">
      <alignment vertical="center"/>
    </xf>
    <xf numFmtId="165" fontId="9" fillId="0" borderId="12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2" xfId="2" applyNumberFormat="1" applyFont="1" applyFill="1" applyBorder="1" applyAlignment="1">
      <alignment vertical="center"/>
    </xf>
    <xf numFmtId="164" fontId="5" fillId="0" borderId="14" xfId="2" applyNumberFormat="1" applyFont="1" applyFill="1" applyBorder="1" applyAlignment="1">
      <alignment vertical="center"/>
    </xf>
    <xf numFmtId="0" fontId="17" fillId="0" borderId="24" xfId="0" applyFont="1" applyBorder="1" applyAlignment="1">
      <alignment horizontal="center"/>
    </xf>
    <xf numFmtId="164" fontId="5" fillId="0" borderId="25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8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7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6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5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5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8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1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1" xfId="11" applyFont="1" applyBorder="1"/>
    <xf numFmtId="164" fontId="9" fillId="0" borderId="0" xfId="11" applyNumberFormat="1" applyFont="1" applyAlignment="1">
      <alignment horizontal="right" vertical="center"/>
    </xf>
    <xf numFmtId="165" fontId="5" fillId="2" borderId="12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1" xfId="11" applyFont="1" applyBorder="1" applyAlignment="1">
      <alignment horizontal="left" indent="2"/>
    </xf>
    <xf numFmtId="164" fontId="5" fillId="0" borderId="12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1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2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4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3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1" xfId="11" applyFont="1" applyBorder="1" applyAlignment="1">
      <alignment horizontal="center"/>
    </xf>
    <xf numFmtId="0" fontId="5" fillId="0" borderId="21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41" fontId="5" fillId="0" borderId="0" xfId="13" applyNumberFormat="1" applyFont="1" applyFill="1" applyBorder="1" applyAlignment="1">
      <alignment horizontal="center"/>
    </xf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9" xfId="11" applyFont="1" applyBorder="1" applyAlignment="1">
      <alignment horizontal="center"/>
    </xf>
    <xf numFmtId="10" fontId="5" fillId="0" borderId="21" xfId="19" applyNumberFormat="1" applyFont="1" applyBorder="1" applyAlignment="1">
      <alignment horizontal="center"/>
    </xf>
    <xf numFmtId="164" fontId="9" fillId="2" borderId="21" xfId="20" applyNumberFormat="1" applyFont="1" applyFill="1" applyBorder="1" applyAlignment="1">
      <alignment horizontal="right" vertical="center"/>
    </xf>
    <xf numFmtId="164" fontId="9" fillId="0" borderId="21" xfId="11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7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6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9" fillId="0" borderId="27" xfId="1" applyNumberFormat="1" applyFont="1" applyFill="1" applyBorder="1" applyAlignment="1">
      <alignment horizontal="right" vertical="center"/>
    </xf>
    <xf numFmtId="164" fontId="5" fillId="0" borderId="15" xfId="2" applyNumberFormat="1" applyFont="1" applyFill="1" applyBorder="1" applyAlignment="1">
      <alignment vertical="center"/>
    </xf>
    <xf numFmtId="164" fontId="9" fillId="0" borderId="15" xfId="2" applyNumberFormat="1" applyFont="1" applyFill="1" applyBorder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7" xfId="11" applyFont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7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7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7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8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4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5" fillId="0" borderId="0" xfId="19" applyNumberFormat="1" applyFont="1" applyBorder="1" applyAlignment="1" applyProtection="1">
      <alignment vertical="center"/>
    </xf>
    <xf numFmtId="10" fontId="25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0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6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4" fontId="9" fillId="0" borderId="16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6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4" fontId="5" fillId="0" borderId="16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30" xfId="1" applyNumberFormat="1" applyFont="1" applyFill="1" applyBorder="1" applyAlignment="1">
      <alignment horizontal="right" vertical="center"/>
    </xf>
    <xf numFmtId="165" fontId="9" fillId="3" borderId="30" xfId="1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8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0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2" xfId="33" applyNumberFormat="1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0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7" fontId="5" fillId="0" borderId="12" xfId="33" applyNumberFormat="1" applyFont="1" applyBorder="1" applyAlignment="1">
      <alignment horizontal="left" vertical="center"/>
    </xf>
    <xf numFmtId="37" fontId="9" fillId="0" borderId="12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4" fontId="5" fillId="0" borderId="21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7" fontId="9" fillId="0" borderId="20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37" fontId="9" fillId="0" borderId="22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16" fillId="0" borderId="9" xfId="0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167" fontId="9" fillId="0" borderId="9" xfId="11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26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7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5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3" fontId="9" fillId="0" borderId="21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2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0" fontId="9" fillId="0" borderId="32" xfId="0" applyFont="1" applyBorder="1" applyAlignment="1">
      <alignment horizontal="center"/>
    </xf>
    <xf numFmtId="165" fontId="7" fillId="0" borderId="32" xfId="1" applyNumberFormat="1" applyFont="1" applyBorder="1"/>
    <xf numFmtId="0" fontId="5" fillId="0" borderId="27" xfId="0" applyFont="1" applyBorder="1" applyAlignment="1">
      <alignment horizontal="center"/>
    </xf>
    <xf numFmtId="165" fontId="9" fillId="2" borderId="27" xfId="1" applyNumberFormat="1" applyFont="1" applyFill="1" applyBorder="1" applyAlignment="1">
      <alignment horizontal="right" vertical="center"/>
    </xf>
    <xf numFmtId="171" fontId="9" fillId="0" borderId="27" xfId="1" applyNumberFormat="1" applyFont="1" applyFill="1" applyBorder="1" applyAlignment="1">
      <alignment horizontal="right"/>
    </xf>
    <xf numFmtId="165" fontId="9" fillId="3" borderId="27" xfId="21" applyNumberFormat="1" applyFont="1" applyFill="1" applyBorder="1"/>
    <xf numFmtId="165" fontId="9" fillId="0" borderId="27" xfId="21" applyNumberFormat="1" applyFont="1" applyFill="1" applyBorder="1"/>
    <xf numFmtId="165" fontId="5" fillId="0" borderId="0" xfId="1" applyNumberFormat="1" applyFont="1" applyFill="1" applyBorder="1" applyAlignment="1">
      <alignment vertical="center"/>
    </xf>
    <xf numFmtId="165" fontId="9" fillId="0" borderId="33" xfId="1" applyNumberFormat="1" applyFont="1" applyFill="1" applyBorder="1" applyAlignment="1">
      <alignment vertical="center"/>
    </xf>
    <xf numFmtId="165" fontId="5" fillId="0" borderId="32" xfId="1" applyNumberFormat="1" applyFont="1" applyFill="1" applyBorder="1" applyAlignment="1">
      <alignment vertical="center"/>
    </xf>
    <xf numFmtId="165" fontId="9" fillId="0" borderId="32" xfId="1" applyNumberFormat="1" applyFont="1" applyFill="1" applyBorder="1" applyAlignment="1">
      <alignment vertical="center"/>
    </xf>
    <xf numFmtId="165" fontId="5" fillId="3" borderId="32" xfId="1" applyNumberFormat="1" applyFont="1" applyFill="1" applyBorder="1" applyAlignment="1" applyProtection="1">
      <alignment vertical="center"/>
      <protection locked="0"/>
    </xf>
    <xf numFmtId="165" fontId="9" fillId="0" borderId="34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15" fontId="9" fillId="0" borderId="32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2" xfId="16" applyFont="1" applyBorder="1" applyAlignment="1">
      <alignment horizontal="left" vertical="center"/>
    </xf>
    <xf numFmtId="1" fontId="9" fillId="0" borderId="32" xfId="16" applyNumberFormat="1" applyFont="1" applyBorder="1" applyAlignment="1">
      <alignment horizontal="center" vertical="center"/>
    </xf>
    <xf numFmtId="10" fontId="9" fillId="3" borderId="32" xfId="3" applyNumberFormat="1" applyFont="1" applyFill="1" applyBorder="1"/>
    <xf numFmtId="165" fontId="9" fillId="0" borderId="32" xfId="1" applyNumberFormat="1" applyFont="1" applyFill="1" applyBorder="1" applyAlignment="1">
      <alignment horizontal="right" vertical="center"/>
    </xf>
    <xf numFmtId="0" fontId="9" fillId="0" borderId="32" xfId="11" applyFont="1" applyBorder="1" applyAlignment="1">
      <alignment horizontal="left" vertical="center"/>
    </xf>
    <xf numFmtId="1" fontId="9" fillId="0" borderId="32" xfId="11" applyNumberFormat="1" applyFont="1" applyBorder="1" applyAlignment="1">
      <alignment horizontal="center" vertical="center"/>
    </xf>
    <xf numFmtId="10" fontId="9" fillId="3" borderId="32" xfId="3" applyNumberFormat="1" applyFont="1" applyFill="1" applyBorder="1" applyAlignment="1">
      <alignment horizontal="center" vertical="center"/>
    </xf>
    <xf numFmtId="165" fontId="5" fillId="0" borderId="32" xfId="1" applyNumberFormat="1" applyFont="1" applyBorder="1" applyAlignment="1">
      <alignment horizontal="center" vertical="center"/>
    </xf>
    <xf numFmtId="165" fontId="5" fillId="0" borderId="32" xfId="1" applyNumberFormat="1" applyFont="1" applyFill="1" applyBorder="1" applyAlignment="1">
      <alignment horizontal="right" vertical="center"/>
    </xf>
    <xf numFmtId="0" fontId="9" fillId="0" borderId="32" xfId="0" applyFont="1" applyBorder="1" applyAlignment="1">
      <alignment horizontal="center" vertical="center" wrapText="1"/>
    </xf>
    <xf numFmtId="164" fontId="9" fillId="3" borderId="32" xfId="2" applyNumberFormat="1" applyFont="1" applyFill="1" applyBorder="1" applyAlignment="1" applyProtection="1">
      <alignment vertical="center"/>
      <protection locked="0"/>
    </xf>
    <xf numFmtId="10" fontId="9" fillId="0" borderId="32" xfId="3" applyNumberFormat="1" applyFont="1" applyFill="1" applyBorder="1" applyAlignment="1">
      <alignment horizontal="right" vertical="center"/>
    </xf>
    <xf numFmtId="10" fontId="9" fillId="0" borderId="32" xfId="3" applyNumberFormat="1" applyFont="1" applyBorder="1" applyAlignment="1">
      <alignment horizontal="right" vertical="center"/>
    </xf>
    <xf numFmtId="10" fontId="9" fillId="4" borderId="32" xfId="3" applyNumberFormat="1" applyFont="1" applyFill="1" applyBorder="1" applyAlignment="1">
      <alignment horizontal="right" vertical="center"/>
    </xf>
    <xf numFmtId="9" fontId="9" fillId="3" borderId="32" xfId="3" applyFont="1" applyFill="1" applyBorder="1" applyAlignment="1">
      <alignment horizontal="right" vertical="center"/>
    </xf>
    <xf numFmtId="10" fontId="9" fillId="3" borderId="32" xfId="3" applyNumberFormat="1" applyFont="1" applyFill="1" applyBorder="1" applyAlignment="1">
      <alignment horizontal="right" vertical="center"/>
    </xf>
    <xf numFmtId="168" fontId="9" fillId="2" borderId="32" xfId="3" applyNumberFormat="1" applyFont="1" applyFill="1" applyBorder="1" applyAlignment="1">
      <alignment horizontal="right" vertical="center"/>
    </xf>
    <xf numFmtId="9" fontId="9" fillId="2" borderId="32" xfId="3" applyFont="1" applyFill="1" applyBorder="1" applyAlignment="1">
      <alignment horizontal="right" vertical="center"/>
    </xf>
    <xf numFmtId="10" fontId="9" fillId="2" borderId="32" xfId="3" applyNumberFormat="1" applyFont="1" applyFill="1" applyBorder="1" applyAlignment="1">
      <alignment horizontal="right" vertical="center"/>
    </xf>
    <xf numFmtId="168" fontId="9" fillId="0" borderId="32" xfId="3" applyNumberFormat="1" applyFont="1" applyBorder="1" applyAlignment="1">
      <alignment horizontal="right" vertical="center"/>
    </xf>
    <xf numFmtId="168" fontId="9" fillId="2" borderId="32" xfId="0" applyNumberFormat="1" applyFont="1" applyFill="1" applyBorder="1" applyAlignment="1">
      <alignment horizontal="right" vertical="center"/>
    </xf>
    <xf numFmtId="5" fontId="9" fillId="0" borderId="32" xfId="11" applyNumberFormat="1" applyFont="1" applyBorder="1" applyAlignment="1">
      <alignment horizontal="center"/>
    </xf>
    <xf numFmtId="0" fontId="9" fillId="0" borderId="32" xfId="11" applyFont="1" applyBorder="1" applyAlignment="1">
      <alignment horizontal="center"/>
    </xf>
    <xf numFmtId="165" fontId="9" fillId="2" borderId="32" xfId="27" applyNumberFormat="1" applyFont="1" applyFill="1" applyBorder="1" applyAlignment="1" applyProtection="1">
      <alignment horizontal="right" vertical="center"/>
      <protection locked="0"/>
    </xf>
    <xf numFmtId="165" fontId="5" fillId="2" borderId="32" xfId="27" applyNumberFormat="1" applyFont="1" applyFill="1" applyBorder="1" applyAlignment="1" applyProtection="1">
      <alignment horizontal="right" vertical="center"/>
      <protection locked="0"/>
    </xf>
    <xf numFmtId="165" fontId="5" fillId="2" borderId="32" xfId="27" applyNumberFormat="1" applyFont="1" applyFill="1" applyBorder="1" applyAlignment="1" applyProtection="1">
      <alignment horizontal="center" vertical="center"/>
    </xf>
    <xf numFmtId="165" fontId="9" fillId="4" borderId="32" xfId="27" applyNumberFormat="1" applyFont="1" applyFill="1" applyBorder="1" applyAlignment="1" applyProtection="1">
      <alignment horizontal="right" vertical="center"/>
    </xf>
    <xf numFmtId="165" fontId="9" fillId="2" borderId="32" xfId="27" applyNumberFormat="1" applyFont="1" applyFill="1" applyBorder="1" applyAlignment="1" applyProtection="1">
      <alignment horizontal="right" vertical="center"/>
    </xf>
    <xf numFmtId="165" fontId="9" fillId="0" borderId="32" xfId="27" applyNumberFormat="1" applyFont="1" applyFill="1" applyBorder="1" applyAlignment="1" applyProtection="1">
      <alignment horizontal="right" vertical="center"/>
    </xf>
    <xf numFmtId="164" fontId="5" fillId="0" borderId="29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0" xfId="2" applyNumberFormat="1" applyFont="1" applyFill="1" applyAlignment="1">
      <alignment vertical="center"/>
    </xf>
    <xf numFmtId="179" fontId="9" fillId="0" borderId="0" xfId="0" applyNumberFormat="1" applyFont="1"/>
    <xf numFmtId="165" fontId="9" fillId="0" borderId="21" xfId="1" applyNumberFormat="1" applyFont="1" applyBorder="1" applyAlignment="1">
      <alignment horizontal="right" vertical="center"/>
    </xf>
    <xf numFmtId="44" fontId="9" fillId="0" borderId="12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1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2" xfId="1" applyNumberFormat="1" applyFont="1" applyFill="1" applyBorder="1" applyAlignment="1">
      <alignment vertical="center"/>
    </xf>
    <xf numFmtId="179" fontId="12" fillId="0" borderId="0" xfId="0" applyNumberFormat="1" applyFont="1"/>
    <xf numFmtId="164" fontId="5" fillId="0" borderId="12" xfId="11" applyNumberFormat="1" applyFont="1" applyBorder="1" applyAlignment="1">
      <alignment vertical="center"/>
    </xf>
    <xf numFmtId="171" fontId="9" fillId="0" borderId="0" xfId="0" applyNumberFormat="1" applyFont="1"/>
    <xf numFmtId="174" fontId="9" fillId="0" borderId="15" xfId="2" applyNumberFormat="1" applyFont="1" applyBorder="1" applyAlignment="1">
      <alignment vertical="center"/>
    </xf>
    <xf numFmtId="165" fontId="9" fillId="3" borderId="32" xfId="1" applyNumberFormat="1" applyFont="1" applyFill="1" applyBorder="1" applyAlignment="1" applyProtection="1">
      <alignment vertical="center"/>
      <protection locked="0"/>
    </xf>
    <xf numFmtId="10" fontId="9" fillId="2" borderId="32" xfId="0" applyNumberFormat="1" applyFont="1" applyFill="1" applyBorder="1" applyAlignment="1">
      <alignment horizontal="right" vertical="center"/>
    </xf>
    <xf numFmtId="165" fontId="9" fillId="2" borderId="32" xfId="1" applyNumberFormat="1" applyFont="1" applyFill="1" applyBorder="1" applyAlignment="1" applyProtection="1">
      <alignment horizontal="right" vertical="center"/>
    </xf>
    <xf numFmtId="165" fontId="9" fillId="2" borderId="32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/>
    </xf>
    <xf numFmtId="37" fontId="12" fillId="0" borderId="0" xfId="0" applyNumberFormat="1" applyFont="1" applyAlignment="1">
      <alignment vertical="center"/>
    </xf>
    <xf numFmtId="164" fontId="9" fillId="0" borderId="0" xfId="2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7" fontId="9" fillId="0" borderId="32" xfId="0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167" fontId="9" fillId="0" borderId="9" xfId="0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wrapText="1"/>
    </xf>
    <xf numFmtId="165" fontId="9" fillId="0" borderId="32" xfId="1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7" fontId="5" fillId="0" borderId="0" xfId="33" applyNumberFormat="1" applyFont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0" fillId="0" borderId="0" xfId="11" applyFont="1" applyAlignment="1">
      <alignment vertical="center"/>
    </xf>
    <xf numFmtId="15" fontId="9" fillId="0" borderId="32" xfId="11" applyNumberFormat="1" applyFont="1" applyBorder="1" applyAlignment="1">
      <alignment horizontal="center" vertical="center"/>
    </xf>
    <xf numFmtId="0" fontId="9" fillId="0" borderId="32" xfId="11" applyFont="1" applyBorder="1" applyAlignment="1">
      <alignment horizontal="center" vertical="center"/>
    </xf>
    <xf numFmtId="10" fontId="9" fillId="2" borderId="32" xfId="11" applyNumberFormat="1" applyFont="1" applyFill="1" applyBorder="1" applyAlignment="1" applyProtection="1">
      <alignment horizontal="right" vertical="center"/>
      <protection locked="0"/>
    </xf>
    <xf numFmtId="164" fontId="9" fillId="3" borderId="32" xfId="13" applyNumberFormat="1" applyFont="1" applyFill="1" applyBorder="1" applyAlignment="1" applyProtection="1">
      <alignment horizontal="center" vertical="center"/>
      <protection locked="0"/>
    </xf>
    <xf numFmtId="10" fontId="9" fillId="3" borderId="32" xfId="28" applyNumberFormat="1" applyFont="1" applyFill="1" applyBorder="1" applyAlignment="1">
      <alignment vertical="center"/>
    </xf>
    <xf numFmtId="0" fontId="5" fillId="0" borderId="32" xfId="16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165" fontId="5" fillId="2" borderId="21" xfId="1" applyNumberFormat="1" applyFont="1" applyFill="1" applyBorder="1" applyAlignment="1">
      <alignment horizontal="right" vertical="center"/>
    </xf>
    <xf numFmtId="0" fontId="5" fillId="0" borderId="32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3" xfId="11" applyNumberFormat="1" applyFont="1" applyBorder="1" applyAlignment="1">
      <alignment vertical="center"/>
    </xf>
    <xf numFmtId="164" fontId="5" fillId="0" borderId="13" xfId="11" applyNumberFormat="1" applyFont="1" applyBorder="1" applyAlignment="1">
      <alignment vertical="center"/>
    </xf>
    <xf numFmtId="0" fontId="5" fillId="0" borderId="34" xfId="11" applyFont="1" applyBorder="1" applyAlignment="1">
      <alignment horizontal="center"/>
    </xf>
    <xf numFmtId="0" fontId="5" fillId="0" borderId="35" xfId="11" applyFont="1" applyBorder="1"/>
    <xf numFmtId="0" fontId="9" fillId="0" borderId="20" xfId="11" applyFont="1" applyBorder="1" applyAlignment="1">
      <alignment horizontal="left"/>
    </xf>
    <xf numFmtId="0" fontId="9" fillId="0" borderId="20" xfId="11" applyFont="1" applyBorder="1"/>
    <xf numFmtId="0" fontId="9" fillId="0" borderId="9" xfId="11" applyFont="1" applyBorder="1" applyAlignment="1">
      <alignment horizontal="left"/>
    </xf>
    <xf numFmtId="0" fontId="5" fillId="0" borderId="9" xfId="11" applyFont="1" applyBorder="1" applyAlignment="1">
      <alignment horizontal="left"/>
    </xf>
    <xf numFmtId="0" fontId="5" fillId="0" borderId="20" xfId="11" applyFont="1" applyBorder="1" applyAlignment="1">
      <alignment horizontal="left" indent="2"/>
    </xf>
    <xf numFmtId="0" fontId="5" fillId="0" borderId="20" xfId="11" applyFont="1" applyBorder="1" applyAlignment="1">
      <alignment horizontal="left"/>
    </xf>
    <xf numFmtId="0" fontId="10" fillId="0" borderId="9" xfId="11" applyFont="1" applyBorder="1" applyAlignment="1">
      <alignment horizontal="left"/>
    </xf>
    <xf numFmtId="0" fontId="5" fillId="0" borderId="9" xfId="11" applyFont="1" applyBorder="1"/>
    <xf numFmtId="0" fontId="5" fillId="0" borderId="22" xfId="11" applyFont="1" applyBorder="1"/>
    <xf numFmtId="0" fontId="5" fillId="0" borderId="10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41" fontId="9" fillId="0" borderId="10" xfId="13" applyNumberFormat="1" applyFont="1" applyBorder="1" applyAlignment="1">
      <alignment horizontal="center"/>
    </xf>
    <xf numFmtId="43" fontId="5" fillId="0" borderId="10" xfId="11" applyNumberFormat="1" applyFont="1" applyBorder="1" applyAlignment="1">
      <alignment horizontal="center"/>
    </xf>
    <xf numFmtId="41" fontId="9" fillId="0" borderId="10" xfId="13" applyNumberFormat="1" applyFont="1" applyFill="1" applyBorder="1" applyAlignment="1">
      <alignment horizontal="center"/>
    </xf>
    <xf numFmtId="41" fontId="5" fillId="0" borderId="10" xfId="13" applyNumberFormat="1" applyFont="1" applyBorder="1" applyAlignment="1">
      <alignment horizontal="left"/>
    </xf>
    <xf numFmtId="41" fontId="5" fillId="0" borderId="10" xfId="13" applyNumberFormat="1" applyFont="1" applyFill="1" applyBorder="1" applyAlignment="1">
      <alignment horizontal="left"/>
    </xf>
    <xf numFmtId="0" fontId="5" fillId="0" borderId="7" xfId="11" applyFont="1" applyBorder="1"/>
    <xf numFmtId="37" fontId="9" fillId="0" borderId="3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5" xfId="1" applyNumberFormat="1" applyFont="1" applyBorder="1" applyAlignment="1">
      <alignment vertical="center"/>
    </xf>
    <xf numFmtId="37" fontId="9" fillId="0" borderId="5" xfId="1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5" fillId="0" borderId="0" xfId="0" applyNumberFormat="1" applyFont="1"/>
    <xf numFmtId="0" fontId="17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180" fontId="1" fillId="0" borderId="0" xfId="1" applyNumberFormat="1"/>
    <xf numFmtId="170" fontId="1" fillId="0" borderId="0" xfId="4" applyNumberFormat="1"/>
    <xf numFmtId="0" fontId="9" fillId="0" borderId="36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32" xfId="3" quotePrefix="1" applyNumberFormat="1" applyFont="1" applyBorder="1" applyAlignment="1">
      <alignment horizontal="right" vertical="center"/>
    </xf>
    <xf numFmtId="164" fontId="9" fillId="2" borderId="32" xfId="13" applyNumberFormat="1" applyFont="1" applyFill="1" applyBorder="1" applyAlignment="1" applyProtection="1">
      <alignment vertical="center"/>
      <protection locked="0"/>
    </xf>
    <xf numFmtId="164" fontId="9" fillId="2" borderId="32" xfId="31" applyNumberFormat="1" applyFont="1" applyFill="1" applyBorder="1" applyAlignment="1" applyProtection="1">
      <alignment horizontal="right" vertical="center"/>
      <protection locked="0"/>
    </xf>
    <xf numFmtId="165" fontId="9" fillId="2" borderId="29" xfId="1" applyNumberFormat="1" applyFont="1" applyFill="1" applyBorder="1" applyAlignment="1">
      <alignment horizontal="center" vertical="center"/>
    </xf>
    <xf numFmtId="165" fontId="24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32" xfId="3" applyNumberFormat="1" applyFont="1" applyFill="1" applyBorder="1" applyAlignment="1">
      <alignment vertical="center"/>
    </xf>
    <xf numFmtId="164" fontId="9" fillId="2" borderId="32" xfId="2" applyNumberFormat="1" applyFont="1" applyFill="1" applyBorder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181" fontId="9" fillId="0" borderId="0" xfId="1" applyNumberFormat="1" applyFont="1" applyAlignment="1">
      <alignment horizontal="right" vertical="center"/>
    </xf>
    <xf numFmtId="181" fontId="9" fillId="0" borderId="32" xfId="1" applyNumberFormat="1" applyFont="1" applyBorder="1" applyAlignment="1">
      <alignment horizontal="right" vertical="center"/>
    </xf>
    <xf numFmtId="165" fontId="9" fillId="0" borderId="32" xfId="1" applyNumberFormat="1" applyFont="1" applyFill="1" applyBorder="1" applyAlignment="1" applyProtection="1">
      <alignment vertical="center"/>
      <protection locked="0"/>
    </xf>
    <xf numFmtId="43" fontId="9" fillId="0" borderId="0" xfId="0" applyNumberFormat="1" applyFont="1" applyAlignment="1">
      <alignment vertical="center"/>
    </xf>
    <xf numFmtId="165" fontId="5" fillId="2" borderId="32" xfId="1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/>
    <xf numFmtId="165" fontId="7" fillId="0" borderId="0" xfId="0" applyNumberFormat="1" applyFont="1"/>
    <xf numFmtId="0" fontId="5" fillId="0" borderId="37" xfId="11" applyFont="1" applyBorder="1" applyAlignment="1">
      <alignment horizontal="center"/>
    </xf>
    <xf numFmtId="0" fontId="5" fillId="0" borderId="38" xfId="11" applyFont="1" applyBorder="1" applyAlignment="1">
      <alignment horizontal="center"/>
    </xf>
    <xf numFmtId="164" fontId="5" fillId="2" borderId="32" xfId="31" applyNumberFormat="1" applyFont="1" applyFill="1" applyBorder="1" applyAlignment="1" applyProtection="1">
      <alignment horizontal="right" vertical="center"/>
      <protection locked="0"/>
    </xf>
    <xf numFmtId="181" fontId="5" fillId="0" borderId="15" xfId="1" applyNumberFormat="1" applyFont="1" applyBorder="1" applyAlignment="1">
      <alignment vertical="center"/>
    </xf>
    <xf numFmtId="181" fontId="5" fillId="0" borderId="0" xfId="1" applyNumberFormat="1" applyFont="1" applyAlignment="1">
      <alignment horizontal="right" vertical="center"/>
    </xf>
    <xf numFmtId="181" fontId="5" fillId="0" borderId="0" xfId="1" applyNumberFormat="1" applyFont="1" applyBorder="1" applyAlignment="1">
      <alignment vertical="center"/>
    </xf>
    <xf numFmtId="164" fontId="9" fillId="0" borderId="1" xfId="20" applyNumberFormat="1" applyFont="1" applyBorder="1" applyAlignment="1">
      <alignment horizontal="right"/>
    </xf>
    <xf numFmtId="177" fontId="9" fillId="0" borderId="0" xfId="0" applyNumberFormat="1" applyFont="1"/>
    <xf numFmtId="37" fontId="5" fillId="0" borderId="0" xfId="11" applyNumberFormat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5" xfId="0" quotePrefix="1" applyFont="1" applyBorder="1" applyAlignment="1">
      <alignment horizontal="center"/>
    </xf>
    <xf numFmtId="0" fontId="28" fillId="0" borderId="0" xfId="0" applyFont="1" applyAlignment="1">
      <alignment horizontal="center"/>
    </xf>
    <xf numFmtId="37" fontId="5" fillId="0" borderId="9" xfId="0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right"/>
    </xf>
    <xf numFmtId="43" fontId="12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165" fontId="9" fillId="0" borderId="40" xfId="1" applyNumberFormat="1" applyFont="1" applyFill="1" applyBorder="1" applyAlignment="1">
      <alignment vertical="center"/>
    </xf>
    <xf numFmtId="165" fontId="9" fillId="0" borderId="39" xfId="1" applyNumberFormat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17" fillId="0" borderId="0" xfId="0" applyFont="1"/>
    <xf numFmtId="44" fontId="9" fillId="0" borderId="0" xfId="0" applyNumberFormat="1" applyFont="1"/>
    <xf numFmtId="164" fontId="7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5" fontId="5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/>
    </xf>
    <xf numFmtId="37" fontId="5" fillId="0" borderId="2" xfId="0" applyNumberFormat="1" applyFont="1" applyBorder="1" applyAlignment="1">
      <alignment vertical="center"/>
    </xf>
    <xf numFmtId="165" fontId="5" fillId="0" borderId="34" xfId="1" applyNumberFormat="1" applyFont="1" applyFill="1" applyBorder="1" applyAlignment="1">
      <alignment vertical="center"/>
    </xf>
    <xf numFmtId="37" fontId="5" fillId="0" borderId="5" xfId="1" applyNumberFormat="1" applyFont="1" applyBorder="1" applyAlignment="1">
      <alignment vertical="center"/>
    </xf>
    <xf numFmtId="37" fontId="9" fillId="0" borderId="41" xfId="0" applyNumberFormat="1" applyFont="1" applyBorder="1" applyAlignment="1">
      <alignment vertical="center"/>
    </xf>
    <xf numFmtId="165" fontId="5" fillId="4" borderId="0" xfId="1" applyNumberFormat="1" applyFont="1" applyFill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165" fontId="5" fillId="2" borderId="32" xfId="1" applyNumberFormat="1" applyFont="1" applyFill="1" applyBorder="1" applyAlignment="1" applyProtection="1">
      <alignment horizontal="right" vertical="center"/>
    </xf>
    <xf numFmtId="164" fontId="5" fillId="0" borderId="15" xfId="2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vertical="center"/>
    </xf>
    <xf numFmtId="165" fontId="5" fillId="2" borderId="0" xfId="1" applyNumberFormat="1" applyFont="1" applyFill="1" applyAlignment="1">
      <alignment vertical="center"/>
    </xf>
    <xf numFmtId="165" fontId="5" fillId="2" borderId="32" xfId="1" applyNumberFormat="1" applyFont="1" applyFill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5" fontId="5" fillId="0" borderId="0" xfId="0" applyNumberFormat="1" applyFont="1" applyAlignment="1" applyProtection="1">
      <alignment vertical="center"/>
      <protection locked="0"/>
    </xf>
    <xf numFmtId="10" fontId="5" fillId="0" borderId="1" xfId="2" applyNumberFormat="1" applyFont="1" applyBorder="1" applyAlignment="1">
      <alignment horizontal="right" vertical="center"/>
    </xf>
    <xf numFmtId="10" fontId="5" fillId="2" borderId="32" xfId="11" applyNumberFormat="1" applyFont="1" applyFill="1" applyBorder="1" applyAlignment="1" applyProtection="1">
      <alignment horizontal="right" vertical="center"/>
      <protection locked="0"/>
    </xf>
    <xf numFmtId="165" fontId="9" fillId="2" borderId="32" xfId="1" applyNumberFormat="1" applyFont="1" applyFill="1" applyBorder="1" applyAlignment="1" applyProtection="1">
      <alignment vertical="center"/>
      <protection locked="0"/>
    </xf>
    <xf numFmtId="0" fontId="12" fillId="0" borderId="0" xfId="11" applyFont="1" applyAlignment="1">
      <alignment vertical="center"/>
    </xf>
    <xf numFmtId="0" fontId="14" fillId="0" borderId="0" xfId="0" quotePrefix="1" applyFont="1" applyAlignment="1">
      <alignment horizontal="center" vertical="center"/>
    </xf>
    <xf numFmtId="164" fontId="5" fillId="2" borderId="0" xfId="13" applyNumberFormat="1" applyFont="1" applyFill="1" applyBorder="1" applyAlignment="1" applyProtection="1">
      <alignment horizontal="right" vertical="center"/>
      <protection locked="0"/>
    </xf>
    <xf numFmtId="164" fontId="5" fillId="2" borderId="0" xfId="13" applyNumberFormat="1" applyFont="1" applyFill="1" applyBorder="1" applyAlignment="1" applyProtection="1">
      <alignment horizontal="right" vertical="center"/>
    </xf>
    <xf numFmtId="43" fontId="5" fillId="2" borderId="0" xfId="27" applyFont="1" applyFill="1" applyBorder="1" applyAlignment="1" applyProtection="1">
      <alignment horizontal="right" vertical="center"/>
    </xf>
    <xf numFmtId="164" fontId="5" fillId="2" borderId="0" xfId="13" applyNumberFormat="1" applyFont="1" applyFill="1" applyAlignment="1" applyProtection="1">
      <alignment horizontal="right" vertical="center"/>
    </xf>
    <xf numFmtId="165" fontId="5" fillId="2" borderId="0" xfId="27" applyNumberFormat="1" applyFont="1" applyFill="1" applyAlignment="1" applyProtection="1">
      <alignment horizontal="right" vertical="center"/>
    </xf>
    <xf numFmtId="165" fontId="5" fillId="2" borderId="32" xfId="27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Alignment="1" applyProtection="1">
      <alignment horizontal="right" vertical="center"/>
    </xf>
    <xf numFmtId="165" fontId="5" fillId="0" borderId="32" xfId="27" applyNumberFormat="1" applyFont="1" applyFill="1" applyBorder="1" applyAlignment="1" applyProtection="1">
      <alignment horizontal="right" vertical="center"/>
    </xf>
    <xf numFmtId="164" fontId="5" fillId="0" borderId="15" xfId="13" applyNumberFormat="1" applyFont="1" applyFill="1" applyBorder="1" applyAlignment="1" applyProtection="1">
      <alignment horizontal="right" vertical="center"/>
    </xf>
    <xf numFmtId="167" fontId="9" fillId="0" borderId="0" xfId="11" applyNumberFormat="1" applyFont="1" applyAlignment="1">
      <alignment horizontal="center" vertical="center"/>
    </xf>
    <xf numFmtId="0" fontId="10" fillId="0" borderId="0" xfId="0" applyFont="1"/>
    <xf numFmtId="0" fontId="9" fillId="0" borderId="0" xfId="37" applyFont="1"/>
    <xf numFmtId="0" fontId="9" fillId="0" borderId="0" xfId="37" applyFont="1" applyAlignment="1">
      <alignment horizontal="center" vertical="center"/>
    </xf>
    <xf numFmtId="0" fontId="9" fillId="0" borderId="0" xfId="37" applyFont="1" applyAlignment="1">
      <alignment vertical="center"/>
    </xf>
    <xf numFmtId="0" fontId="9" fillId="0" borderId="42" xfId="31" applyFont="1" applyBorder="1" applyAlignment="1">
      <alignment horizontal="center"/>
    </xf>
    <xf numFmtId="10" fontId="9" fillId="0" borderId="1" xfId="31" quotePrefix="1" applyNumberFormat="1" applyFont="1" applyBorder="1" applyAlignment="1">
      <alignment horizontal="right" vertical="center"/>
    </xf>
    <xf numFmtId="10" fontId="9" fillId="0" borderId="0" xfId="31" applyNumberFormat="1" applyFont="1" applyAlignment="1">
      <alignment horizontal="right" vertical="center"/>
    </xf>
    <xf numFmtId="164" fontId="9" fillId="0" borderId="1" xfId="2" applyNumberFormat="1" applyFont="1" applyBorder="1" applyAlignment="1">
      <alignment horizontal="right" vertical="center"/>
    </xf>
    <xf numFmtId="164" fontId="5" fillId="2" borderId="0" xfId="2" applyNumberFormat="1" applyFont="1" applyFill="1" applyBorder="1" applyAlignment="1" applyProtection="1">
      <alignment horizontal="right" vertical="center"/>
      <protection locked="0"/>
    </xf>
    <xf numFmtId="164" fontId="5" fillId="2" borderId="0" xfId="31" applyNumberFormat="1" applyFont="1" applyFill="1" applyAlignment="1" applyProtection="1">
      <alignment horizontal="right" vertical="center"/>
      <protection locked="0"/>
    </xf>
    <xf numFmtId="0" fontId="12" fillId="0" borderId="0" xfId="37" applyFont="1"/>
    <xf numFmtId="164" fontId="5" fillId="2" borderId="0" xfId="2" applyNumberFormat="1" applyFont="1" applyFill="1" applyAlignment="1">
      <alignment horizontal="center" vertical="center"/>
    </xf>
    <xf numFmtId="0" fontId="10" fillId="0" borderId="0" xfId="37" applyFont="1"/>
    <xf numFmtId="165" fontId="5" fillId="2" borderId="29" xfId="1" applyNumberFormat="1" applyFont="1" applyFill="1" applyBorder="1" applyAlignment="1">
      <alignment horizontal="center" vertical="center"/>
    </xf>
    <xf numFmtId="164" fontId="5" fillId="0" borderId="0" xfId="20" applyNumberFormat="1" applyFont="1" applyAlignment="1">
      <alignment vertical="center"/>
    </xf>
    <xf numFmtId="164" fontId="5" fillId="0" borderId="0" xfId="20" applyNumberFormat="1" applyFont="1" applyBorder="1" applyAlignment="1">
      <alignment horizontal="right" vertical="center"/>
    </xf>
    <xf numFmtId="0" fontId="5" fillId="0" borderId="0" xfId="11" applyFont="1" applyAlignment="1">
      <alignment horizontal="right"/>
    </xf>
    <xf numFmtId="0" fontId="5" fillId="0" borderId="11" xfId="11" applyFont="1" applyBorder="1" applyAlignment="1">
      <alignment horizontal="center"/>
    </xf>
    <xf numFmtId="0" fontId="5" fillId="0" borderId="43" xfId="11" applyFont="1" applyBorder="1" applyAlignment="1">
      <alignment horizontal="center"/>
    </xf>
    <xf numFmtId="0" fontId="5" fillId="0" borderId="44" xfId="11" applyFont="1" applyBorder="1" applyAlignment="1">
      <alignment horizontal="center"/>
    </xf>
    <xf numFmtId="0" fontId="5" fillId="0" borderId="45" xfId="11" applyFont="1" applyBorder="1" applyAlignment="1">
      <alignment horizontal="center"/>
    </xf>
    <xf numFmtId="0" fontId="5" fillId="0" borderId="46" xfId="11" applyFont="1" applyBorder="1"/>
    <xf numFmtId="10" fontId="5" fillId="0" borderId="12" xfId="19" applyNumberFormat="1" applyFont="1" applyBorder="1" applyAlignment="1">
      <alignment horizontal="center"/>
    </xf>
    <xf numFmtId="164" fontId="9" fillId="0" borderId="12" xfId="20" applyNumberFormat="1" applyFont="1" applyFill="1" applyBorder="1" applyAlignment="1">
      <alignment horizontal="right" vertical="center"/>
    </xf>
    <xf numFmtId="164" fontId="9" fillId="0" borderId="12" xfId="11" applyNumberFormat="1" applyFont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165" fontId="9" fillId="0" borderId="44" xfId="1" applyNumberFormat="1" applyFont="1" applyFill="1" applyBorder="1" applyAlignment="1">
      <alignment horizontal="right" vertical="center"/>
    </xf>
    <xf numFmtId="164" fontId="9" fillId="0" borderId="12" xfId="2" applyNumberFormat="1" applyFont="1" applyFill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9" fillId="0" borderId="44" xfId="1" applyNumberFormat="1" applyFont="1" applyFill="1" applyBorder="1" applyAlignment="1">
      <alignment vertical="center"/>
    </xf>
    <xf numFmtId="170" fontId="5" fillId="0" borderId="12" xfId="11" applyNumberFormat="1" applyFont="1" applyBorder="1" applyAlignment="1">
      <alignment vertical="center"/>
    </xf>
    <xf numFmtId="0" fontId="5" fillId="0" borderId="8" xfId="11" applyFont="1" applyBorder="1"/>
    <xf numFmtId="0" fontId="9" fillId="0" borderId="2" xfId="37" applyFont="1" applyBorder="1"/>
    <xf numFmtId="170" fontId="9" fillId="0" borderId="12" xfId="20" applyNumberFormat="1" applyFont="1" applyFill="1" applyBorder="1" applyAlignment="1">
      <alignment horizontal="right"/>
    </xf>
    <xf numFmtId="170" fontId="9" fillId="0" borderId="12" xfId="11" applyNumberFormat="1" applyFont="1" applyBorder="1" applyAlignment="1">
      <alignment horizontal="right"/>
    </xf>
    <xf numFmtId="171" fontId="5" fillId="0" borderId="12" xfId="1" applyNumberFormat="1" applyFont="1" applyFill="1" applyBorder="1" applyAlignment="1">
      <alignment horizontal="right"/>
    </xf>
    <xf numFmtId="165" fontId="9" fillId="0" borderId="12" xfId="1" applyNumberFormat="1" applyFont="1" applyBorder="1" applyAlignment="1">
      <alignment horizontal="right"/>
    </xf>
    <xf numFmtId="171" fontId="9" fillId="0" borderId="44" xfId="1" applyNumberFormat="1" applyFont="1" applyFill="1" applyBorder="1" applyAlignment="1">
      <alignment horizontal="right"/>
    </xf>
    <xf numFmtId="165" fontId="9" fillId="0" borderId="12" xfId="1" applyNumberFormat="1" applyFont="1" applyFill="1" applyBorder="1" applyAlignment="1">
      <alignment horizontal="right"/>
    </xf>
    <xf numFmtId="170" fontId="5" fillId="0" borderId="12" xfId="2" applyNumberFormat="1" applyFont="1" applyFill="1" applyBorder="1" applyAlignment="1">
      <alignment horizontal="right"/>
    </xf>
    <xf numFmtId="171" fontId="9" fillId="0" borderId="12" xfId="1" applyNumberFormat="1" applyFont="1" applyFill="1" applyBorder="1" applyAlignment="1">
      <alignment horizontal="right"/>
    </xf>
    <xf numFmtId="165" fontId="9" fillId="0" borderId="12" xfId="1" applyNumberFormat="1" applyFont="1" applyBorder="1"/>
    <xf numFmtId="170" fontId="5" fillId="0" borderId="14" xfId="2" applyNumberFormat="1" applyFont="1" applyFill="1" applyBorder="1"/>
    <xf numFmtId="170" fontId="5" fillId="0" borderId="12" xfId="14" applyNumberFormat="1" applyFont="1" applyBorder="1"/>
    <xf numFmtId="165" fontId="9" fillId="0" borderId="44" xfId="21" applyNumberFormat="1" applyFont="1" applyFill="1" applyBorder="1"/>
    <xf numFmtId="164" fontId="5" fillId="0" borderId="14" xfId="20" applyNumberFormat="1" applyFont="1" applyBorder="1" applyAlignment="1">
      <alignment horizontal="right"/>
    </xf>
    <xf numFmtId="165" fontId="5" fillId="0" borderId="8" xfId="14" applyNumberFormat="1" applyFont="1" applyBorder="1"/>
    <xf numFmtId="0" fontId="17" fillId="0" borderId="45" xfId="0" applyFont="1" applyBorder="1" applyAlignment="1">
      <alignment horizontal="right"/>
    </xf>
    <xf numFmtId="174" fontId="9" fillId="0" borderId="0" xfId="2" applyNumberFormat="1" applyFont="1" applyBorder="1" applyAlignment="1">
      <alignment vertical="center"/>
    </xf>
    <xf numFmtId="10" fontId="9" fillId="3" borderId="45" xfId="3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9" fillId="0" borderId="45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32" xfId="1" applyFont="1" applyBorder="1" applyAlignment="1">
      <alignment horizontal="center" vertical="center"/>
    </xf>
    <xf numFmtId="165" fontId="9" fillId="0" borderId="43" xfId="1" applyNumberFormat="1" applyFont="1" applyFill="1" applyBorder="1" applyAlignment="1">
      <alignment vertical="center"/>
    </xf>
    <xf numFmtId="37" fontId="9" fillId="0" borderId="21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44" fontId="7" fillId="0" borderId="0" xfId="5" applyFont="1"/>
    <xf numFmtId="43" fontId="7" fillId="0" borderId="32" xfId="6" applyFont="1" applyBorder="1"/>
    <xf numFmtId="44" fontId="3" fillId="0" borderId="0" xfId="2" applyFont="1" applyBorder="1"/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2" xfId="1" applyFont="1" applyBorder="1" applyAlignment="1">
      <alignment horizontal="center" vertical="center"/>
    </xf>
    <xf numFmtId="43" fontId="7" fillId="0" borderId="32" xfId="1" applyFont="1" applyBorder="1" applyAlignment="1">
      <alignment horizontal="right" vertical="center"/>
    </xf>
    <xf numFmtId="43" fontId="9" fillId="0" borderId="32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5" fillId="0" borderId="32" xfId="1" applyFont="1" applyFill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0" fontId="9" fillId="0" borderId="0" xfId="38" applyFont="1"/>
    <xf numFmtId="0" fontId="7" fillId="0" borderId="0" xfId="38" quotePrefix="1" applyFont="1"/>
    <xf numFmtId="0" fontId="7" fillId="0" borderId="0" xfId="38" applyFont="1"/>
    <xf numFmtId="165" fontId="9" fillId="3" borderId="44" xfId="21" applyNumberFormat="1" applyFont="1" applyFill="1" applyBorder="1"/>
    <xf numFmtId="164" fontId="5" fillId="0" borderId="14" xfId="2" applyNumberFormat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39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7" xr:uid="{CA65D52D-F808-4175-81DD-9CBCA150B990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8" xr:uid="{F0E84770-B2D3-4496-B9E2-12C664DA3EE1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581F4D-B8E6-4819-A8F1-D67C9A3EE3DA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1C26BBC-46CD-4D1E-AA46-6168C0C0DA1C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8867286-E928-4C8C-9681-AC2662FF5278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E268B12-05E5-436E-BC30-CE9BB2A75F1A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8E8AFE1-6F77-447B-BA69-7B8FE0859AD2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821C691-5B2C-4252-9E60-1549EB7EC733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061AB5B-D434-42C8-958E-C9D6A55A0DD0}"/>
            </a:ext>
          </a:extLst>
        </xdr:cNvPr>
        <xdr:cNvSpPr>
          <a:spLocks noChangeShapeType="1"/>
        </xdr:cNvSpPr>
      </xdr:nvSpPr>
      <xdr:spPr bwMode="auto">
        <a:xfrm>
          <a:off x="1770067" y="298132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4.54296875" style="1" customWidth="1"/>
    <col min="3" max="3" width="1.54296875" style="1" customWidth="1"/>
    <col min="4" max="4" width="20.81640625" style="1" customWidth="1"/>
    <col min="5" max="5" width="1.54296875" style="1" customWidth="1"/>
    <col min="6" max="6" width="40.54296875" style="1" customWidth="1"/>
    <col min="7" max="7" width="4.81640625" style="1" customWidth="1"/>
    <col min="8" max="8" width="21.1796875" style="1" customWidth="1"/>
    <col min="9" max="16384" width="9.1796875" style="1"/>
  </cols>
  <sheetData>
    <row r="2" spans="1:8" ht="17.5" x14ac:dyDescent="0.35">
      <c r="B2" s="2" t="s">
        <v>0</v>
      </c>
      <c r="C2" s="2"/>
      <c r="D2" s="3"/>
      <c r="E2" s="3"/>
      <c r="F2" s="3"/>
    </row>
    <row r="3" spans="1:8" ht="17.5" x14ac:dyDescent="0.35">
      <c r="B3" s="148" t="s">
        <v>576</v>
      </c>
      <c r="C3" s="2"/>
      <c r="D3" s="3"/>
      <c r="E3" s="3"/>
      <c r="F3" s="3"/>
    </row>
    <row r="4" spans="1:8" ht="17.5" x14ac:dyDescent="0.35">
      <c r="B4" s="804" t="s">
        <v>599</v>
      </c>
      <c r="C4" s="804"/>
      <c r="D4" s="804"/>
      <c r="E4" s="804"/>
      <c r="F4" s="804"/>
    </row>
    <row r="5" spans="1:8" ht="17.5" x14ac:dyDescent="0.35">
      <c r="B5" s="150" t="s">
        <v>578</v>
      </c>
      <c r="C5" s="2"/>
      <c r="D5" s="2"/>
      <c r="E5" s="2"/>
      <c r="F5" s="2"/>
    </row>
    <row r="6" spans="1:8" ht="15.5" x14ac:dyDescent="0.35">
      <c r="B6" s="803" t="s">
        <v>1</v>
      </c>
      <c r="C6" s="803"/>
      <c r="D6" s="803"/>
      <c r="E6" s="803"/>
      <c r="F6" s="803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2</v>
      </c>
      <c r="G8" s="8" t="s">
        <v>2</v>
      </c>
    </row>
    <row r="9" spans="1:8" ht="15.5" x14ac:dyDescent="0.35">
      <c r="A9" s="506" t="s">
        <v>3</v>
      </c>
      <c r="B9" s="9" t="s">
        <v>4</v>
      </c>
      <c r="C9" s="9"/>
      <c r="D9" s="9" t="s">
        <v>5</v>
      </c>
      <c r="E9" s="10"/>
      <c r="F9" s="9" t="s">
        <v>6</v>
      </c>
      <c r="G9" s="506" t="s">
        <v>3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579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" x14ac:dyDescent="0.35">
      <c r="A13" s="33">
        <f>A12+1</f>
        <v>3</v>
      </c>
      <c r="B13" s="155" t="s">
        <v>577</v>
      </c>
      <c r="C13" s="12"/>
      <c r="D13" s="782">
        <f>'Pg2 App XII C5 Comparison'!G28</f>
        <v>4.2885429986514509</v>
      </c>
      <c r="E13" s="13"/>
      <c r="F13" s="11" t="s">
        <v>7</v>
      </c>
      <c r="G13" s="33">
        <f>G12+1</f>
        <v>3</v>
      </c>
    </row>
    <row r="14" spans="1:8" ht="15.5" x14ac:dyDescent="0.3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5" x14ac:dyDescent="0.35">
      <c r="A15" s="8">
        <f t="shared" si="0"/>
        <v>5</v>
      </c>
      <c r="B15" s="5" t="s">
        <v>8</v>
      </c>
      <c r="C15" s="11"/>
      <c r="D15" s="783">
        <f>'Pg14 Appendix XII C5 Int Calc'!G64</f>
        <v>1.027320581879376</v>
      </c>
      <c r="E15" s="14"/>
      <c r="F15" s="11" t="s">
        <v>623</v>
      </c>
      <c r="G15" s="8">
        <f t="shared" si="1"/>
        <v>5</v>
      </c>
    </row>
    <row r="16" spans="1:8" ht="15.5" x14ac:dyDescent="0.3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5" x14ac:dyDescent="0.35">
      <c r="A17" s="8">
        <f t="shared" si="0"/>
        <v>7</v>
      </c>
      <c r="B17" s="411" t="s">
        <v>9</v>
      </c>
      <c r="C17" s="10"/>
      <c r="D17" s="784">
        <f>D13+D15</f>
        <v>5.3158635805308272</v>
      </c>
      <c r="E17" s="13"/>
      <c r="F17" s="11" t="s">
        <v>10</v>
      </c>
      <c r="G17" s="8">
        <f t="shared" si="1"/>
        <v>7</v>
      </c>
      <c r="H17" s="640"/>
    </row>
    <row r="18" spans="1:8" ht="15.5" x14ac:dyDescent="0.35">
      <c r="A18" s="8">
        <f t="shared" si="0"/>
        <v>8</v>
      </c>
      <c r="B18" s="5"/>
      <c r="C18" s="11"/>
      <c r="D18" s="149"/>
      <c r="E18" s="5"/>
      <c r="F18" s="5"/>
      <c r="G18" s="8">
        <f t="shared" si="1"/>
        <v>8</v>
      </c>
    </row>
    <row r="19" spans="1:8" ht="15.5" x14ac:dyDescent="0.35">
      <c r="A19" s="8">
        <f t="shared" si="0"/>
        <v>9</v>
      </c>
      <c r="B19" s="221" t="s">
        <v>11</v>
      </c>
      <c r="C19" s="11"/>
      <c r="D19" s="507">
        <v>12</v>
      </c>
      <c r="E19" s="5"/>
      <c r="F19" s="5"/>
      <c r="G19" s="8">
        <f t="shared" si="1"/>
        <v>9</v>
      </c>
    </row>
    <row r="20" spans="1:8" ht="15.5" x14ac:dyDescent="0.35">
      <c r="A20" s="8">
        <f t="shared" si="0"/>
        <v>10</v>
      </c>
      <c r="B20" s="5"/>
      <c r="C20" s="11"/>
      <c r="D20" s="149"/>
      <c r="E20" s="5"/>
      <c r="F20" s="5"/>
      <c r="G20" s="8">
        <f t="shared" si="1"/>
        <v>10</v>
      </c>
    </row>
    <row r="21" spans="1:8" ht="16" thickBot="1" x14ac:dyDescent="0.4">
      <c r="A21" s="8">
        <f t="shared" si="0"/>
        <v>11</v>
      </c>
      <c r="B21" s="411" t="s">
        <v>12</v>
      </c>
      <c r="C21" s="5"/>
      <c r="D21" s="486">
        <f>D17/12</f>
        <v>0.44298863171090225</v>
      </c>
      <c r="E21" s="5"/>
      <c r="F21" s="11" t="s">
        <v>13</v>
      </c>
      <c r="G21" s="8">
        <f t="shared" si="1"/>
        <v>11</v>
      </c>
      <c r="H21" s="641"/>
    </row>
    <row r="22" spans="1:8" ht="16" thickTop="1" x14ac:dyDescent="0.35">
      <c r="A22" s="8"/>
      <c r="B22" s="151"/>
      <c r="C22" s="5"/>
      <c r="D22" s="290"/>
      <c r="E22" s="5"/>
      <c r="F22" s="5"/>
      <c r="G22" s="5"/>
    </row>
    <row r="23" spans="1:8" ht="15.5" x14ac:dyDescent="0.35">
      <c r="B23" s="5"/>
      <c r="C23" s="5"/>
      <c r="D23" s="5"/>
      <c r="E23" s="5"/>
      <c r="F23" s="5"/>
      <c r="G23" s="5"/>
    </row>
    <row r="24" spans="1:8" ht="17" x14ac:dyDescent="0.35">
      <c r="A24" s="16">
        <v>1</v>
      </c>
      <c r="B24" s="798" t="s">
        <v>701</v>
      </c>
      <c r="C24" s="5"/>
      <c r="D24" s="5"/>
      <c r="E24" s="5"/>
      <c r="F24" s="5"/>
      <c r="G24" s="5"/>
    </row>
    <row r="25" spans="1:8" ht="15.5" x14ac:dyDescent="0.35">
      <c r="B25" s="798" t="s">
        <v>703</v>
      </c>
      <c r="C25" s="5"/>
      <c r="D25" s="5"/>
      <c r="E25" s="5"/>
      <c r="F25" s="5"/>
      <c r="G25" s="5"/>
    </row>
    <row r="26" spans="1:8" ht="15.5" x14ac:dyDescent="0.35">
      <c r="B26" s="799" t="s">
        <v>702</v>
      </c>
      <c r="C26" s="5"/>
      <c r="D26" s="5"/>
      <c r="E26" s="5"/>
      <c r="F26" s="5"/>
      <c r="G26" s="5"/>
    </row>
    <row r="27" spans="1:8" ht="15.5" x14ac:dyDescent="0.35">
      <c r="B27" s="800" t="s">
        <v>704</v>
      </c>
      <c r="C27" s="5"/>
      <c r="D27" s="5"/>
      <c r="E27" s="5"/>
      <c r="F27" s="5"/>
      <c r="G27" s="5"/>
    </row>
    <row r="28" spans="1:8" ht="15.5" x14ac:dyDescent="0.35">
      <c r="B28" s="5"/>
      <c r="C28" s="5"/>
      <c r="D28" s="5"/>
      <c r="E28" s="5"/>
      <c r="F28" s="5"/>
      <c r="G28" s="5"/>
    </row>
    <row r="29" spans="1:8" ht="17" x14ac:dyDescent="0.35">
      <c r="A29" s="16"/>
      <c r="B29" s="5"/>
      <c r="C29" s="5"/>
      <c r="D29" s="5"/>
      <c r="E29" s="5"/>
      <c r="F29" s="5"/>
      <c r="G29" s="5"/>
    </row>
    <row r="30" spans="1:8" ht="15.5" x14ac:dyDescent="0.35">
      <c r="B30" s="5"/>
      <c r="C30" s="5"/>
      <c r="D30" s="5"/>
      <c r="E30" s="5"/>
      <c r="F30" s="5"/>
      <c r="G30" s="5"/>
    </row>
    <row r="31" spans="1:8" ht="15.5" x14ac:dyDescent="0.35">
      <c r="B31" s="5"/>
      <c r="C31" s="5"/>
      <c r="D31" s="5"/>
      <c r="E31" s="5"/>
      <c r="F31" s="5"/>
      <c r="G31" s="5"/>
    </row>
    <row r="32" spans="1:8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6"/>
  <sheetViews>
    <sheetView zoomScale="80" zoomScaleNormal="80" workbookViewId="0"/>
  </sheetViews>
  <sheetFormatPr defaultColWidth="8.81640625" defaultRowHeight="15.5" x14ac:dyDescent="0.35"/>
  <cols>
    <col min="1" max="1" width="5.1796875" style="33" bestFit="1" customWidth="1"/>
    <col min="2" max="2" width="80.54296875" style="34" customWidth="1"/>
    <col min="3" max="3" width="21.179687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47.54296875" style="34" customWidth="1"/>
    <col min="8" max="8" width="5.1796875" style="34" customWidth="1"/>
    <col min="9" max="9" width="8.81640625" style="34"/>
    <col min="10" max="10" width="20.453125" style="34" bestFit="1" customWidth="1"/>
    <col min="11" max="16384" width="8.81640625" style="34"/>
  </cols>
  <sheetData>
    <row r="1" spans="1:8" x14ac:dyDescent="0.35">
      <c r="A1" s="519" t="s">
        <v>691</v>
      </c>
    </row>
    <row r="2" spans="1:8" x14ac:dyDescent="0.35">
      <c r="G2" s="33"/>
      <c r="H2" s="33"/>
    </row>
    <row r="3" spans="1:8" x14ac:dyDescent="0.35">
      <c r="B3" s="812" t="s">
        <v>14</v>
      </c>
      <c r="C3" s="812"/>
      <c r="D3" s="812"/>
      <c r="E3" s="812"/>
      <c r="F3" s="812"/>
      <c r="G3" s="812"/>
      <c r="H3" s="33"/>
    </row>
    <row r="4" spans="1:8" x14ac:dyDescent="0.35">
      <c r="B4" s="812" t="s">
        <v>171</v>
      </c>
      <c r="C4" s="812"/>
      <c r="D4" s="812"/>
      <c r="E4" s="812"/>
      <c r="F4" s="812"/>
      <c r="G4" s="812"/>
      <c r="H4" s="33"/>
    </row>
    <row r="5" spans="1:8" x14ac:dyDescent="0.35">
      <c r="B5" s="812" t="s">
        <v>172</v>
      </c>
      <c r="C5" s="812"/>
      <c r="D5" s="812"/>
      <c r="E5" s="812"/>
      <c r="F5" s="812"/>
      <c r="G5" s="812"/>
      <c r="H5" s="33"/>
    </row>
    <row r="6" spans="1:8" x14ac:dyDescent="0.35">
      <c r="B6" s="815" t="s">
        <v>476</v>
      </c>
      <c r="C6" s="815"/>
      <c r="D6" s="815"/>
      <c r="E6" s="815"/>
      <c r="F6" s="815"/>
      <c r="G6" s="815"/>
      <c r="H6" s="33"/>
    </row>
    <row r="7" spans="1:8" x14ac:dyDescent="0.35">
      <c r="B7" s="814" t="s">
        <v>1</v>
      </c>
      <c r="C7" s="816"/>
      <c r="D7" s="816"/>
      <c r="E7" s="816"/>
      <c r="F7" s="816"/>
      <c r="G7" s="816"/>
      <c r="H7" s="33"/>
    </row>
    <row r="8" spans="1:8" x14ac:dyDescent="0.35">
      <c r="B8" s="33"/>
      <c r="C8" s="33"/>
      <c r="D8" s="33"/>
      <c r="E8" s="36"/>
      <c r="F8" s="36"/>
      <c r="G8" s="33"/>
      <c r="H8" s="33"/>
    </row>
    <row r="9" spans="1:8" x14ac:dyDescent="0.35">
      <c r="A9" s="33" t="s">
        <v>2</v>
      </c>
      <c r="B9" s="291"/>
      <c r="C9" s="33" t="s">
        <v>173</v>
      </c>
      <c r="D9" s="291"/>
      <c r="E9" s="37"/>
      <c r="F9" s="37"/>
      <c r="G9" s="33"/>
      <c r="H9" s="33" t="s">
        <v>2</v>
      </c>
    </row>
    <row r="10" spans="1:8" x14ac:dyDescent="0.35">
      <c r="A10" s="33" t="s">
        <v>3</v>
      </c>
      <c r="C10" s="520" t="s">
        <v>174</v>
      </c>
      <c r="D10" s="291"/>
      <c r="E10" s="521" t="s">
        <v>5</v>
      </c>
      <c r="F10" s="37"/>
      <c r="G10" s="520" t="s">
        <v>6</v>
      </c>
      <c r="H10" s="33" t="s">
        <v>3</v>
      </c>
    </row>
    <row r="11" spans="1:8" x14ac:dyDescent="0.35">
      <c r="C11" s="291"/>
      <c r="D11" s="291"/>
      <c r="E11" s="37"/>
      <c r="F11" s="37"/>
      <c r="G11" s="33"/>
      <c r="H11" s="33"/>
    </row>
    <row r="12" spans="1:8" x14ac:dyDescent="0.35">
      <c r="A12" s="33">
        <v>1</v>
      </c>
      <c r="B12" s="259" t="s">
        <v>175</v>
      </c>
      <c r="C12" s="291"/>
      <c r="D12" s="291"/>
      <c r="E12" s="37"/>
      <c r="F12" s="37"/>
      <c r="G12" s="33"/>
      <c r="H12" s="33">
        <f>A12</f>
        <v>1</v>
      </c>
    </row>
    <row r="13" spans="1:8" x14ac:dyDescent="0.35">
      <c r="A13" s="33">
        <f t="shared" ref="A13:A71" si="0">+A12+1</f>
        <v>2</v>
      </c>
      <c r="B13" s="221" t="s">
        <v>176</v>
      </c>
      <c r="C13" s="291"/>
      <c r="D13" s="291"/>
      <c r="E13" s="39">
        <v>0</v>
      </c>
      <c r="F13" s="37"/>
      <c r="G13" s="33" t="s">
        <v>584</v>
      </c>
      <c r="H13" s="33">
        <f>H12+1</f>
        <v>2</v>
      </c>
    </row>
    <row r="14" spans="1:8" x14ac:dyDescent="0.35">
      <c r="A14" s="33">
        <f t="shared" si="0"/>
        <v>3</v>
      </c>
      <c r="C14" s="291"/>
      <c r="D14" s="291"/>
      <c r="E14" s="37"/>
      <c r="F14" s="37"/>
      <c r="G14" s="33"/>
      <c r="H14" s="33">
        <f t="shared" ref="H14:H71" si="1">H13+1</f>
        <v>3</v>
      </c>
    </row>
    <row r="15" spans="1:8" x14ac:dyDescent="0.35">
      <c r="A15" s="33">
        <f t="shared" si="0"/>
        <v>4</v>
      </c>
      <c r="B15" s="259" t="s">
        <v>177</v>
      </c>
      <c r="G15" s="33"/>
      <c r="H15" s="33">
        <f t="shared" si="1"/>
        <v>4</v>
      </c>
    </row>
    <row r="16" spans="1:8" x14ac:dyDescent="0.35">
      <c r="A16" s="33">
        <f t="shared" si="0"/>
        <v>5</v>
      </c>
      <c r="B16" s="17" t="s">
        <v>178</v>
      </c>
      <c r="C16" s="33"/>
      <c r="E16" s="39">
        <v>109950.11891999999</v>
      </c>
      <c r="G16" s="33" t="s">
        <v>179</v>
      </c>
      <c r="H16" s="33">
        <f t="shared" si="1"/>
        <v>5</v>
      </c>
    </row>
    <row r="17" spans="1:8" x14ac:dyDescent="0.35">
      <c r="A17" s="33">
        <f t="shared" si="0"/>
        <v>6</v>
      </c>
      <c r="B17" s="22" t="s">
        <v>180</v>
      </c>
      <c r="E17" s="41"/>
      <c r="G17" s="33"/>
      <c r="H17" s="33">
        <f t="shared" si="1"/>
        <v>6</v>
      </c>
    </row>
    <row r="18" spans="1:8" x14ac:dyDescent="0.35">
      <c r="A18" s="33">
        <f t="shared" si="0"/>
        <v>7</v>
      </c>
      <c r="B18" s="17" t="s">
        <v>181</v>
      </c>
      <c r="C18" s="33"/>
      <c r="E18" s="42">
        <v>-3844.3684500000004</v>
      </c>
      <c r="G18" s="33" t="s">
        <v>567</v>
      </c>
      <c r="H18" s="33">
        <f t="shared" si="1"/>
        <v>7</v>
      </c>
    </row>
    <row r="19" spans="1:8" x14ac:dyDescent="0.35">
      <c r="A19" s="33">
        <f t="shared" si="0"/>
        <v>8</v>
      </c>
      <c r="B19" s="17" t="s">
        <v>183</v>
      </c>
      <c r="E19" s="42">
        <v>-1815.5599299999999</v>
      </c>
      <c r="G19" s="33" t="s">
        <v>568</v>
      </c>
      <c r="H19" s="33">
        <f t="shared" si="1"/>
        <v>8</v>
      </c>
    </row>
    <row r="20" spans="1:8" x14ac:dyDescent="0.35">
      <c r="A20" s="33">
        <f t="shared" si="0"/>
        <v>9</v>
      </c>
      <c r="B20" s="221" t="s">
        <v>185</v>
      </c>
      <c r="E20" s="42">
        <v>-8258.6720000000005</v>
      </c>
      <c r="G20" s="33" t="s">
        <v>182</v>
      </c>
      <c r="H20" s="33">
        <f t="shared" si="1"/>
        <v>9</v>
      </c>
    </row>
    <row r="21" spans="1:8" x14ac:dyDescent="0.35">
      <c r="A21" s="33">
        <f t="shared" si="0"/>
        <v>10</v>
      </c>
      <c r="B21" s="221" t="s">
        <v>582</v>
      </c>
      <c r="E21" s="42">
        <v>-10149.41</v>
      </c>
      <c r="G21" s="33" t="s">
        <v>184</v>
      </c>
      <c r="H21" s="33">
        <f t="shared" si="1"/>
        <v>10</v>
      </c>
    </row>
    <row r="22" spans="1:8" x14ac:dyDescent="0.35">
      <c r="A22" s="33">
        <f t="shared" si="0"/>
        <v>11</v>
      </c>
      <c r="B22" s="17" t="s">
        <v>187</v>
      </c>
      <c r="E22" s="42">
        <v>0</v>
      </c>
      <c r="G22" s="33" t="s">
        <v>186</v>
      </c>
      <c r="H22" s="33">
        <f t="shared" si="1"/>
        <v>11</v>
      </c>
    </row>
    <row r="23" spans="1:8" x14ac:dyDescent="0.35">
      <c r="A23" s="33">
        <f t="shared" si="0"/>
        <v>12</v>
      </c>
      <c r="B23" s="17" t="s">
        <v>188</v>
      </c>
      <c r="E23" s="42">
        <v>-3708.41851</v>
      </c>
      <c r="G23" s="33" t="s">
        <v>569</v>
      </c>
      <c r="H23" s="33">
        <f t="shared" si="1"/>
        <v>12</v>
      </c>
    </row>
    <row r="24" spans="1:8" x14ac:dyDescent="0.35">
      <c r="A24" s="33">
        <f t="shared" si="0"/>
        <v>13</v>
      </c>
      <c r="B24" s="221" t="s">
        <v>189</v>
      </c>
      <c r="E24" s="42">
        <v>-19573.862000000001</v>
      </c>
      <c r="G24" s="33" t="s">
        <v>570</v>
      </c>
      <c r="H24" s="33">
        <f t="shared" si="1"/>
        <v>13</v>
      </c>
    </row>
    <row r="25" spans="1:8" x14ac:dyDescent="0.35">
      <c r="A25" s="33">
        <f t="shared" si="0"/>
        <v>14</v>
      </c>
      <c r="B25" s="221" t="s">
        <v>190</v>
      </c>
      <c r="E25" s="42">
        <v>-24432.907999999999</v>
      </c>
      <c r="G25" s="33" t="s">
        <v>571</v>
      </c>
      <c r="H25" s="33">
        <f t="shared" si="1"/>
        <v>14</v>
      </c>
    </row>
    <row r="26" spans="1:8" x14ac:dyDescent="0.35">
      <c r="A26" s="33">
        <f t="shared" si="0"/>
        <v>15</v>
      </c>
      <c r="B26" s="221" t="s">
        <v>191</v>
      </c>
      <c r="E26" s="42">
        <v>-423.899</v>
      </c>
      <c r="G26" s="33" t="s">
        <v>585</v>
      </c>
      <c r="H26" s="33">
        <f t="shared" si="1"/>
        <v>15</v>
      </c>
    </row>
    <row r="27" spans="1:8" x14ac:dyDescent="0.35">
      <c r="A27" s="33">
        <f t="shared" si="0"/>
        <v>16</v>
      </c>
      <c r="B27" s="17" t="s">
        <v>192</v>
      </c>
      <c r="E27" s="43">
        <v>-105.63984000000001</v>
      </c>
      <c r="G27" s="33" t="s">
        <v>472</v>
      </c>
      <c r="H27" s="33">
        <f t="shared" si="1"/>
        <v>16</v>
      </c>
    </row>
    <row r="28" spans="1:8" x14ac:dyDescent="0.35">
      <c r="A28" s="33">
        <f t="shared" si="0"/>
        <v>17</v>
      </c>
      <c r="B28" s="17" t="s">
        <v>193</v>
      </c>
      <c r="E28" s="96">
        <f>SUM(E16:E27)</f>
        <v>37637.381189999978</v>
      </c>
      <c r="G28" s="28" t="s">
        <v>572</v>
      </c>
      <c r="H28" s="33">
        <f t="shared" si="1"/>
        <v>17</v>
      </c>
    </row>
    <row r="29" spans="1:8" x14ac:dyDescent="0.35">
      <c r="A29" s="33">
        <f t="shared" si="0"/>
        <v>18</v>
      </c>
      <c r="E29" s="32"/>
      <c r="H29" s="33">
        <f t="shared" si="1"/>
        <v>18</v>
      </c>
    </row>
    <row r="30" spans="1:8" x14ac:dyDescent="0.35">
      <c r="A30" s="33">
        <f t="shared" si="0"/>
        <v>19</v>
      </c>
      <c r="B30" s="260" t="s">
        <v>194</v>
      </c>
      <c r="E30" s="44"/>
      <c r="G30" s="33"/>
      <c r="H30" s="33">
        <f t="shared" si="1"/>
        <v>19</v>
      </c>
    </row>
    <row r="31" spans="1:8" x14ac:dyDescent="0.35">
      <c r="A31" s="33">
        <f t="shared" si="0"/>
        <v>20</v>
      </c>
      <c r="B31" s="22" t="s">
        <v>195</v>
      </c>
      <c r="C31" s="33"/>
      <c r="E31" s="39">
        <v>656998.86427999998</v>
      </c>
      <c r="G31" s="33" t="s">
        <v>573</v>
      </c>
      <c r="H31" s="33">
        <f t="shared" si="1"/>
        <v>20</v>
      </c>
    </row>
    <row r="32" spans="1:8" x14ac:dyDescent="0.35">
      <c r="A32" s="33">
        <f t="shared" si="0"/>
        <v>21</v>
      </c>
      <c r="B32" s="22" t="s">
        <v>196</v>
      </c>
      <c r="E32" s="44" t="s">
        <v>197</v>
      </c>
      <c r="G32" s="33"/>
      <c r="H32" s="33">
        <f t="shared" si="1"/>
        <v>21</v>
      </c>
    </row>
    <row r="33" spans="1:10" x14ac:dyDescent="0.35">
      <c r="A33" s="33">
        <f t="shared" si="0"/>
        <v>22</v>
      </c>
      <c r="B33" s="40" t="s">
        <v>198</v>
      </c>
      <c r="E33" s="42">
        <v>-5025.3662400000003</v>
      </c>
      <c r="G33" s="33" t="s">
        <v>589</v>
      </c>
      <c r="H33" s="33">
        <f t="shared" si="1"/>
        <v>22</v>
      </c>
      <c r="I33" s="261"/>
      <c r="J33" s="46"/>
    </row>
    <row r="34" spans="1:10" ht="31" x14ac:dyDescent="0.35">
      <c r="A34" s="33">
        <f t="shared" si="0"/>
        <v>23</v>
      </c>
      <c r="B34" s="40" t="s">
        <v>199</v>
      </c>
      <c r="E34" s="42">
        <v>-13176.468442261001</v>
      </c>
      <c r="G34" s="45" t="s">
        <v>590</v>
      </c>
      <c r="H34" s="33">
        <f t="shared" si="1"/>
        <v>23</v>
      </c>
      <c r="I34" s="261"/>
      <c r="J34" s="46"/>
    </row>
    <row r="35" spans="1:10" x14ac:dyDescent="0.35">
      <c r="A35" s="33">
        <f t="shared" si="0"/>
        <v>24</v>
      </c>
      <c r="B35" s="40" t="s">
        <v>200</v>
      </c>
      <c r="E35" s="42">
        <v>0</v>
      </c>
      <c r="G35" s="33" t="s">
        <v>591</v>
      </c>
      <c r="H35" s="33">
        <f t="shared" si="1"/>
        <v>24</v>
      </c>
    </row>
    <row r="36" spans="1:10" x14ac:dyDescent="0.35">
      <c r="A36" s="33">
        <f t="shared" si="0"/>
        <v>25</v>
      </c>
      <c r="B36" s="40" t="s">
        <v>201</v>
      </c>
      <c r="E36" s="42">
        <v>-617.17561999999998</v>
      </c>
      <c r="G36" s="33" t="s">
        <v>592</v>
      </c>
      <c r="H36" s="33">
        <f t="shared" si="1"/>
        <v>25</v>
      </c>
      <c r="J36" s="46"/>
    </row>
    <row r="37" spans="1:10" x14ac:dyDescent="0.35">
      <c r="A37" s="33">
        <f t="shared" si="0"/>
        <v>26</v>
      </c>
      <c r="B37" s="40" t="s">
        <v>583</v>
      </c>
      <c r="E37" s="42">
        <v>-22235.548999999999</v>
      </c>
      <c r="G37" s="33" t="s">
        <v>473</v>
      </c>
      <c r="H37" s="33">
        <f t="shared" si="1"/>
        <v>26</v>
      </c>
      <c r="J37" s="46"/>
    </row>
    <row r="38" spans="1:10" x14ac:dyDescent="0.35">
      <c r="A38" s="33">
        <f t="shared" si="0"/>
        <v>27</v>
      </c>
      <c r="B38" s="40" t="s">
        <v>202</v>
      </c>
      <c r="E38" s="42">
        <v>0</v>
      </c>
      <c r="G38" s="456" t="s">
        <v>474</v>
      </c>
      <c r="H38" s="33">
        <f t="shared" si="1"/>
        <v>27</v>
      </c>
      <c r="J38" s="46"/>
    </row>
    <row r="39" spans="1:10" x14ac:dyDescent="0.35">
      <c r="A39" s="33">
        <f t="shared" si="0"/>
        <v>28</v>
      </c>
      <c r="B39" s="40" t="s">
        <v>203</v>
      </c>
      <c r="E39" s="42">
        <v>-66.134640000000005</v>
      </c>
      <c r="G39" s="45" t="s">
        <v>593</v>
      </c>
      <c r="H39" s="33">
        <f t="shared" si="1"/>
        <v>28</v>
      </c>
      <c r="I39" s="261"/>
    </row>
    <row r="40" spans="1:10" x14ac:dyDescent="0.35">
      <c r="A40" s="33">
        <f t="shared" si="0"/>
        <v>29</v>
      </c>
      <c r="B40" s="40" t="s">
        <v>204</v>
      </c>
      <c r="E40" s="42">
        <v>-128579.84063999999</v>
      </c>
      <c r="G40" s="33" t="s">
        <v>594</v>
      </c>
      <c r="H40" s="33">
        <f t="shared" si="1"/>
        <v>29</v>
      </c>
      <c r="I40" s="261"/>
      <c r="J40" s="46"/>
    </row>
    <row r="41" spans="1:10" x14ac:dyDescent="0.35">
      <c r="A41" s="33">
        <f t="shared" si="0"/>
        <v>30</v>
      </c>
      <c r="B41" s="40" t="s">
        <v>205</v>
      </c>
      <c r="E41" s="42">
        <v>-25.724845446</v>
      </c>
      <c r="G41" s="45" t="s">
        <v>595</v>
      </c>
      <c r="H41" s="33">
        <f t="shared" si="1"/>
        <v>30</v>
      </c>
    </row>
    <row r="42" spans="1:10" x14ac:dyDescent="0.35">
      <c r="A42" s="33">
        <f t="shared" si="0"/>
        <v>31</v>
      </c>
      <c r="B42" s="40" t="s">
        <v>206</v>
      </c>
      <c r="E42" s="42">
        <v>-964.92977000000019</v>
      </c>
      <c r="G42" s="45" t="s">
        <v>475</v>
      </c>
      <c r="H42" s="33">
        <f t="shared" si="1"/>
        <v>31</v>
      </c>
    </row>
    <row r="43" spans="1:10" ht="31" x14ac:dyDescent="0.35">
      <c r="A43" s="33">
        <f t="shared" si="0"/>
        <v>32</v>
      </c>
      <c r="B43" s="40" t="s">
        <v>207</v>
      </c>
      <c r="E43" s="42">
        <v>-9748.0802954320006</v>
      </c>
      <c r="G43" s="45" t="s">
        <v>596</v>
      </c>
      <c r="H43" s="33">
        <f t="shared" si="1"/>
        <v>32</v>
      </c>
    </row>
    <row r="44" spans="1:10" x14ac:dyDescent="0.35">
      <c r="A44" s="33">
        <f t="shared" si="0"/>
        <v>33</v>
      </c>
      <c r="B44" s="34" t="s">
        <v>208</v>
      </c>
      <c r="E44" s="42">
        <v>12176.99337</v>
      </c>
      <c r="G44" s="45" t="s">
        <v>638</v>
      </c>
      <c r="H44" s="33">
        <f t="shared" si="1"/>
        <v>33</v>
      </c>
      <c r="J44" s="657"/>
    </row>
    <row r="45" spans="1:10" x14ac:dyDescent="0.35">
      <c r="A45" s="33">
        <f t="shared" si="0"/>
        <v>34</v>
      </c>
      <c r="B45" s="21" t="s">
        <v>639</v>
      </c>
      <c r="E45" s="517">
        <v>530</v>
      </c>
      <c r="F45" s="23" t="s">
        <v>24</v>
      </c>
      <c r="G45" s="33" t="s">
        <v>640</v>
      </c>
      <c r="H45" s="33">
        <f t="shared" si="1"/>
        <v>34</v>
      </c>
      <c r="J45" s="657"/>
    </row>
    <row r="46" spans="1:10" x14ac:dyDescent="0.35">
      <c r="A46" s="33">
        <f t="shared" si="0"/>
        <v>35</v>
      </c>
      <c r="B46" s="22" t="s">
        <v>209</v>
      </c>
      <c r="E46" s="48">
        <f>SUM(E31:E45)</f>
        <v>489266.58815686102</v>
      </c>
      <c r="F46" s="23" t="s">
        <v>24</v>
      </c>
      <c r="G46" s="33" t="s">
        <v>626</v>
      </c>
      <c r="H46" s="33">
        <f t="shared" si="1"/>
        <v>35</v>
      </c>
      <c r="J46" s="47"/>
    </row>
    <row r="47" spans="1:10" x14ac:dyDescent="0.35">
      <c r="A47" s="33">
        <f t="shared" si="0"/>
        <v>36</v>
      </c>
      <c r="B47" s="22" t="s">
        <v>210</v>
      </c>
      <c r="E47" s="570">
        <v>-8615.7170000000006</v>
      </c>
      <c r="G47" s="33" t="s">
        <v>211</v>
      </c>
      <c r="H47" s="33">
        <f t="shared" si="1"/>
        <v>36</v>
      </c>
    </row>
    <row r="48" spans="1:10" x14ac:dyDescent="0.35">
      <c r="A48" s="33">
        <f t="shared" si="0"/>
        <v>37</v>
      </c>
      <c r="B48" s="22" t="s">
        <v>212</v>
      </c>
      <c r="E48" s="48">
        <f>SUM(E46:E47)</f>
        <v>480650.87115686102</v>
      </c>
      <c r="F48" s="23" t="s">
        <v>24</v>
      </c>
      <c r="G48" s="33" t="s">
        <v>612</v>
      </c>
      <c r="H48" s="33">
        <f t="shared" si="1"/>
        <v>37</v>
      </c>
    </row>
    <row r="49" spans="1:10" x14ac:dyDescent="0.35">
      <c r="A49" s="33">
        <f t="shared" si="0"/>
        <v>38</v>
      </c>
      <c r="B49" s="17" t="s">
        <v>213</v>
      </c>
      <c r="E49" s="571">
        <v>0.10978650001623282</v>
      </c>
      <c r="G49" s="28" t="s">
        <v>214</v>
      </c>
      <c r="H49" s="33">
        <f t="shared" si="1"/>
        <v>38</v>
      </c>
    </row>
    <row r="50" spans="1:10" x14ac:dyDescent="0.35">
      <c r="A50" s="33">
        <f t="shared" si="0"/>
        <v>39</v>
      </c>
      <c r="B50" s="22" t="s">
        <v>215</v>
      </c>
      <c r="E50" s="49">
        <f>E48*E49</f>
        <v>52768.97687406504</v>
      </c>
      <c r="F50" s="23" t="s">
        <v>24</v>
      </c>
      <c r="G50" s="33" t="s">
        <v>613</v>
      </c>
      <c r="H50" s="33">
        <f t="shared" si="1"/>
        <v>39</v>
      </c>
    </row>
    <row r="51" spans="1:10" x14ac:dyDescent="0.35">
      <c r="A51" s="33">
        <f t="shared" si="0"/>
        <v>40</v>
      </c>
      <c r="B51" s="34" t="s">
        <v>216</v>
      </c>
      <c r="E51" s="656">
        <f>E71*(-E47)</f>
        <v>3396.2445102204388</v>
      </c>
      <c r="G51" s="33" t="s">
        <v>614</v>
      </c>
      <c r="H51" s="33">
        <f t="shared" si="1"/>
        <v>40</v>
      </c>
    </row>
    <row r="52" spans="1:10" ht="16" thickBot="1" x14ac:dyDescent="0.4">
      <c r="A52" s="33">
        <f t="shared" si="0"/>
        <v>41</v>
      </c>
      <c r="B52" s="40" t="s">
        <v>217</v>
      </c>
      <c r="E52" s="262">
        <f>E51+E50</f>
        <v>56165.221384285476</v>
      </c>
      <c r="F52" s="23" t="s">
        <v>24</v>
      </c>
      <c r="G52" s="33" t="s">
        <v>615</v>
      </c>
      <c r="H52" s="33">
        <f t="shared" si="1"/>
        <v>41</v>
      </c>
      <c r="I52" s="40"/>
      <c r="J52" s="47"/>
    </row>
    <row r="53" spans="1:10" ht="16" thickTop="1" x14ac:dyDescent="0.35">
      <c r="A53" s="33">
        <f t="shared" si="0"/>
        <v>42</v>
      </c>
      <c r="B53" s="50"/>
      <c r="E53" s="51"/>
      <c r="G53" s="33"/>
      <c r="H53" s="33">
        <f t="shared" si="1"/>
        <v>42</v>
      </c>
    </row>
    <row r="54" spans="1:10" x14ac:dyDescent="0.35">
      <c r="A54" s="33">
        <f t="shared" si="0"/>
        <v>43</v>
      </c>
      <c r="B54" s="24" t="s">
        <v>218</v>
      </c>
      <c r="E54" s="52"/>
      <c r="G54" s="33"/>
      <c r="H54" s="33">
        <f t="shared" si="1"/>
        <v>43</v>
      </c>
    </row>
    <row r="55" spans="1:10" x14ac:dyDescent="0.35">
      <c r="A55" s="33">
        <f t="shared" si="0"/>
        <v>44</v>
      </c>
      <c r="B55" s="22" t="s">
        <v>219</v>
      </c>
      <c r="E55" s="126">
        <v>7118163.5102730775</v>
      </c>
      <c r="F55" s="23" t="s">
        <v>24</v>
      </c>
      <c r="G55" s="33" t="s">
        <v>641</v>
      </c>
      <c r="H55" s="33">
        <f t="shared" si="1"/>
        <v>44</v>
      </c>
    </row>
    <row r="56" spans="1:10" x14ac:dyDescent="0.35">
      <c r="A56" s="33">
        <f t="shared" si="0"/>
        <v>45</v>
      </c>
      <c r="B56" s="22" t="s">
        <v>221</v>
      </c>
      <c r="E56" s="697">
        <v>0</v>
      </c>
      <c r="G56" s="33" t="s">
        <v>222</v>
      </c>
      <c r="H56" s="33">
        <f t="shared" si="1"/>
        <v>45</v>
      </c>
    </row>
    <row r="57" spans="1:10" x14ac:dyDescent="0.35">
      <c r="A57" s="33">
        <f t="shared" si="0"/>
        <v>46</v>
      </c>
      <c r="B57" s="22" t="s">
        <v>223</v>
      </c>
      <c r="E57" s="698">
        <v>55216.642539430133</v>
      </c>
      <c r="F57" s="23" t="s">
        <v>24</v>
      </c>
      <c r="G57" s="55" t="s">
        <v>642</v>
      </c>
      <c r="H57" s="33">
        <f t="shared" si="1"/>
        <v>46</v>
      </c>
    </row>
    <row r="58" spans="1:10" x14ac:dyDescent="0.35">
      <c r="A58" s="33">
        <f t="shared" si="0"/>
        <v>47</v>
      </c>
      <c r="B58" s="22" t="s">
        <v>225</v>
      </c>
      <c r="E58" s="699">
        <v>149891.84237701603</v>
      </c>
      <c r="F58" s="23" t="s">
        <v>24</v>
      </c>
      <c r="G58" s="55" t="s">
        <v>643</v>
      </c>
      <c r="H58" s="33">
        <f t="shared" si="1"/>
        <v>47</v>
      </c>
    </row>
    <row r="59" spans="1:10" ht="16" thickBot="1" x14ac:dyDescent="0.4">
      <c r="A59" s="33">
        <f t="shared" si="0"/>
        <v>48</v>
      </c>
      <c r="B59" s="22" t="s">
        <v>227</v>
      </c>
      <c r="E59" s="700">
        <f>SUM(E55:E58)</f>
        <v>7323271.9951895243</v>
      </c>
      <c r="F59" s="23" t="s">
        <v>24</v>
      </c>
      <c r="G59" s="33" t="s">
        <v>616</v>
      </c>
      <c r="H59" s="33">
        <f t="shared" si="1"/>
        <v>48</v>
      </c>
      <c r="I59" s="40"/>
    </row>
    <row r="60" spans="1:10" ht="16" thickTop="1" x14ac:dyDescent="0.35">
      <c r="A60" s="33">
        <f t="shared" si="0"/>
        <v>49</v>
      </c>
      <c r="B60" s="50"/>
      <c r="E60" s="701"/>
      <c r="G60" s="33"/>
      <c r="H60" s="33">
        <f t="shared" si="1"/>
        <v>49</v>
      </c>
    </row>
    <row r="61" spans="1:10" x14ac:dyDescent="0.35">
      <c r="A61" s="33">
        <f t="shared" si="0"/>
        <v>50</v>
      </c>
      <c r="B61" s="22" t="s">
        <v>228</v>
      </c>
      <c r="E61" s="558">
        <f>E55</f>
        <v>7118163.5102730775</v>
      </c>
      <c r="F61" s="23" t="s">
        <v>24</v>
      </c>
      <c r="G61" s="58" t="s">
        <v>617</v>
      </c>
      <c r="H61" s="33">
        <f t="shared" si="1"/>
        <v>50</v>
      </c>
    </row>
    <row r="62" spans="1:10" x14ac:dyDescent="0.35">
      <c r="A62" s="33">
        <f t="shared" si="0"/>
        <v>51</v>
      </c>
      <c r="B62" s="22" t="s">
        <v>229</v>
      </c>
      <c r="E62" s="702">
        <v>566170.85559615376</v>
      </c>
      <c r="F62" s="23" t="s">
        <v>24</v>
      </c>
      <c r="G62" s="55" t="s">
        <v>644</v>
      </c>
      <c r="H62" s="33">
        <f t="shared" si="1"/>
        <v>51</v>
      </c>
    </row>
    <row r="63" spans="1:10" x14ac:dyDescent="0.35">
      <c r="A63" s="33">
        <f t="shared" si="0"/>
        <v>52</v>
      </c>
      <c r="B63" s="22" t="s">
        <v>231</v>
      </c>
      <c r="E63" s="697">
        <v>0</v>
      </c>
      <c r="G63" s="33" t="s">
        <v>222</v>
      </c>
      <c r="H63" s="33">
        <f t="shared" si="1"/>
        <v>52</v>
      </c>
    </row>
    <row r="64" spans="1:10" x14ac:dyDescent="0.35">
      <c r="A64" s="33">
        <f t="shared" si="0"/>
        <v>53</v>
      </c>
      <c r="B64" s="22" t="s">
        <v>232</v>
      </c>
      <c r="E64" s="702">
        <v>542691.86144307698</v>
      </c>
      <c r="F64" s="23" t="s">
        <v>24</v>
      </c>
      <c r="G64" s="55" t="s">
        <v>645</v>
      </c>
      <c r="H64" s="33">
        <f t="shared" si="1"/>
        <v>53</v>
      </c>
    </row>
    <row r="65" spans="1:10" x14ac:dyDescent="0.35">
      <c r="A65" s="33">
        <f t="shared" si="0"/>
        <v>54</v>
      </c>
      <c r="B65" s="22" t="s">
        <v>234</v>
      </c>
      <c r="E65" s="702">
        <v>8482668.700170001</v>
      </c>
      <c r="F65" s="23" t="s">
        <v>24</v>
      </c>
      <c r="G65" s="55" t="s">
        <v>646</v>
      </c>
      <c r="H65" s="33">
        <f t="shared" si="1"/>
        <v>54</v>
      </c>
    </row>
    <row r="66" spans="1:10" x14ac:dyDescent="0.35">
      <c r="A66" s="33">
        <f t="shared" si="0"/>
        <v>55</v>
      </c>
      <c r="B66" s="40" t="s">
        <v>221</v>
      </c>
      <c r="E66" s="697">
        <v>0</v>
      </c>
      <c r="G66" s="33" t="s">
        <v>222</v>
      </c>
      <c r="H66" s="33">
        <f t="shared" si="1"/>
        <v>55</v>
      </c>
    </row>
    <row r="67" spans="1:10" x14ac:dyDescent="0.35">
      <c r="A67" s="33">
        <f t="shared" si="0"/>
        <v>56</v>
      </c>
      <c r="B67" s="22" t="s">
        <v>236</v>
      </c>
      <c r="E67" s="702">
        <v>502945.64934</v>
      </c>
      <c r="F67" s="23" t="s">
        <v>24</v>
      </c>
      <c r="G67" s="55" t="s">
        <v>647</v>
      </c>
      <c r="H67" s="33">
        <f t="shared" si="1"/>
        <v>56</v>
      </c>
    </row>
    <row r="68" spans="1:10" x14ac:dyDescent="0.35">
      <c r="A68" s="33">
        <f t="shared" si="0"/>
        <v>57</v>
      </c>
      <c r="B68" s="22" t="s">
        <v>238</v>
      </c>
      <c r="E68" s="703">
        <v>1365303.0414017509</v>
      </c>
      <c r="F68" s="23" t="s">
        <v>24</v>
      </c>
      <c r="G68" s="55" t="s">
        <v>648</v>
      </c>
      <c r="H68" s="33">
        <f t="shared" si="1"/>
        <v>57</v>
      </c>
    </row>
    <row r="69" spans="1:10" ht="16" thickBot="1" x14ac:dyDescent="0.4">
      <c r="A69" s="33">
        <f t="shared" si="0"/>
        <v>58</v>
      </c>
      <c r="B69" s="22" t="s">
        <v>240</v>
      </c>
      <c r="E69" s="704">
        <f>SUM(E61:E68)</f>
        <v>18577943.618224062</v>
      </c>
      <c r="F69" s="23" t="s">
        <v>24</v>
      </c>
      <c r="G69" s="33" t="s">
        <v>618</v>
      </c>
      <c r="H69" s="33">
        <f t="shared" si="1"/>
        <v>58</v>
      </c>
      <c r="I69" s="40"/>
      <c r="J69" s="47"/>
    </row>
    <row r="70" spans="1:10" ht="16" thickTop="1" x14ac:dyDescent="0.35">
      <c r="A70" s="33">
        <f t="shared" si="0"/>
        <v>59</v>
      </c>
      <c r="E70" s="705"/>
      <c r="G70" s="33"/>
      <c r="H70" s="33">
        <f t="shared" si="1"/>
        <v>59</v>
      </c>
    </row>
    <row r="71" spans="1:10" ht="19" thickBot="1" x14ac:dyDescent="0.4">
      <c r="A71" s="33">
        <f t="shared" si="0"/>
        <v>60</v>
      </c>
      <c r="B71" s="22" t="s">
        <v>241</v>
      </c>
      <c r="E71" s="706">
        <f>E59/E69</f>
        <v>0.39419174402089097</v>
      </c>
      <c r="F71" s="23" t="s">
        <v>24</v>
      </c>
      <c r="G71" s="33" t="s">
        <v>619</v>
      </c>
      <c r="H71" s="33">
        <f t="shared" si="1"/>
        <v>60</v>
      </c>
      <c r="I71" s="40"/>
    </row>
    <row r="72" spans="1:10" ht="16" thickTop="1" x14ac:dyDescent="0.35">
      <c r="B72" s="40" t="s">
        <v>197</v>
      </c>
      <c r="E72" s="62"/>
      <c r="G72" s="33"/>
      <c r="H72" s="33"/>
    </row>
    <row r="73" spans="1:10" x14ac:dyDescent="0.35">
      <c r="B73" s="40"/>
      <c r="E73" s="62"/>
      <c r="G73" s="33"/>
      <c r="H73" s="33"/>
    </row>
    <row r="74" spans="1:10" x14ac:dyDescent="0.35">
      <c r="A74" s="23" t="s">
        <v>24</v>
      </c>
      <c r="B74" s="296" t="s">
        <v>649</v>
      </c>
      <c r="E74" s="62"/>
      <c r="F74" s="62"/>
      <c r="G74" s="33"/>
      <c r="H74" s="33"/>
    </row>
    <row r="75" spans="1:10" ht="18" x14ac:dyDescent="0.35">
      <c r="A75" s="64">
        <v>1</v>
      </c>
      <c r="B75" s="22" t="s">
        <v>242</v>
      </c>
      <c r="H75" s="33"/>
    </row>
    <row r="76" spans="1:10" x14ac:dyDescent="0.35">
      <c r="B76" s="40"/>
      <c r="E76" s="60"/>
      <c r="F76" s="60"/>
      <c r="G76" s="33"/>
      <c r="H76" s="33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Roman,Bold"&amp;7AS FILED STMT AH WITH COST ADJ INCL. INAPPENDIX XII CYCLE 6 (ER24-175)</oddHeader>
    <oddFooter>&amp;L&amp;F&amp;CPage 8.1&amp;R&amp;A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24C2-E43A-4E57-B878-912B6BC6D5CF}">
  <sheetPr>
    <pageSetUpPr fitToPage="1"/>
  </sheetPr>
  <dimension ref="A2:U99"/>
  <sheetViews>
    <sheetView zoomScale="80" zoomScaleNormal="80" workbookViewId="0"/>
  </sheetViews>
  <sheetFormatPr defaultColWidth="9.1796875" defaultRowHeight="15.5" x14ac:dyDescent="0.35"/>
  <cols>
    <col min="1" max="1" width="5.1796875" style="414" customWidth="1"/>
    <col min="2" max="2" width="8.54296875" style="415" customWidth="1"/>
    <col min="3" max="3" width="68.54296875" style="415" customWidth="1"/>
    <col min="4" max="5" width="12.6328125" style="415" customWidth="1"/>
    <col min="6" max="6" width="13.1796875" style="415" bestFit="1" customWidth="1"/>
    <col min="7" max="7" width="2" style="415" bestFit="1" customWidth="1"/>
    <col min="8" max="8" width="11.6328125" style="415" bestFit="1" customWidth="1"/>
    <col min="9" max="9" width="2.453125" style="423" bestFit="1" customWidth="1"/>
    <col min="10" max="10" width="13.1796875" style="415" bestFit="1" customWidth="1"/>
    <col min="11" max="11" width="13.1796875" style="415" customWidth="1"/>
    <col min="12" max="12" width="2" style="415" bestFit="1" customWidth="1"/>
    <col min="13" max="13" width="16.6328125" style="415" bestFit="1" customWidth="1"/>
    <col min="14" max="14" width="15.1796875" style="415" customWidth="1"/>
    <col min="15" max="15" width="2.1796875" style="415" bestFit="1" customWidth="1"/>
    <col min="16" max="16" width="12.81640625" style="415" bestFit="1" customWidth="1"/>
    <col min="17" max="17" width="34.54296875" style="415" customWidth="1"/>
    <col min="18" max="18" width="5.1796875" style="414" customWidth="1"/>
    <col min="19" max="19" width="4" style="415" customWidth="1"/>
    <col min="20" max="20" width="13.453125" style="415" bestFit="1" customWidth="1"/>
    <col min="21" max="21" width="9.1796875" style="415"/>
    <col min="22" max="22" width="9.54296875" style="415" customWidth="1"/>
    <col min="23" max="23" width="10" style="415" customWidth="1"/>
    <col min="24" max="16384" width="9.1796875" style="415"/>
  </cols>
  <sheetData>
    <row r="2" spans="1:21" x14ac:dyDescent="0.35">
      <c r="B2" s="817" t="s">
        <v>14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488"/>
    </row>
    <row r="3" spans="1:21" x14ac:dyDescent="0.35">
      <c r="B3" s="817" t="s">
        <v>243</v>
      </c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488"/>
    </row>
    <row r="4" spans="1:21" x14ac:dyDescent="0.35">
      <c r="B4" s="817" t="s">
        <v>501</v>
      </c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488"/>
      <c r="T4" s="574"/>
    </row>
    <row r="5" spans="1:21" x14ac:dyDescent="0.35">
      <c r="B5" s="818" t="s">
        <v>1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488"/>
    </row>
    <row r="6" spans="1:21" ht="16" thickBot="1" x14ac:dyDescent="0.4">
      <c r="D6" s="416"/>
      <c r="E6" s="416"/>
      <c r="F6" s="416"/>
      <c r="G6" s="416"/>
      <c r="H6" s="416"/>
      <c r="I6" s="693"/>
      <c r="J6" s="416"/>
      <c r="K6" s="416"/>
      <c r="L6" s="416"/>
      <c r="M6" s="416"/>
      <c r="N6" s="416"/>
      <c r="O6" s="416"/>
      <c r="P6" s="416"/>
      <c r="Q6" s="416"/>
      <c r="T6" s="34"/>
    </row>
    <row r="7" spans="1:21" ht="18" x14ac:dyDescent="0.3">
      <c r="A7" s="488"/>
      <c r="B7" s="417"/>
      <c r="C7" s="418"/>
      <c r="D7" s="419" t="s">
        <v>244</v>
      </c>
      <c r="E7" s="420" t="s">
        <v>245</v>
      </c>
      <c r="F7" s="66" t="s">
        <v>246</v>
      </c>
      <c r="G7" s="67"/>
      <c r="H7" s="487" t="s">
        <v>587</v>
      </c>
      <c r="I7" s="68"/>
      <c r="J7" s="68" t="s">
        <v>588</v>
      </c>
      <c r="K7" s="671" t="s">
        <v>693</v>
      </c>
      <c r="L7" s="68"/>
      <c r="M7" s="68" t="s">
        <v>627</v>
      </c>
      <c r="N7" s="671" t="s">
        <v>694</v>
      </c>
      <c r="O7" s="671"/>
      <c r="P7" s="680" t="s">
        <v>637</v>
      </c>
      <c r="Q7" s="421"/>
      <c r="R7" s="488"/>
    </row>
    <row r="8" spans="1:21" x14ac:dyDescent="0.3">
      <c r="A8" s="414" t="s">
        <v>2</v>
      </c>
      <c r="B8" s="422" t="s">
        <v>247</v>
      </c>
      <c r="C8" s="423"/>
      <c r="D8" s="424" t="s">
        <v>248</v>
      </c>
      <c r="E8" s="488" t="s">
        <v>249</v>
      </c>
      <c r="F8" s="424" t="s">
        <v>248</v>
      </c>
      <c r="G8" s="591"/>
      <c r="H8" s="152" t="s">
        <v>465</v>
      </c>
      <c r="I8" s="69"/>
      <c r="J8" s="69" t="s">
        <v>253</v>
      </c>
      <c r="K8" s="688" t="s">
        <v>629</v>
      </c>
      <c r="L8" s="689"/>
      <c r="M8" s="69" t="s">
        <v>628</v>
      </c>
      <c r="N8" s="291" t="s">
        <v>600</v>
      </c>
      <c r="O8" s="152"/>
      <c r="P8" s="678" t="s">
        <v>605</v>
      </c>
      <c r="Q8" s="425"/>
      <c r="R8" s="414" t="s">
        <v>2</v>
      </c>
    </row>
    <row r="9" spans="1:21" ht="16" thickBot="1" x14ac:dyDescent="0.35">
      <c r="A9" s="414" t="s">
        <v>3</v>
      </c>
      <c r="B9" s="426" t="s">
        <v>250</v>
      </c>
      <c r="C9" s="427" t="s">
        <v>4</v>
      </c>
      <c r="D9" s="428" t="s">
        <v>251</v>
      </c>
      <c r="E9" s="427" t="s">
        <v>252</v>
      </c>
      <c r="F9" s="428" t="s">
        <v>253</v>
      </c>
      <c r="G9" s="429"/>
      <c r="H9" s="430" t="s">
        <v>597</v>
      </c>
      <c r="I9" s="431"/>
      <c r="J9" s="431" t="s">
        <v>598</v>
      </c>
      <c r="K9" s="690" t="s">
        <v>632</v>
      </c>
      <c r="L9" s="431"/>
      <c r="M9" s="431" t="s">
        <v>633</v>
      </c>
      <c r="N9" s="430" t="s">
        <v>601</v>
      </c>
      <c r="O9" s="690"/>
      <c r="P9" s="679" t="s">
        <v>598</v>
      </c>
      <c r="Q9" s="432" t="s">
        <v>6</v>
      </c>
      <c r="R9" s="414" t="s">
        <v>3</v>
      </c>
      <c r="S9" s="414"/>
    </row>
    <row r="10" spans="1:21" x14ac:dyDescent="0.35">
      <c r="B10" s="433"/>
      <c r="C10" s="434" t="s">
        <v>254</v>
      </c>
      <c r="D10" s="435"/>
      <c r="E10" s="496"/>
      <c r="F10" s="436"/>
      <c r="G10" s="592"/>
      <c r="H10" s="592"/>
      <c r="I10" s="591"/>
      <c r="J10" s="497"/>
      <c r="K10" s="592"/>
      <c r="L10" s="592"/>
      <c r="M10" s="497"/>
      <c r="N10" s="592"/>
      <c r="O10" s="592"/>
      <c r="P10" s="436"/>
      <c r="Q10" s="437"/>
    </row>
    <row r="11" spans="1:21" ht="18" x14ac:dyDescent="0.35">
      <c r="A11" s="414">
        <v>1</v>
      </c>
      <c r="B11" s="433">
        <v>920</v>
      </c>
      <c r="C11" s="438" t="s">
        <v>255</v>
      </c>
      <c r="D11" s="71">
        <v>62282.646999999997</v>
      </c>
      <c r="E11" s="71">
        <f>E34</f>
        <v>880.90825143900008</v>
      </c>
      <c r="F11" s="71">
        <f>D11-E11</f>
        <v>61401.738748560994</v>
      </c>
      <c r="G11" s="672" t="s">
        <v>24</v>
      </c>
      <c r="H11" s="31">
        <f>H35</f>
        <v>880.90824999999995</v>
      </c>
      <c r="I11" s="593">
        <v>3</v>
      </c>
      <c r="J11" s="71">
        <f>F11+H11</f>
        <v>62282.646998560995</v>
      </c>
      <c r="K11" s="31"/>
      <c r="L11" s="31"/>
      <c r="M11" s="71">
        <f t="shared" ref="M11:M24" si="0">J11+K11</f>
        <v>62282.646998560995</v>
      </c>
      <c r="N11" s="74"/>
      <c r="O11" s="31"/>
      <c r="P11" s="71">
        <f t="shared" ref="P11:P24" si="1">M11-N11</f>
        <v>62282.646998560995</v>
      </c>
      <c r="Q11" s="70" t="s">
        <v>477</v>
      </c>
      <c r="R11" s="414">
        <f>A11</f>
        <v>1</v>
      </c>
      <c r="S11" s="415" t="s">
        <v>197</v>
      </c>
      <c r="T11" s="440"/>
    </row>
    <row r="12" spans="1:21" ht="18" x14ac:dyDescent="0.35">
      <c r="A12" s="414">
        <f t="shared" ref="A12:A77" si="2">A11+1</f>
        <v>2</v>
      </c>
      <c r="B12" s="433">
        <v>921</v>
      </c>
      <c r="C12" s="438" t="s">
        <v>256</v>
      </c>
      <c r="D12" s="72">
        <v>33307.565000000002</v>
      </c>
      <c r="E12" s="72">
        <f>E36</f>
        <v>7379.4532107689993</v>
      </c>
      <c r="F12" s="72">
        <f>D12-E12</f>
        <v>25928.111789231003</v>
      </c>
      <c r="G12" s="672" t="s">
        <v>24</v>
      </c>
      <c r="H12" s="73">
        <f>H37</f>
        <v>7379.4532099999997</v>
      </c>
      <c r="I12" s="593">
        <v>3</v>
      </c>
      <c r="J12" s="72">
        <f>F12+H12</f>
        <v>33307.564999231006</v>
      </c>
      <c r="K12" s="73"/>
      <c r="L12" s="73"/>
      <c r="M12" s="72">
        <f t="shared" si="0"/>
        <v>33307.564999231006</v>
      </c>
      <c r="N12" s="513"/>
      <c r="O12" s="73"/>
      <c r="P12" s="72">
        <f t="shared" si="1"/>
        <v>33307.564999231006</v>
      </c>
      <c r="Q12" s="70" t="s">
        <v>478</v>
      </c>
      <c r="R12" s="414">
        <f t="shared" ref="R12:R77" si="3">R11+1</f>
        <v>2</v>
      </c>
      <c r="T12" s="440"/>
      <c r="U12" s="441"/>
    </row>
    <row r="13" spans="1:21" ht="18" x14ac:dyDescent="0.35">
      <c r="A13" s="414">
        <f t="shared" si="2"/>
        <v>3</v>
      </c>
      <c r="B13" s="433">
        <v>922</v>
      </c>
      <c r="C13" s="438" t="s">
        <v>257</v>
      </c>
      <c r="D13" s="72">
        <v>-20277.082999999999</v>
      </c>
      <c r="E13" s="72"/>
      <c r="F13" s="72">
        <f t="shared" ref="F13:F23" si="4">D13-E13</f>
        <v>-20277.082999999999</v>
      </c>
      <c r="G13" s="73"/>
      <c r="H13" s="73"/>
      <c r="I13" s="593"/>
      <c r="J13" s="72">
        <f t="shared" ref="J13:J24" si="5">F13+H13</f>
        <v>-20277.082999999999</v>
      </c>
      <c r="K13" s="46">
        <v>530</v>
      </c>
      <c r="L13" s="672" t="s">
        <v>24</v>
      </c>
      <c r="M13" s="72">
        <f t="shared" si="0"/>
        <v>-19747.082999999999</v>
      </c>
      <c r="N13" s="73"/>
      <c r="O13" s="73"/>
      <c r="P13" s="72">
        <f t="shared" si="1"/>
        <v>-19747.082999999999</v>
      </c>
      <c r="Q13" s="70" t="s">
        <v>479</v>
      </c>
      <c r="R13" s="414">
        <f t="shared" si="3"/>
        <v>3</v>
      </c>
      <c r="T13" s="440"/>
    </row>
    <row r="14" spans="1:21" ht="18" x14ac:dyDescent="0.35">
      <c r="A14" s="414">
        <f t="shared" si="2"/>
        <v>4</v>
      </c>
      <c r="B14" s="433">
        <v>923</v>
      </c>
      <c r="C14" s="438" t="s">
        <v>258</v>
      </c>
      <c r="D14" s="72">
        <v>108586.773</v>
      </c>
      <c r="E14" s="72">
        <f>E39</f>
        <v>10897.358875796001</v>
      </c>
      <c r="F14" s="72">
        <f t="shared" si="4"/>
        <v>97689.414124204006</v>
      </c>
      <c r="G14" s="672" t="s">
        <v>24</v>
      </c>
      <c r="H14" s="73">
        <f>H40</f>
        <v>1396.4498799999999</v>
      </c>
      <c r="I14" s="593">
        <v>3</v>
      </c>
      <c r="J14" s="72">
        <f t="shared" si="5"/>
        <v>99085.864004204006</v>
      </c>
      <c r="K14" s="73"/>
      <c r="L14" s="73"/>
      <c r="M14" s="72">
        <f t="shared" si="0"/>
        <v>99085.864004204006</v>
      </c>
      <c r="N14" s="513"/>
      <c r="O14" s="73"/>
      <c r="P14" s="72">
        <f t="shared" si="1"/>
        <v>99085.864004204006</v>
      </c>
      <c r="Q14" s="70" t="s">
        <v>480</v>
      </c>
      <c r="R14" s="414">
        <f t="shared" si="3"/>
        <v>4</v>
      </c>
      <c r="T14" s="440"/>
    </row>
    <row r="15" spans="1:21" ht="18" x14ac:dyDescent="0.35">
      <c r="A15" s="414">
        <f t="shared" si="2"/>
        <v>5</v>
      </c>
      <c r="B15" s="433">
        <v>924</v>
      </c>
      <c r="C15" s="438" t="s">
        <v>259</v>
      </c>
      <c r="D15" s="72">
        <v>8615.7170000000006</v>
      </c>
      <c r="E15" s="72"/>
      <c r="F15" s="72">
        <f t="shared" si="4"/>
        <v>8615.7170000000006</v>
      </c>
      <c r="G15" s="73"/>
      <c r="H15" s="73"/>
      <c r="I15" s="593"/>
      <c r="J15" s="72">
        <f t="shared" si="5"/>
        <v>8615.7170000000006</v>
      </c>
      <c r="K15" s="73"/>
      <c r="L15" s="73"/>
      <c r="M15" s="72">
        <f t="shared" si="0"/>
        <v>8615.7170000000006</v>
      </c>
      <c r="N15" s="73"/>
      <c r="O15" s="73"/>
      <c r="P15" s="72">
        <f t="shared" si="1"/>
        <v>8615.7170000000006</v>
      </c>
      <c r="Q15" s="70" t="s">
        <v>481</v>
      </c>
      <c r="R15" s="414">
        <f t="shared" si="3"/>
        <v>5</v>
      </c>
      <c r="T15" s="440"/>
    </row>
    <row r="16" spans="1:21" ht="18" x14ac:dyDescent="0.35">
      <c r="A16" s="414">
        <f t="shared" si="2"/>
        <v>6</v>
      </c>
      <c r="B16" s="433">
        <v>925</v>
      </c>
      <c r="C16" s="438" t="s">
        <v>260</v>
      </c>
      <c r="D16" s="72">
        <v>215579.21799999999</v>
      </c>
      <c r="E16" s="72">
        <f>E45</f>
        <v>1418.4390198959995</v>
      </c>
      <c r="F16" s="72">
        <f t="shared" si="4"/>
        <v>214160.77898010399</v>
      </c>
      <c r="G16" s="672" t="s">
        <v>24</v>
      </c>
      <c r="H16" s="73">
        <f>H46</f>
        <v>995.92452000000003</v>
      </c>
      <c r="I16" s="593">
        <v>3</v>
      </c>
      <c r="J16" s="72">
        <f t="shared" si="5"/>
        <v>215156.70350010399</v>
      </c>
      <c r="K16" s="73"/>
      <c r="L16" s="73"/>
      <c r="M16" s="72">
        <f t="shared" si="0"/>
        <v>215156.70350010399</v>
      </c>
      <c r="N16" s="513"/>
      <c r="O16" s="73"/>
      <c r="P16" s="72">
        <f t="shared" si="1"/>
        <v>215156.70350010399</v>
      </c>
      <c r="Q16" s="70" t="s">
        <v>482</v>
      </c>
      <c r="R16" s="414">
        <f t="shared" si="3"/>
        <v>6</v>
      </c>
      <c r="T16" s="440"/>
    </row>
    <row r="17" spans="1:20" ht="18" x14ac:dyDescent="0.35">
      <c r="A17" s="414">
        <f t="shared" si="2"/>
        <v>7</v>
      </c>
      <c r="B17" s="433">
        <v>926</v>
      </c>
      <c r="C17" s="438" t="s">
        <v>261</v>
      </c>
      <c r="D17" s="72">
        <v>56506.010999999999</v>
      </c>
      <c r="E17" s="72">
        <f>E50</f>
        <v>2076.6261635540004</v>
      </c>
      <c r="F17" s="72">
        <f t="shared" si="4"/>
        <v>54429.384836445999</v>
      </c>
      <c r="G17" s="672" t="s">
        <v>24</v>
      </c>
      <c r="H17" s="73">
        <f>H51</f>
        <v>1510.53378</v>
      </c>
      <c r="I17" s="593">
        <v>3</v>
      </c>
      <c r="J17" s="72">
        <f t="shared" si="5"/>
        <v>55939.918616445997</v>
      </c>
      <c r="K17" s="73"/>
      <c r="L17" s="73"/>
      <c r="M17" s="72">
        <f t="shared" si="0"/>
        <v>55939.918616445997</v>
      </c>
      <c r="N17" s="513"/>
      <c r="O17" s="73"/>
      <c r="P17" s="72">
        <f t="shared" si="1"/>
        <v>55939.918616445997</v>
      </c>
      <c r="Q17" s="70" t="s">
        <v>483</v>
      </c>
      <c r="R17" s="414">
        <f t="shared" si="3"/>
        <v>7</v>
      </c>
      <c r="T17" s="575"/>
    </row>
    <row r="18" spans="1:20" x14ac:dyDescent="0.35">
      <c r="A18" s="414">
        <f t="shared" si="2"/>
        <v>8</v>
      </c>
      <c r="B18" s="433">
        <v>927</v>
      </c>
      <c r="C18" s="438" t="s">
        <v>262</v>
      </c>
      <c r="D18" s="72">
        <v>128579.841</v>
      </c>
      <c r="E18" s="72">
        <f>E52</f>
        <v>128579.84063999999</v>
      </c>
      <c r="F18" s="72">
        <f t="shared" si="4"/>
        <v>3.6000000545755029E-4</v>
      </c>
      <c r="G18" s="73"/>
      <c r="H18" s="73"/>
      <c r="I18" s="513"/>
      <c r="J18" s="72">
        <f t="shared" si="5"/>
        <v>3.6000000545755029E-4</v>
      </c>
      <c r="K18" s="73"/>
      <c r="L18" s="73"/>
      <c r="M18" s="72">
        <f t="shared" si="0"/>
        <v>3.6000000545755029E-4</v>
      </c>
      <c r="N18" s="73"/>
      <c r="O18" s="73"/>
      <c r="P18" s="72">
        <f t="shared" si="1"/>
        <v>3.6000000545755029E-4</v>
      </c>
      <c r="Q18" s="70" t="s">
        <v>484</v>
      </c>
      <c r="R18" s="414">
        <f t="shared" si="3"/>
        <v>8</v>
      </c>
      <c r="T18" s="442"/>
    </row>
    <row r="19" spans="1:20" x14ac:dyDescent="0.35">
      <c r="A19" s="414">
        <f t="shared" si="2"/>
        <v>9</v>
      </c>
      <c r="B19" s="433">
        <v>928</v>
      </c>
      <c r="C19" s="438" t="s">
        <v>263</v>
      </c>
      <c r="D19" s="72">
        <v>35379.656000000003</v>
      </c>
      <c r="E19" s="72">
        <f>E57</f>
        <v>24075.693879999999</v>
      </c>
      <c r="F19" s="72">
        <f t="shared" si="4"/>
        <v>11303.962120000004</v>
      </c>
      <c r="G19" s="73"/>
      <c r="H19" s="73"/>
      <c r="I19" s="513"/>
      <c r="J19" s="72">
        <f t="shared" si="5"/>
        <v>11303.962120000004</v>
      </c>
      <c r="K19" s="73"/>
      <c r="L19" s="73"/>
      <c r="M19" s="72">
        <f t="shared" si="0"/>
        <v>11303.962120000004</v>
      </c>
      <c r="N19" s="73"/>
      <c r="O19" s="73"/>
      <c r="P19" s="72">
        <f t="shared" si="1"/>
        <v>11303.962120000004</v>
      </c>
      <c r="Q19" s="70" t="s">
        <v>485</v>
      </c>
      <c r="R19" s="414">
        <f t="shared" si="3"/>
        <v>9</v>
      </c>
      <c r="T19" s="442"/>
    </row>
    <row r="20" spans="1:20" x14ac:dyDescent="0.35">
      <c r="A20" s="414">
        <f t="shared" si="2"/>
        <v>10</v>
      </c>
      <c r="B20" s="422">
        <v>929</v>
      </c>
      <c r="C20" s="438" t="s">
        <v>264</v>
      </c>
      <c r="D20" s="72">
        <v>-12933.800999999999</v>
      </c>
      <c r="E20" s="72"/>
      <c r="F20" s="72">
        <f t="shared" si="4"/>
        <v>-12933.800999999999</v>
      </c>
      <c r="G20" s="73"/>
      <c r="H20" s="73"/>
      <c r="I20" s="513"/>
      <c r="J20" s="72">
        <f t="shared" si="5"/>
        <v>-12933.800999999999</v>
      </c>
      <c r="K20" s="73"/>
      <c r="L20" s="73"/>
      <c r="M20" s="72">
        <f t="shared" si="0"/>
        <v>-12933.800999999999</v>
      </c>
      <c r="N20" s="252">
        <v>-3059.17454</v>
      </c>
      <c r="O20" s="23" t="s">
        <v>24</v>
      </c>
      <c r="P20" s="504">
        <f t="shared" si="1"/>
        <v>-9874.6264599999995</v>
      </c>
      <c r="Q20" s="70" t="s">
        <v>486</v>
      </c>
      <c r="R20" s="414">
        <f t="shared" si="3"/>
        <v>10</v>
      </c>
      <c r="T20" s="440"/>
    </row>
    <row r="21" spans="1:20" x14ac:dyDescent="0.35">
      <c r="A21" s="414">
        <f t="shared" si="2"/>
        <v>11</v>
      </c>
      <c r="B21" s="443">
        <v>930.1</v>
      </c>
      <c r="C21" s="438" t="s">
        <v>265</v>
      </c>
      <c r="D21" s="72">
        <v>66.135000000000005</v>
      </c>
      <c r="E21" s="72">
        <f>E59</f>
        <v>66.134640000000005</v>
      </c>
      <c r="F21" s="72">
        <f t="shared" si="4"/>
        <v>3.6000000000058208E-4</v>
      </c>
      <c r="G21" s="73"/>
      <c r="H21" s="73"/>
      <c r="I21" s="513"/>
      <c r="J21" s="72">
        <f t="shared" si="5"/>
        <v>3.6000000000058208E-4</v>
      </c>
      <c r="K21" s="73"/>
      <c r="L21" s="73"/>
      <c r="M21" s="72">
        <f t="shared" si="0"/>
        <v>3.6000000000058208E-4</v>
      </c>
      <c r="N21" s="73"/>
      <c r="O21" s="73"/>
      <c r="P21" s="72">
        <f t="shared" si="1"/>
        <v>3.6000000000058208E-4</v>
      </c>
      <c r="Q21" s="70" t="s">
        <v>487</v>
      </c>
      <c r="R21" s="414">
        <f t="shared" si="3"/>
        <v>11</v>
      </c>
      <c r="T21" s="440"/>
    </row>
    <row r="22" spans="1:20" ht="18" x14ac:dyDescent="0.35">
      <c r="A22" s="414">
        <f t="shared" si="2"/>
        <v>12</v>
      </c>
      <c r="B22" s="443">
        <v>930.2</v>
      </c>
      <c r="C22" s="438" t="s">
        <v>266</v>
      </c>
      <c r="D22" s="72">
        <v>10538.715</v>
      </c>
      <c r="E22" s="72">
        <f>E61</f>
        <v>5025.3699585660006</v>
      </c>
      <c r="F22" s="72">
        <f t="shared" si="4"/>
        <v>5513.3450414339995</v>
      </c>
      <c r="G22" s="672" t="s">
        <v>24</v>
      </c>
      <c r="H22" s="73">
        <f>H62</f>
        <v>3.7200000000000002E-3</v>
      </c>
      <c r="I22" s="593">
        <v>3</v>
      </c>
      <c r="J22" s="72">
        <f t="shared" si="5"/>
        <v>5513.3487614339992</v>
      </c>
      <c r="K22" s="73"/>
      <c r="L22" s="73"/>
      <c r="M22" s="72">
        <f t="shared" si="0"/>
        <v>5513.3487614339992</v>
      </c>
      <c r="N22" s="513"/>
      <c r="O22" s="73"/>
      <c r="P22" s="72">
        <f t="shared" si="1"/>
        <v>5513.3487614339992</v>
      </c>
      <c r="Q22" s="70" t="s">
        <v>488</v>
      </c>
      <c r="R22" s="414">
        <f t="shared" si="3"/>
        <v>12</v>
      </c>
      <c r="T22" s="444"/>
    </row>
    <row r="23" spans="1:20" ht="18" x14ac:dyDescent="0.35">
      <c r="A23" s="414">
        <f t="shared" si="2"/>
        <v>13</v>
      </c>
      <c r="B23" s="433">
        <v>931</v>
      </c>
      <c r="C23" s="438" t="s">
        <v>267</v>
      </c>
      <c r="D23" s="72">
        <v>12351.503000000001</v>
      </c>
      <c r="E23" s="72">
        <f>E63</f>
        <v>13.720007673000001</v>
      </c>
      <c r="F23" s="72">
        <f t="shared" si="4"/>
        <v>12337.782992327</v>
      </c>
      <c r="G23" s="672" t="s">
        <v>24</v>
      </c>
      <c r="H23" s="73">
        <f>H64</f>
        <v>13.72001</v>
      </c>
      <c r="I23" s="593">
        <v>3</v>
      </c>
      <c r="J23" s="72">
        <f t="shared" si="5"/>
        <v>12351.503002326999</v>
      </c>
      <c r="K23" s="73"/>
      <c r="L23" s="73"/>
      <c r="M23" s="72">
        <f t="shared" si="0"/>
        <v>12351.503002326999</v>
      </c>
      <c r="N23" s="513"/>
      <c r="O23" s="73"/>
      <c r="P23" s="72">
        <f t="shared" si="1"/>
        <v>12351.503002326999</v>
      </c>
      <c r="Q23" s="70" t="s">
        <v>489</v>
      </c>
      <c r="R23" s="414">
        <f t="shared" si="3"/>
        <v>13</v>
      </c>
      <c r="T23" s="440"/>
    </row>
    <row r="24" spans="1:20" x14ac:dyDescent="0.35">
      <c r="A24" s="414">
        <f t="shared" si="2"/>
        <v>14</v>
      </c>
      <c r="B24" s="433">
        <v>935</v>
      </c>
      <c r="C24" s="438" t="s">
        <v>268</v>
      </c>
      <c r="D24" s="371">
        <v>18209.169000000002</v>
      </c>
      <c r="E24" s="371">
        <f>E65</f>
        <v>25.724845446</v>
      </c>
      <c r="F24" s="371">
        <f>D24-E24</f>
        <v>18183.444154554003</v>
      </c>
      <c r="G24" s="514"/>
      <c r="H24" s="516"/>
      <c r="I24" s="515"/>
      <c r="J24" s="371">
        <f t="shared" si="5"/>
        <v>18183.444154554003</v>
      </c>
      <c r="K24" s="516"/>
      <c r="L24" s="516"/>
      <c r="M24" s="682">
        <f t="shared" si="0"/>
        <v>18183.444154554003</v>
      </c>
      <c r="N24" s="516"/>
      <c r="O24" s="773"/>
      <c r="P24" s="682">
        <f t="shared" si="1"/>
        <v>18183.444154554003</v>
      </c>
      <c r="Q24" s="70" t="s">
        <v>490</v>
      </c>
      <c r="R24" s="414">
        <f t="shared" si="3"/>
        <v>14</v>
      </c>
      <c r="S24" s="415" t="s">
        <v>197</v>
      </c>
      <c r="T24" s="440"/>
    </row>
    <row r="25" spans="1:20" x14ac:dyDescent="0.35">
      <c r="A25" s="414">
        <f t="shared" si="2"/>
        <v>15</v>
      </c>
      <c r="B25" s="433"/>
      <c r="D25" s="445"/>
      <c r="E25" s="445"/>
      <c r="F25" s="445"/>
      <c r="J25" s="445"/>
      <c r="M25" s="696"/>
      <c r="P25" s="445"/>
      <c r="Q25" s="446"/>
      <c r="R25" s="414">
        <f t="shared" si="3"/>
        <v>15</v>
      </c>
    </row>
    <row r="26" spans="1:20" ht="16" thickBot="1" x14ac:dyDescent="0.4">
      <c r="A26" s="414">
        <f t="shared" si="2"/>
        <v>16</v>
      </c>
      <c r="B26" s="433"/>
      <c r="C26" s="423" t="s">
        <v>269</v>
      </c>
      <c r="D26" s="447">
        <f>SUM(D11:D24)</f>
        <v>656792.06599999999</v>
      </c>
      <c r="E26" s="76">
        <f>SUM(E11:E24)</f>
        <v>180439.269493139</v>
      </c>
      <c r="F26" s="76">
        <f>SUM(F11:F24)</f>
        <v>476352.79650686105</v>
      </c>
      <c r="G26" s="77" t="s">
        <v>24</v>
      </c>
      <c r="H26" s="448">
        <f>SUM(H11:H24)</f>
        <v>12176.99337</v>
      </c>
      <c r="I26" s="78"/>
      <c r="J26" s="76">
        <f>SUM(J11:J24)</f>
        <v>488529.78987686103</v>
      </c>
      <c r="K26" s="448">
        <f>SUM(K11:K24)</f>
        <v>530</v>
      </c>
      <c r="L26" s="781" t="s">
        <v>24</v>
      </c>
      <c r="M26" s="78">
        <f>SUM(M11:M24)</f>
        <v>489059.78987686103</v>
      </c>
      <c r="N26" s="448">
        <f>SUM(N11:N24)</f>
        <v>-3059.17454</v>
      </c>
      <c r="O26" s="774" t="s">
        <v>24</v>
      </c>
      <c r="P26" s="76">
        <f>SUM(P11:P24)</f>
        <v>492118.96441686101</v>
      </c>
      <c r="Q26" s="80" t="str">
        <f>"Sum Lines "&amp;A11&amp;" thru "&amp;A24</f>
        <v>Sum Lines 1 thru 14</v>
      </c>
      <c r="R26" s="414">
        <f t="shared" si="3"/>
        <v>16</v>
      </c>
    </row>
    <row r="27" spans="1:20" ht="16" thickTop="1" x14ac:dyDescent="0.35">
      <c r="A27" s="414">
        <f t="shared" si="2"/>
        <v>17</v>
      </c>
      <c r="B27" s="433"/>
      <c r="C27" s="423"/>
      <c r="D27" s="449"/>
      <c r="E27" s="439"/>
      <c r="F27" s="75"/>
      <c r="G27" s="74"/>
      <c r="H27" s="74"/>
      <c r="I27" s="74"/>
      <c r="J27" s="75"/>
      <c r="K27" s="74"/>
      <c r="L27" s="74"/>
      <c r="M27" s="75"/>
      <c r="N27" s="74"/>
      <c r="O27" s="74"/>
      <c r="P27" s="75"/>
      <c r="Q27" s="80"/>
      <c r="R27" s="414">
        <f t="shared" si="3"/>
        <v>17</v>
      </c>
    </row>
    <row r="28" spans="1:20" ht="18" x14ac:dyDescent="0.35">
      <c r="A28" s="414">
        <f t="shared" si="2"/>
        <v>18</v>
      </c>
      <c r="B28" s="433">
        <v>413</v>
      </c>
      <c r="C28" s="415" t="s">
        <v>270</v>
      </c>
      <c r="D28" s="371">
        <v>206.79828000000001</v>
      </c>
      <c r="E28" s="518">
        <v>0</v>
      </c>
      <c r="F28" s="371">
        <f>D28-E28</f>
        <v>206.79828000000001</v>
      </c>
      <c r="G28" s="514"/>
      <c r="H28" s="516"/>
      <c r="I28" s="694"/>
      <c r="J28" s="750">
        <f t="shared" ref="J28" si="6">F28+H28</f>
        <v>206.79828000000001</v>
      </c>
      <c r="K28" s="516"/>
      <c r="L28" s="516"/>
      <c r="M28" s="682">
        <f>J28+K28</f>
        <v>206.79828000000001</v>
      </c>
      <c r="N28" s="516"/>
      <c r="O28" s="773"/>
      <c r="P28" s="682">
        <f>J28-N28</f>
        <v>206.79828000000001</v>
      </c>
      <c r="Q28" s="80"/>
      <c r="R28" s="414">
        <f t="shared" si="3"/>
        <v>18</v>
      </c>
      <c r="T28" s="576"/>
    </row>
    <row r="29" spans="1:20" x14ac:dyDescent="0.35">
      <c r="A29" s="414">
        <f t="shared" si="2"/>
        <v>19</v>
      </c>
      <c r="B29" s="433"/>
      <c r="C29" s="423"/>
      <c r="D29" s="449"/>
      <c r="E29" s="439"/>
      <c r="F29" s="75"/>
      <c r="G29" s="74"/>
      <c r="H29" s="74"/>
      <c r="I29" s="74"/>
      <c r="J29" s="75"/>
      <c r="K29" s="74"/>
      <c r="L29" s="74"/>
      <c r="M29" s="75"/>
      <c r="N29" s="74"/>
      <c r="O29" s="74"/>
      <c r="P29" s="75"/>
      <c r="Q29" s="80"/>
      <c r="R29" s="414">
        <f t="shared" si="3"/>
        <v>19</v>
      </c>
    </row>
    <row r="30" spans="1:20" ht="16" thickBot="1" x14ac:dyDescent="0.4">
      <c r="A30" s="414">
        <f t="shared" si="2"/>
        <v>20</v>
      </c>
      <c r="B30" s="433"/>
      <c r="C30" s="423" t="s">
        <v>271</v>
      </c>
      <c r="D30" s="447">
        <f>D26+D28</f>
        <v>656998.86427999998</v>
      </c>
      <c r="E30" s="439">
        <f>E26+E28</f>
        <v>180439.269493139</v>
      </c>
      <c r="F30" s="75">
        <f>F26+F28</f>
        <v>476559.59478686104</v>
      </c>
      <c r="G30" s="77" t="s">
        <v>24</v>
      </c>
      <c r="H30" s="448">
        <f>H26+H28</f>
        <v>12176.99337</v>
      </c>
      <c r="I30" s="448"/>
      <c r="J30" s="76">
        <f>J26+J28</f>
        <v>488736.58815686102</v>
      </c>
      <c r="K30" s="448">
        <f>K26+K28</f>
        <v>530</v>
      </c>
      <c r="L30" s="781" t="s">
        <v>24</v>
      </c>
      <c r="M30" s="76">
        <f>M26+M28</f>
        <v>489266.58815686102</v>
      </c>
      <c r="N30" s="448">
        <f>N26+N28</f>
        <v>-3059.17454</v>
      </c>
      <c r="O30" s="774" t="s">
        <v>24</v>
      </c>
      <c r="P30" s="76">
        <f>P26+P28</f>
        <v>492325.762696861</v>
      </c>
      <c r="Q30" s="80" t="str">
        <f>"Line "&amp;A26&amp;" + Line "&amp;A28</f>
        <v>Line 16 + Line 18</v>
      </c>
      <c r="R30" s="414">
        <f t="shared" si="3"/>
        <v>20</v>
      </c>
    </row>
    <row r="31" spans="1:20" ht="16.5" thickTop="1" thickBot="1" x14ac:dyDescent="0.4">
      <c r="A31" s="414">
        <f t="shared" si="2"/>
        <v>21</v>
      </c>
      <c r="B31" s="450"/>
      <c r="C31" s="416"/>
      <c r="D31" s="451"/>
      <c r="E31" s="452"/>
      <c r="F31" s="452"/>
      <c r="G31" s="430"/>
      <c r="H31" s="430"/>
      <c r="I31" s="430"/>
      <c r="J31" s="498"/>
      <c r="K31" s="430"/>
      <c r="L31" s="430"/>
      <c r="M31" s="498"/>
      <c r="N31" s="430"/>
      <c r="O31" s="430"/>
      <c r="P31" s="498"/>
      <c r="Q31" s="453"/>
      <c r="R31" s="414">
        <f t="shared" si="3"/>
        <v>21</v>
      </c>
    </row>
    <row r="32" spans="1:20" x14ac:dyDescent="0.35">
      <c r="A32" s="414">
        <f t="shared" si="2"/>
        <v>22</v>
      </c>
      <c r="B32" s="632"/>
      <c r="C32" s="633"/>
      <c r="D32" s="634"/>
      <c r="E32" s="635"/>
      <c r="F32" s="634"/>
      <c r="G32" s="634"/>
      <c r="H32" s="634"/>
      <c r="I32" s="695"/>
      <c r="J32" s="634"/>
      <c r="K32" s="634"/>
      <c r="L32" s="634"/>
      <c r="M32" s="634"/>
      <c r="N32" s="634"/>
      <c r="O32" s="634"/>
      <c r="P32" s="634"/>
      <c r="Q32" s="636"/>
      <c r="R32" s="414">
        <f t="shared" si="3"/>
        <v>22</v>
      </c>
    </row>
    <row r="33" spans="1:20" x14ac:dyDescent="0.35">
      <c r="A33" s="414">
        <f t="shared" si="2"/>
        <v>23</v>
      </c>
      <c r="B33" s="455" t="s">
        <v>272</v>
      </c>
      <c r="C33" s="414"/>
      <c r="D33" s="414"/>
      <c r="E33" s="414"/>
      <c r="F33" s="414"/>
      <c r="G33" s="414"/>
      <c r="H33" s="414"/>
      <c r="I33" s="488"/>
      <c r="J33" s="414"/>
      <c r="K33" s="414"/>
      <c r="L33" s="414"/>
      <c r="M33" s="414"/>
      <c r="N33" s="414"/>
      <c r="O33" s="414"/>
      <c r="P33" s="414"/>
      <c r="Q33" s="446"/>
      <c r="R33" s="414">
        <f t="shared" si="3"/>
        <v>23</v>
      </c>
    </row>
    <row r="34" spans="1:20" x14ac:dyDescent="0.35">
      <c r="A34" s="414">
        <f t="shared" si="2"/>
        <v>24</v>
      </c>
      <c r="B34" s="459">
        <v>920</v>
      </c>
      <c r="C34" s="438" t="s">
        <v>491</v>
      </c>
      <c r="D34" s="51"/>
      <c r="E34" s="577">
        <v>880.90825143900008</v>
      </c>
      <c r="F34" s="414"/>
      <c r="G34" s="414"/>
      <c r="H34" s="414"/>
      <c r="I34" s="488"/>
      <c r="J34" s="414"/>
      <c r="K34" s="414"/>
      <c r="L34" s="414"/>
      <c r="M34" s="414"/>
      <c r="N34" s="414"/>
      <c r="O34" s="414"/>
      <c r="P34" s="414"/>
      <c r="Q34" s="446"/>
      <c r="R34" s="414">
        <f t="shared" si="3"/>
        <v>24</v>
      </c>
      <c r="T34" s="576"/>
    </row>
    <row r="35" spans="1:20" ht="18" x14ac:dyDescent="0.35">
      <c r="A35" s="414">
        <f t="shared" si="2"/>
        <v>25</v>
      </c>
      <c r="B35" s="459"/>
      <c r="C35" s="18" t="s">
        <v>467</v>
      </c>
      <c r="D35" s="51"/>
      <c r="E35" s="577"/>
      <c r="F35" s="414"/>
      <c r="G35" s="414"/>
      <c r="H35" s="674">
        <v>880.90824999999995</v>
      </c>
      <c r="I35" s="466">
        <v>3</v>
      </c>
      <c r="J35" s="414"/>
      <c r="K35" s="414"/>
      <c r="L35" s="414"/>
      <c r="M35" s="414"/>
      <c r="N35" s="414"/>
      <c r="O35" s="414"/>
      <c r="P35" s="414"/>
      <c r="Q35" s="446"/>
      <c r="R35" s="414">
        <f t="shared" si="3"/>
        <v>25</v>
      </c>
      <c r="T35" s="576"/>
    </row>
    <row r="36" spans="1:20" x14ac:dyDescent="0.35">
      <c r="A36" s="414">
        <f t="shared" si="2"/>
        <v>26</v>
      </c>
      <c r="B36" s="459">
        <v>921</v>
      </c>
      <c r="C36" s="438" t="s">
        <v>491</v>
      </c>
      <c r="D36" s="578"/>
      <c r="E36" s="578">
        <v>7379.4532107689993</v>
      </c>
      <c r="F36" s="414"/>
      <c r="G36" s="414"/>
      <c r="H36" s="414"/>
      <c r="I36" s="488"/>
      <c r="J36" s="414"/>
      <c r="K36" s="414"/>
      <c r="L36" s="414"/>
      <c r="M36" s="414"/>
      <c r="N36" s="414"/>
      <c r="O36" s="414"/>
      <c r="P36" s="414"/>
      <c r="Q36" s="446"/>
      <c r="R36" s="414">
        <f t="shared" si="3"/>
        <v>26</v>
      </c>
      <c r="T36" s="576"/>
    </row>
    <row r="37" spans="1:20" ht="18" x14ac:dyDescent="0.35">
      <c r="A37" s="414">
        <f t="shared" si="2"/>
        <v>27</v>
      </c>
      <c r="B37" s="459"/>
      <c r="C37" s="18" t="s">
        <v>467</v>
      </c>
      <c r="D37" s="578"/>
      <c r="E37" s="578"/>
      <c r="F37" s="414"/>
      <c r="G37" s="414"/>
      <c r="H37" s="578">
        <v>7379.4532099999997</v>
      </c>
      <c r="I37" s="466">
        <v>3</v>
      </c>
      <c r="J37" s="414"/>
      <c r="K37" s="414"/>
      <c r="L37" s="414"/>
      <c r="M37" s="414"/>
      <c r="N37" s="414"/>
      <c r="O37" s="414"/>
      <c r="P37" s="414"/>
      <c r="Q37" s="446"/>
      <c r="R37" s="414">
        <f t="shared" si="3"/>
        <v>27</v>
      </c>
      <c r="T37" s="576"/>
    </row>
    <row r="38" spans="1:20" x14ac:dyDescent="0.35">
      <c r="A38" s="414">
        <f t="shared" si="2"/>
        <v>28</v>
      </c>
      <c r="B38" s="459">
        <v>923</v>
      </c>
      <c r="C38" s="438" t="s">
        <v>491</v>
      </c>
      <c r="D38" s="212">
        <v>1396.4498757960002</v>
      </c>
      <c r="E38" s="414"/>
      <c r="F38" s="414"/>
      <c r="G38" s="414"/>
      <c r="H38" s="414"/>
      <c r="I38" s="488"/>
      <c r="J38" s="414"/>
      <c r="K38" s="414"/>
      <c r="L38" s="414"/>
      <c r="M38" s="414"/>
      <c r="N38" s="414"/>
      <c r="O38" s="414"/>
      <c r="P38" s="414"/>
      <c r="Q38" s="446"/>
      <c r="R38" s="414">
        <f t="shared" si="3"/>
        <v>28</v>
      </c>
    </row>
    <row r="39" spans="1:20" ht="18.5" x14ac:dyDescent="0.35">
      <c r="A39" s="414">
        <f t="shared" si="2"/>
        <v>29</v>
      </c>
      <c r="B39" s="459"/>
      <c r="C39" s="438" t="s">
        <v>604</v>
      </c>
      <c r="D39" s="579">
        <v>9500.9089999999997</v>
      </c>
      <c r="E39" s="580">
        <f>SUM(D38:D39)</f>
        <v>10897.358875796001</v>
      </c>
      <c r="F39" s="414"/>
      <c r="G39" s="414"/>
      <c r="H39" s="414"/>
      <c r="I39" s="488"/>
      <c r="J39" s="414"/>
      <c r="K39" s="414"/>
      <c r="L39" s="414"/>
      <c r="M39" s="414"/>
      <c r="N39" s="414"/>
      <c r="O39" s="414"/>
      <c r="P39" s="414"/>
      <c r="Q39" s="446"/>
      <c r="R39" s="414">
        <f t="shared" si="3"/>
        <v>29</v>
      </c>
    </row>
    <row r="40" spans="1:20" ht="18" x14ac:dyDescent="0.35">
      <c r="A40" s="414">
        <f t="shared" si="2"/>
        <v>30</v>
      </c>
      <c r="B40" s="459"/>
      <c r="C40" s="18" t="s">
        <v>467</v>
      </c>
      <c r="D40" s="578"/>
      <c r="E40" s="580"/>
      <c r="F40" s="414"/>
      <c r="G40" s="414"/>
      <c r="H40" s="578">
        <v>1396.4498799999999</v>
      </c>
      <c r="I40" s="466">
        <v>3</v>
      </c>
      <c r="J40" s="414"/>
      <c r="K40" s="414"/>
      <c r="L40" s="414"/>
      <c r="M40" s="414"/>
      <c r="N40" s="414"/>
      <c r="O40" s="414"/>
      <c r="P40" s="414"/>
      <c r="Q40" s="446"/>
      <c r="R40" s="414">
        <f t="shared" si="3"/>
        <v>30</v>
      </c>
    </row>
    <row r="41" spans="1:20" x14ac:dyDescent="0.35">
      <c r="A41" s="414">
        <f t="shared" si="2"/>
        <v>31</v>
      </c>
      <c r="B41" s="459">
        <v>925</v>
      </c>
      <c r="C41" s="438" t="s">
        <v>491</v>
      </c>
      <c r="D41" s="578">
        <v>1299.7870644639997</v>
      </c>
      <c r="E41" s="414"/>
      <c r="F41" s="414"/>
      <c r="G41" s="414"/>
      <c r="H41" s="414"/>
      <c r="I41" s="488"/>
      <c r="J41" s="414"/>
      <c r="K41" s="414"/>
      <c r="L41" s="414"/>
      <c r="M41" s="414"/>
      <c r="N41" s="414"/>
      <c r="O41" s="414"/>
      <c r="P41" s="414"/>
      <c r="Q41" s="446"/>
      <c r="R41" s="414">
        <f t="shared" si="3"/>
        <v>31</v>
      </c>
    </row>
    <row r="42" spans="1:20" x14ac:dyDescent="0.35">
      <c r="A42" s="414">
        <f t="shared" si="2"/>
        <v>32</v>
      </c>
      <c r="B42" s="459"/>
      <c r="C42" s="438" t="s">
        <v>273</v>
      </c>
      <c r="D42" s="578">
        <v>56.953900000000012</v>
      </c>
      <c r="E42" s="414"/>
      <c r="F42" s="414"/>
      <c r="G42" s="414"/>
      <c r="H42" s="414"/>
      <c r="I42" s="488"/>
      <c r="J42" s="414"/>
      <c r="K42" s="414"/>
      <c r="L42" s="414"/>
      <c r="M42" s="414"/>
      <c r="N42" s="414"/>
      <c r="O42" s="414"/>
      <c r="P42" s="414"/>
      <c r="Q42" s="446"/>
      <c r="R42" s="414">
        <f t="shared" si="3"/>
        <v>32</v>
      </c>
    </row>
    <row r="43" spans="1:20" x14ac:dyDescent="0.35">
      <c r="A43" s="414">
        <f t="shared" si="2"/>
        <v>33</v>
      </c>
      <c r="B43" s="459"/>
      <c r="C43" s="438" t="s">
        <v>493</v>
      </c>
      <c r="D43" s="578">
        <v>51.146999999999998</v>
      </c>
      <c r="E43" s="414"/>
      <c r="F43" s="414"/>
      <c r="G43" s="414"/>
      <c r="H43" s="414"/>
      <c r="I43" s="488"/>
      <c r="J43" s="414"/>
      <c r="K43" s="414"/>
      <c r="L43" s="414"/>
      <c r="M43" s="414"/>
      <c r="N43" s="414"/>
      <c r="O43" s="414"/>
      <c r="P43" s="414"/>
      <c r="Q43" s="446"/>
      <c r="R43" s="414">
        <f t="shared" si="3"/>
        <v>33</v>
      </c>
    </row>
    <row r="44" spans="1:20" x14ac:dyDescent="0.35">
      <c r="A44" s="414">
        <f t="shared" si="2"/>
        <v>34</v>
      </c>
      <c r="B44" s="459"/>
      <c r="C44" s="438" t="s">
        <v>494</v>
      </c>
      <c r="D44" s="578">
        <v>7.6603654320000008</v>
      </c>
      <c r="E44" s="414"/>
      <c r="F44" s="414"/>
      <c r="G44" s="414"/>
      <c r="H44" s="414"/>
      <c r="I44" s="488"/>
      <c r="J44" s="414"/>
      <c r="K44" s="414"/>
      <c r="L44" s="414"/>
      <c r="M44" s="414"/>
      <c r="N44" s="414"/>
      <c r="O44" s="414"/>
      <c r="P44" s="414"/>
      <c r="Q44" s="446"/>
      <c r="R44" s="414">
        <f t="shared" si="3"/>
        <v>34</v>
      </c>
    </row>
    <row r="45" spans="1:20" x14ac:dyDescent="0.35">
      <c r="A45" s="414">
        <f t="shared" si="2"/>
        <v>35</v>
      </c>
      <c r="B45" s="459"/>
      <c r="C45" s="438" t="s">
        <v>495</v>
      </c>
      <c r="D45" s="579">
        <v>2.8906900000000006</v>
      </c>
      <c r="E45" s="578">
        <f>SUM(D41:D45)</f>
        <v>1418.4390198959995</v>
      </c>
      <c r="F45" s="414"/>
      <c r="G45" s="414"/>
      <c r="H45" s="414"/>
      <c r="I45" s="488"/>
      <c r="J45" s="414"/>
      <c r="K45" s="414"/>
      <c r="L45" s="414"/>
      <c r="M45" s="414"/>
      <c r="N45" s="414"/>
      <c r="O45" s="414"/>
      <c r="P45" s="414"/>
      <c r="Q45" s="446"/>
      <c r="R45" s="414">
        <f t="shared" si="3"/>
        <v>35</v>
      </c>
    </row>
    <row r="46" spans="1:20" ht="18" x14ac:dyDescent="0.35">
      <c r="A46" s="414">
        <f t="shared" si="2"/>
        <v>36</v>
      </c>
      <c r="B46" s="459"/>
      <c r="C46" s="18" t="s">
        <v>467</v>
      </c>
      <c r="D46" s="578"/>
      <c r="E46" s="578"/>
      <c r="F46" s="414"/>
      <c r="G46" s="414"/>
      <c r="H46" s="578">
        <v>995.92452000000003</v>
      </c>
      <c r="I46" s="466">
        <v>3</v>
      </c>
      <c r="J46" s="414"/>
      <c r="K46" s="414"/>
      <c r="L46" s="414"/>
      <c r="M46" s="414"/>
      <c r="N46" s="414"/>
      <c r="O46" s="414"/>
      <c r="P46" s="414"/>
      <c r="Q46" s="446"/>
      <c r="R46" s="414">
        <f t="shared" si="3"/>
        <v>36</v>
      </c>
    </row>
    <row r="47" spans="1:20" x14ac:dyDescent="0.35">
      <c r="A47" s="414">
        <f t="shared" si="2"/>
        <v>37</v>
      </c>
      <c r="B47" s="459">
        <v>926</v>
      </c>
      <c r="C47" s="457" t="s">
        <v>491</v>
      </c>
      <c r="D47" s="578">
        <v>1948.1068235539999</v>
      </c>
      <c r="E47" s="414"/>
      <c r="F47" s="414"/>
      <c r="G47" s="414"/>
      <c r="H47" s="414"/>
      <c r="I47" s="488"/>
      <c r="J47" s="414"/>
      <c r="K47" s="414"/>
      <c r="L47" s="414"/>
      <c r="M47" s="414"/>
      <c r="N47" s="414"/>
      <c r="O47" s="414"/>
      <c r="P47" s="414"/>
      <c r="Q47" s="446"/>
      <c r="R47" s="414">
        <f t="shared" si="3"/>
        <v>37</v>
      </c>
    </row>
    <row r="48" spans="1:20" x14ac:dyDescent="0.35">
      <c r="A48" s="414">
        <f t="shared" si="2"/>
        <v>38</v>
      </c>
      <c r="B48" s="459"/>
      <c r="C48" s="438" t="s">
        <v>273</v>
      </c>
      <c r="D48" s="578">
        <v>87.771760000000015</v>
      </c>
      <c r="E48" s="414"/>
      <c r="F48" s="414"/>
      <c r="G48" s="414"/>
      <c r="H48" s="414"/>
      <c r="I48" s="488"/>
      <c r="J48" s="414"/>
      <c r="K48" s="414"/>
      <c r="L48" s="414"/>
      <c r="M48" s="414"/>
      <c r="N48" s="414"/>
      <c r="O48" s="414"/>
      <c r="P48" s="414"/>
      <c r="Q48" s="446"/>
      <c r="R48" s="414">
        <f t="shared" si="3"/>
        <v>38</v>
      </c>
    </row>
    <row r="49" spans="1:18" x14ac:dyDescent="0.35">
      <c r="A49" s="414">
        <f t="shared" si="2"/>
        <v>39</v>
      </c>
      <c r="B49" s="459"/>
      <c r="C49" s="438" t="s">
        <v>496</v>
      </c>
      <c r="D49" s="578">
        <v>36.096990000000005</v>
      </c>
      <c r="F49" s="414"/>
      <c r="G49" s="414"/>
      <c r="H49" s="414"/>
      <c r="I49" s="488"/>
      <c r="J49" s="414"/>
      <c r="K49" s="414"/>
      <c r="L49" s="414"/>
      <c r="M49" s="414"/>
      <c r="N49" s="414"/>
      <c r="O49" s="414"/>
      <c r="P49" s="414"/>
      <c r="Q49" s="446"/>
      <c r="R49" s="414">
        <f t="shared" si="3"/>
        <v>39</v>
      </c>
    </row>
    <row r="50" spans="1:18" x14ac:dyDescent="0.35">
      <c r="A50" s="414">
        <f t="shared" si="2"/>
        <v>40</v>
      </c>
      <c r="B50" s="459"/>
      <c r="C50" s="438" t="s">
        <v>495</v>
      </c>
      <c r="D50" s="579">
        <v>4.6505900000000002</v>
      </c>
      <c r="E50" s="578">
        <f>SUM(D47:D50)</f>
        <v>2076.6261635540004</v>
      </c>
      <c r="F50" s="414"/>
      <c r="G50" s="414"/>
      <c r="H50" s="414"/>
      <c r="I50" s="488"/>
      <c r="J50" s="414"/>
      <c r="K50" s="414"/>
      <c r="L50" s="414"/>
      <c r="M50" s="414"/>
      <c r="N50" s="414"/>
      <c r="O50" s="414"/>
      <c r="P50" s="414"/>
      <c r="Q50" s="446"/>
      <c r="R50" s="414">
        <f t="shared" si="3"/>
        <v>40</v>
      </c>
    </row>
    <row r="51" spans="1:18" ht="18" x14ac:dyDescent="0.35">
      <c r="A51" s="414">
        <f t="shared" si="2"/>
        <v>41</v>
      </c>
      <c r="B51" s="459"/>
      <c r="C51" s="18" t="s">
        <v>467</v>
      </c>
      <c r="D51" s="578"/>
      <c r="E51" s="578"/>
      <c r="F51" s="414"/>
      <c r="G51" s="414"/>
      <c r="H51" s="578">
        <v>1510.53378</v>
      </c>
      <c r="I51" s="466">
        <v>3</v>
      </c>
      <c r="J51" s="414"/>
      <c r="K51" s="414"/>
      <c r="L51" s="414"/>
      <c r="M51" s="414"/>
      <c r="N51" s="414"/>
      <c r="O51" s="414"/>
      <c r="P51" s="414"/>
      <c r="Q51" s="446"/>
      <c r="R51" s="414">
        <f t="shared" si="3"/>
        <v>41</v>
      </c>
    </row>
    <row r="52" spans="1:18" x14ac:dyDescent="0.35">
      <c r="A52" s="414">
        <f t="shared" si="2"/>
        <v>42</v>
      </c>
      <c r="B52" s="581">
        <v>927</v>
      </c>
      <c r="C52" s="457" t="s">
        <v>262</v>
      </c>
      <c r="D52" s="578"/>
      <c r="E52" s="582">
        <v>128579.84063999999</v>
      </c>
      <c r="F52" s="414"/>
      <c r="G52" s="414"/>
      <c r="H52" s="414"/>
      <c r="I52" s="488"/>
      <c r="J52" s="414"/>
      <c r="K52" s="414"/>
      <c r="L52" s="414"/>
      <c r="M52" s="414"/>
      <c r="N52" s="414"/>
      <c r="O52" s="414"/>
      <c r="P52" s="414"/>
      <c r="Q52" s="446"/>
      <c r="R52" s="414">
        <f t="shared" si="3"/>
        <v>42</v>
      </c>
    </row>
    <row r="53" spans="1:18" x14ac:dyDescent="0.35">
      <c r="A53" s="414">
        <f t="shared" si="2"/>
        <v>43</v>
      </c>
      <c r="B53" s="459">
        <v>928</v>
      </c>
      <c r="C53" s="40" t="s">
        <v>497</v>
      </c>
      <c r="D53" s="578">
        <v>22235.548999999999</v>
      </c>
      <c r="E53" s="414"/>
      <c r="F53" s="414"/>
      <c r="G53" s="414"/>
      <c r="H53" s="414"/>
      <c r="I53" s="488"/>
      <c r="J53" s="414"/>
      <c r="K53" s="414"/>
      <c r="L53" s="414"/>
      <c r="M53" s="414"/>
      <c r="N53" s="414"/>
      <c r="O53" s="414"/>
      <c r="P53" s="414"/>
      <c r="Q53" s="446"/>
      <c r="R53" s="414">
        <f t="shared" si="3"/>
        <v>43</v>
      </c>
    </row>
    <row r="54" spans="1:18" x14ac:dyDescent="0.35">
      <c r="A54" s="414">
        <f t="shared" si="2"/>
        <v>44</v>
      </c>
      <c r="B54" s="459"/>
      <c r="C54" s="438" t="s">
        <v>274</v>
      </c>
      <c r="D54" s="578">
        <v>964.92977000000019</v>
      </c>
      <c r="E54" s="414"/>
      <c r="F54" s="414"/>
      <c r="G54" s="414"/>
      <c r="H54" s="414"/>
      <c r="I54" s="488"/>
      <c r="J54" s="414"/>
      <c r="K54" s="414"/>
      <c r="L54" s="414"/>
      <c r="M54" s="414"/>
      <c r="N54" s="414"/>
      <c r="O54" s="414"/>
      <c r="P54" s="414"/>
      <c r="Q54" s="446"/>
      <c r="R54" s="414">
        <f t="shared" si="3"/>
        <v>44</v>
      </c>
    </row>
    <row r="55" spans="1:18" x14ac:dyDescent="0.35">
      <c r="A55" s="414">
        <f t="shared" si="2"/>
        <v>45</v>
      </c>
      <c r="B55" s="459"/>
      <c r="C55" s="438" t="s">
        <v>491</v>
      </c>
      <c r="D55" s="578">
        <v>258.03949000000011</v>
      </c>
      <c r="E55" s="414"/>
      <c r="F55" s="414"/>
      <c r="G55" s="414"/>
      <c r="H55" s="414"/>
      <c r="I55" s="488"/>
      <c r="J55" s="414"/>
      <c r="K55" s="414"/>
      <c r="L55" s="414"/>
      <c r="M55" s="414"/>
      <c r="N55" s="414"/>
      <c r="O55" s="414"/>
      <c r="P55" s="414"/>
      <c r="Q55" s="446"/>
      <c r="R55" s="414">
        <f t="shared" si="3"/>
        <v>45</v>
      </c>
    </row>
    <row r="56" spans="1:18" x14ac:dyDescent="0.35">
      <c r="A56" s="414">
        <f t="shared" si="2"/>
        <v>46</v>
      </c>
      <c r="B56" s="459"/>
      <c r="C56" s="18" t="s">
        <v>275</v>
      </c>
      <c r="D56" s="583">
        <v>0</v>
      </c>
      <c r="E56" s="414"/>
      <c r="F56" s="414"/>
      <c r="G56" s="414"/>
      <c r="H56" s="414"/>
      <c r="I56" s="488"/>
      <c r="J56" s="414"/>
      <c r="K56" s="414"/>
      <c r="L56" s="414"/>
      <c r="M56" s="414"/>
      <c r="N56" s="414"/>
      <c r="O56" s="414"/>
      <c r="P56" s="414"/>
      <c r="Q56" s="446"/>
      <c r="R56" s="414">
        <f t="shared" si="3"/>
        <v>46</v>
      </c>
    </row>
    <row r="57" spans="1:18" x14ac:dyDescent="0.35">
      <c r="A57" s="414">
        <f t="shared" si="2"/>
        <v>47</v>
      </c>
      <c r="B57" s="459"/>
      <c r="C57" s="18" t="s">
        <v>276</v>
      </c>
      <c r="D57" s="579">
        <v>617.17561999999998</v>
      </c>
      <c r="E57" s="578">
        <f>SUM(D53:D57)</f>
        <v>24075.693879999999</v>
      </c>
      <c r="F57" s="414"/>
      <c r="G57" s="414"/>
      <c r="H57" s="414"/>
      <c r="I57" s="488"/>
      <c r="J57" s="414"/>
      <c r="K57" s="414"/>
      <c r="L57" s="414"/>
      <c r="M57" s="414"/>
      <c r="N57" s="414"/>
      <c r="O57" s="414"/>
      <c r="P57" s="414"/>
      <c r="Q57" s="446"/>
      <c r="R57" s="414">
        <f t="shared" si="3"/>
        <v>47</v>
      </c>
    </row>
    <row r="58" spans="1:18" ht="18" x14ac:dyDescent="0.35">
      <c r="A58" s="414">
        <f t="shared" si="2"/>
        <v>48</v>
      </c>
      <c r="B58" s="673">
        <v>929</v>
      </c>
      <c r="C58" s="460" t="s">
        <v>695</v>
      </c>
      <c r="D58" s="578"/>
      <c r="E58" s="578"/>
      <c r="F58" s="414"/>
      <c r="G58" s="414"/>
      <c r="H58" s="414"/>
      <c r="I58" s="488"/>
      <c r="N58" s="294"/>
      <c r="O58" s="294"/>
      <c r="P58" s="414"/>
      <c r="Q58" s="446"/>
      <c r="R58" s="414">
        <f t="shared" si="3"/>
        <v>48</v>
      </c>
    </row>
    <row r="59" spans="1:18" x14ac:dyDescent="0.35">
      <c r="A59" s="414">
        <f t="shared" si="2"/>
        <v>49</v>
      </c>
      <c r="B59" s="584">
        <v>930.1</v>
      </c>
      <c r="C59" s="18" t="s">
        <v>265</v>
      </c>
      <c r="D59" s="578"/>
      <c r="E59" s="580">
        <v>66.134640000000005</v>
      </c>
      <c r="F59" s="414"/>
      <c r="G59" s="414"/>
      <c r="H59" s="414"/>
      <c r="I59" s="488"/>
      <c r="J59" s="414"/>
      <c r="K59" s="414"/>
      <c r="L59" s="414"/>
      <c r="M59" s="414"/>
      <c r="N59" s="414"/>
      <c r="O59" s="414"/>
      <c r="P59" s="414"/>
      <c r="Q59" s="446"/>
      <c r="R59" s="414">
        <f t="shared" si="3"/>
        <v>49</v>
      </c>
    </row>
    <row r="60" spans="1:18" x14ac:dyDescent="0.35">
      <c r="A60" s="414">
        <f t="shared" si="2"/>
        <v>50</v>
      </c>
      <c r="B60" s="458">
        <v>930.2</v>
      </c>
      <c r="C60" s="457" t="s">
        <v>277</v>
      </c>
      <c r="D60" s="582">
        <v>5025.3662400000003</v>
      </c>
      <c r="F60" s="414"/>
      <c r="G60" s="414"/>
      <c r="H60" s="414"/>
      <c r="I60" s="488"/>
      <c r="J60" s="414"/>
      <c r="K60" s="414"/>
      <c r="L60" s="414"/>
      <c r="M60" s="414"/>
      <c r="N60" s="414"/>
      <c r="O60" s="414"/>
      <c r="P60" s="414"/>
      <c r="Q60" s="446"/>
      <c r="R60" s="414">
        <f t="shared" si="3"/>
        <v>50</v>
      </c>
    </row>
    <row r="61" spans="1:18" x14ac:dyDescent="0.35">
      <c r="A61" s="414">
        <f t="shared" si="2"/>
        <v>51</v>
      </c>
      <c r="B61" s="458"/>
      <c r="C61" s="457" t="s">
        <v>491</v>
      </c>
      <c r="D61" s="579">
        <v>3.7185659999999956E-3</v>
      </c>
      <c r="E61" s="580">
        <f>SUM(D60:D61)</f>
        <v>5025.3699585660006</v>
      </c>
      <c r="F61" s="414"/>
      <c r="G61" s="414"/>
      <c r="H61" s="414"/>
      <c r="I61" s="488"/>
      <c r="J61" s="414"/>
      <c r="K61" s="414"/>
      <c r="L61" s="414"/>
      <c r="M61" s="414"/>
      <c r="N61" s="414"/>
      <c r="O61" s="414"/>
      <c r="P61" s="414"/>
      <c r="Q61" s="446"/>
      <c r="R61" s="414">
        <f t="shared" si="3"/>
        <v>51</v>
      </c>
    </row>
    <row r="62" spans="1:18" ht="18" x14ac:dyDescent="0.35">
      <c r="A62" s="414">
        <f t="shared" si="2"/>
        <v>52</v>
      </c>
      <c r="B62" s="458"/>
      <c r="C62" s="18" t="s">
        <v>467</v>
      </c>
      <c r="D62" s="578"/>
      <c r="E62" s="580"/>
      <c r="F62" s="414"/>
      <c r="G62" s="414"/>
      <c r="H62" s="578">
        <v>3.7200000000000002E-3</v>
      </c>
      <c r="I62" s="466">
        <v>3</v>
      </c>
      <c r="J62" s="414"/>
      <c r="K62" s="414"/>
      <c r="L62" s="414"/>
      <c r="M62" s="414"/>
      <c r="N62" s="414"/>
      <c r="O62" s="414"/>
      <c r="P62" s="414"/>
      <c r="Q62" s="446"/>
      <c r="R62" s="414">
        <f t="shared" si="3"/>
        <v>52</v>
      </c>
    </row>
    <row r="63" spans="1:18" x14ac:dyDescent="0.35">
      <c r="A63" s="414">
        <f t="shared" si="2"/>
        <v>53</v>
      </c>
      <c r="B63" s="585">
        <v>931</v>
      </c>
      <c r="C63" s="18" t="s">
        <v>491</v>
      </c>
      <c r="D63" s="578"/>
      <c r="E63" s="582">
        <v>13.720007673000001</v>
      </c>
      <c r="F63" s="414"/>
      <c r="G63" s="414"/>
      <c r="H63" s="414"/>
      <c r="I63" s="488"/>
      <c r="J63" s="414"/>
      <c r="K63" s="414"/>
      <c r="L63" s="414"/>
      <c r="M63" s="414"/>
      <c r="N63" s="414"/>
      <c r="O63" s="414"/>
      <c r="P63" s="414"/>
      <c r="Q63" s="446"/>
      <c r="R63" s="414">
        <f t="shared" si="3"/>
        <v>53</v>
      </c>
    </row>
    <row r="64" spans="1:18" ht="18" x14ac:dyDescent="0.35">
      <c r="A64" s="414">
        <f t="shared" si="2"/>
        <v>54</v>
      </c>
      <c r="B64" s="585"/>
      <c r="C64" s="18" t="s">
        <v>467</v>
      </c>
      <c r="D64" s="578"/>
      <c r="E64" s="582"/>
      <c r="F64" s="414"/>
      <c r="G64" s="414"/>
      <c r="H64" s="578">
        <v>13.72001</v>
      </c>
      <c r="I64" s="466">
        <v>3</v>
      </c>
      <c r="J64" s="414"/>
      <c r="K64" s="414"/>
      <c r="L64" s="414"/>
      <c r="M64" s="414"/>
      <c r="N64" s="414"/>
      <c r="O64" s="414"/>
      <c r="P64" s="414"/>
      <c r="Q64" s="446"/>
      <c r="R64" s="414">
        <f t="shared" si="3"/>
        <v>54</v>
      </c>
    </row>
    <row r="65" spans="1:18" x14ac:dyDescent="0.35">
      <c r="A65" s="414">
        <f t="shared" si="2"/>
        <v>55</v>
      </c>
      <c r="B65" s="459">
        <v>935</v>
      </c>
      <c r="C65" s="438" t="s">
        <v>278</v>
      </c>
      <c r="D65" s="578"/>
      <c r="E65" s="586">
        <v>25.724845446</v>
      </c>
      <c r="F65" s="414"/>
      <c r="G65" s="414"/>
      <c r="H65" s="414"/>
      <c r="I65" s="488"/>
      <c r="J65" s="414"/>
      <c r="K65" s="414"/>
      <c r="L65" s="414"/>
      <c r="M65" s="414"/>
      <c r="N65" s="414"/>
      <c r="O65" s="414"/>
      <c r="P65" s="414"/>
      <c r="Q65" s="446"/>
      <c r="R65" s="414">
        <f t="shared" si="3"/>
        <v>55</v>
      </c>
    </row>
    <row r="66" spans="1:18" x14ac:dyDescent="0.35">
      <c r="A66" s="414">
        <f t="shared" si="2"/>
        <v>56</v>
      </c>
      <c r="B66" s="459"/>
      <c r="C66" s="587"/>
      <c r="D66" s="675"/>
      <c r="E66" s="46"/>
      <c r="F66" s="414"/>
      <c r="G66" s="414"/>
      <c r="H66" s="414"/>
      <c r="I66" s="488"/>
      <c r="N66" s="414"/>
      <c r="O66" s="414"/>
      <c r="P66" s="414"/>
      <c r="Q66" s="446"/>
      <c r="R66" s="414">
        <f t="shared" si="3"/>
        <v>56</v>
      </c>
    </row>
    <row r="67" spans="1:18" ht="18.5" thickBot="1" x14ac:dyDescent="0.4">
      <c r="A67" s="414">
        <f t="shared" si="2"/>
        <v>57</v>
      </c>
      <c r="B67" s="454"/>
      <c r="C67" s="438" t="s">
        <v>279</v>
      </c>
      <c r="D67" s="676"/>
      <c r="E67" s="677">
        <f>SUM(E34:E65)</f>
        <v>180439.269493139</v>
      </c>
      <c r="F67" s="414"/>
      <c r="G67" s="414"/>
      <c r="H67" s="47"/>
      <c r="I67" s="466"/>
      <c r="N67" s="639"/>
      <c r="O67" s="639"/>
      <c r="P67" s="414"/>
      <c r="Q67" s="446"/>
      <c r="R67" s="414">
        <f t="shared" si="3"/>
        <v>57</v>
      </c>
    </row>
    <row r="68" spans="1:18" ht="16" thickTop="1" x14ac:dyDescent="0.35">
      <c r="A68" s="414">
        <f t="shared" si="2"/>
        <v>58</v>
      </c>
      <c r="B68" s="455"/>
      <c r="C68" s="414"/>
      <c r="D68" s="414"/>
      <c r="E68" s="414"/>
      <c r="F68" s="414"/>
      <c r="G68" s="414"/>
      <c r="H68" s="414"/>
      <c r="I68" s="488"/>
      <c r="J68" s="414"/>
      <c r="K68" s="414"/>
      <c r="L68" s="414"/>
      <c r="M68" s="414"/>
      <c r="N68" s="414"/>
      <c r="O68" s="414"/>
      <c r="P68" s="414"/>
      <c r="Q68" s="446"/>
      <c r="R68" s="414">
        <f t="shared" si="3"/>
        <v>58</v>
      </c>
    </row>
    <row r="69" spans="1:18" x14ac:dyDescent="0.35">
      <c r="A69" s="414">
        <f t="shared" si="2"/>
        <v>59</v>
      </c>
      <c r="B69" s="455"/>
      <c r="C69" s="414"/>
      <c r="D69" s="414"/>
      <c r="E69" s="414"/>
      <c r="F69" s="414"/>
      <c r="G69" s="414"/>
      <c r="H69" s="414"/>
      <c r="I69" s="488"/>
      <c r="J69" s="414"/>
      <c r="K69" s="414"/>
      <c r="L69" s="414"/>
      <c r="M69" s="414"/>
      <c r="N69" s="414"/>
      <c r="O69" s="414"/>
      <c r="P69" s="414"/>
      <c r="Q69" s="446"/>
      <c r="R69" s="414">
        <f t="shared" si="3"/>
        <v>59</v>
      </c>
    </row>
    <row r="70" spans="1:18" x14ac:dyDescent="0.35">
      <c r="A70" s="414">
        <f t="shared" si="2"/>
        <v>60</v>
      </c>
      <c r="B70" s="63" t="s">
        <v>24</v>
      </c>
      <c r="C70" s="460" t="str">
        <f>'Pg8 Rev Stmt AH'!B74</f>
        <v>Items in BOLD have changed to correct the over-allocation of "Duplicate Charges (Company Energy Use)" Credit in FERC Account no. 929.</v>
      </c>
      <c r="D70" s="414"/>
      <c r="E70" s="414"/>
      <c r="F70" s="414"/>
      <c r="G70" s="414"/>
      <c r="H70" s="414"/>
      <c r="I70" s="488"/>
      <c r="J70" s="414"/>
      <c r="K70" s="414"/>
      <c r="L70" s="414"/>
      <c r="M70" s="414"/>
      <c r="N70" s="414"/>
      <c r="O70" s="414"/>
      <c r="P70" s="414"/>
      <c r="Q70" s="446"/>
      <c r="R70" s="414">
        <f t="shared" si="3"/>
        <v>60</v>
      </c>
    </row>
    <row r="71" spans="1:18" ht="18.5" x14ac:dyDescent="0.35">
      <c r="A71" s="414">
        <f t="shared" si="2"/>
        <v>61</v>
      </c>
      <c r="B71" s="264">
        <v>1</v>
      </c>
      <c r="C71" s="263" t="s">
        <v>575</v>
      </c>
      <c r="E71" s="461"/>
      <c r="F71" s="470"/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46"/>
      <c r="R71" s="414">
        <f t="shared" si="3"/>
        <v>61</v>
      </c>
    </row>
    <row r="72" spans="1:18" ht="18.5" x14ac:dyDescent="0.35">
      <c r="A72" s="414">
        <f t="shared" si="2"/>
        <v>62</v>
      </c>
      <c r="B72" s="462"/>
      <c r="C72" s="17" t="s">
        <v>280</v>
      </c>
      <c r="E72" s="461"/>
      <c r="F72" s="470"/>
      <c r="G72" s="470"/>
      <c r="H72" s="470"/>
      <c r="I72" s="470"/>
      <c r="J72" s="470"/>
      <c r="K72" s="470"/>
      <c r="L72" s="470"/>
      <c r="M72" s="470"/>
      <c r="N72" s="470"/>
      <c r="O72" s="470"/>
      <c r="P72" s="470"/>
      <c r="Q72" s="446"/>
      <c r="R72" s="414">
        <f t="shared" si="3"/>
        <v>62</v>
      </c>
    </row>
    <row r="73" spans="1:18" ht="18" x14ac:dyDescent="0.35">
      <c r="A73" s="414">
        <f t="shared" si="2"/>
        <v>63</v>
      </c>
      <c r="B73" s="499" t="s">
        <v>281</v>
      </c>
      <c r="C73" s="34" t="s">
        <v>498</v>
      </c>
      <c r="E73" s="461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46"/>
      <c r="R73" s="414">
        <f t="shared" si="3"/>
        <v>63</v>
      </c>
    </row>
    <row r="74" spans="1:18" ht="18" x14ac:dyDescent="0.35">
      <c r="A74" s="414">
        <f t="shared" si="2"/>
        <v>64</v>
      </c>
      <c r="B74" s="499"/>
      <c r="C74" s="34" t="s">
        <v>499</v>
      </c>
      <c r="E74" s="461"/>
      <c r="F74" s="470"/>
      <c r="G74" s="470"/>
      <c r="H74" s="470"/>
      <c r="I74" s="470"/>
      <c r="J74" s="470"/>
      <c r="K74" s="470"/>
      <c r="L74" s="470"/>
      <c r="M74" s="470"/>
      <c r="N74" s="470"/>
      <c r="O74" s="470"/>
      <c r="P74" s="470"/>
      <c r="Q74" s="446"/>
      <c r="R74" s="414">
        <f t="shared" si="3"/>
        <v>64</v>
      </c>
    </row>
    <row r="75" spans="1:18" ht="18" x14ac:dyDescent="0.35">
      <c r="A75" s="414">
        <f t="shared" si="2"/>
        <v>65</v>
      </c>
      <c r="B75" s="499"/>
      <c r="C75" s="34" t="s">
        <v>500</v>
      </c>
      <c r="E75" s="461"/>
      <c r="F75" s="470"/>
      <c r="G75" s="470"/>
      <c r="H75" s="470"/>
      <c r="I75" s="470"/>
      <c r="J75" s="470"/>
      <c r="K75" s="470"/>
      <c r="L75" s="470"/>
      <c r="M75" s="470"/>
      <c r="N75" s="470"/>
      <c r="O75" s="470"/>
      <c r="P75" s="470"/>
      <c r="Q75" s="446"/>
      <c r="R75" s="414">
        <f t="shared" si="3"/>
        <v>65</v>
      </c>
    </row>
    <row r="76" spans="1:18" ht="18" x14ac:dyDescent="0.35">
      <c r="A76" s="414">
        <f t="shared" si="2"/>
        <v>66</v>
      </c>
      <c r="B76" s="500">
        <v>3</v>
      </c>
      <c r="C76" s="17" t="s">
        <v>502</v>
      </c>
      <c r="E76" s="461"/>
      <c r="F76" s="470"/>
      <c r="G76" s="470"/>
      <c r="H76" s="470"/>
      <c r="I76" s="470"/>
      <c r="J76" s="470"/>
      <c r="K76" s="470"/>
      <c r="L76" s="470"/>
      <c r="M76" s="470"/>
      <c r="N76" s="470"/>
      <c r="O76" s="470"/>
      <c r="P76" s="470"/>
      <c r="Q76" s="446"/>
      <c r="R76" s="414">
        <f t="shared" si="3"/>
        <v>66</v>
      </c>
    </row>
    <row r="77" spans="1:18" ht="18" x14ac:dyDescent="0.35">
      <c r="A77" s="414">
        <f t="shared" si="2"/>
        <v>67</v>
      </c>
      <c r="B77" s="500">
        <v>4</v>
      </c>
      <c r="C77" s="17" t="s">
        <v>692</v>
      </c>
      <c r="E77" s="461"/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46"/>
      <c r="R77" s="414">
        <f t="shared" si="3"/>
        <v>67</v>
      </c>
    </row>
    <row r="78" spans="1:18" ht="18" x14ac:dyDescent="0.35">
      <c r="A78" s="414">
        <f t="shared" ref="A78:A79" si="7">A77+1</f>
        <v>68</v>
      </c>
      <c r="B78" s="500">
        <v>5</v>
      </c>
      <c r="C78" s="263" t="s">
        <v>603</v>
      </c>
      <c r="E78" s="461"/>
      <c r="F78" s="470"/>
      <c r="G78" s="470"/>
      <c r="H78" s="470"/>
      <c r="I78" s="470"/>
      <c r="J78" s="470"/>
      <c r="K78" s="470"/>
      <c r="L78" s="470"/>
      <c r="M78" s="470"/>
      <c r="N78" s="470"/>
      <c r="O78" s="470"/>
      <c r="P78" s="470"/>
      <c r="Q78" s="446"/>
      <c r="R78" s="414">
        <f t="shared" ref="R78:R79" si="8">R77+1</f>
        <v>68</v>
      </c>
    </row>
    <row r="79" spans="1:18" ht="16" thickBot="1" x14ac:dyDescent="0.4">
      <c r="A79" s="414">
        <f t="shared" si="7"/>
        <v>69</v>
      </c>
      <c r="B79" s="463"/>
      <c r="C79" s="464"/>
      <c r="D79" s="416"/>
      <c r="E79" s="416"/>
      <c r="F79" s="416"/>
      <c r="G79" s="416"/>
      <c r="H79" s="416"/>
      <c r="I79" s="693"/>
      <c r="J79" s="416"/>
      <c r="K79" s="416"/>
      <c r="L79" s="416"/>
      <c r="M79" s="416"/>
      <c r="N79" s="416"/>
      <c r="O79" s="416"/>
      <c r="P79" s="416"/>
      <c r="Q79" s="453"/>
      <c r="R79" s="414">
        <f t="shared" si="8"/>
        <v>69</v>
      </c>
    </row>
    <row r="80" spans="1:18" x14ac:dyDescent="0.35">
      <c r="C80" s="438"/>
    </row>
    <row r="81" spans="1:16" x14ac:dyDescent="0.35">
      <c r="A81" s="488"/>
      <c r="C81" s="438"/>
      <c r="D81" s="465"/>
      <c r="E81" s="465"/>
    </row>
    <row r="82" spans="1:16" ht="18" x14ac:dyDescent="0.35">
      <c r="A82" s="466"/>
      <c r="B82" s="265"/>
      <c r="C82" s="17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</row>
    <row r="83" spans="1:16" ht="18" x14ac:dyDescent="0.35">
      <c r="A83" s="466"/>
      <c r="B83" s="265"/>
      <c r="C83" s="221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</row>
    <row r="84" spans="1:16" ht="18" x14ac:dyDescent="0.35">
      <c r="A84" s="466"/>
      <c r="B84" s="33"/>
      <c r="C84" s="17"/>
      <c r="D84" s="17"/>
      <c r="E84" s="17"/>
      <c r="F84" s="17"/>
      <c r="G84" s="17"/>
      <c r="H84" s="17"/>
      <c r="I84" s="21"/>
      <c r="J84" s="17"/>
      <c r="K84" s="17"/>
      <c r="L84" s="17"/>
      <c r="M84" s="17"/>
      <c r="N84" s="17"/>
      <c r="O84" s="17"/>
      <c r="P84" s="17"/>
    </row>
    <row r="85" spans="1:16" ht="18" x14ac:dyDescent="0.35">
      <c r="A85" s="466"/>
      <c r="C85" s="438"/>
    </row>
    <row r="86" spans="1:16" ht="18" x14ac:dyDescent="0.35">
      <c r="A86" s="466"/>
      <c r="C86" s="438"/>
    </row>
    <row r="87" spans="1:16" ht="18" x14ac:dyDescent="0.35">
      <c r="A87" s="466"/>
      <c r="C87" s="438"/>
    </row>
    <row r="88" spans="1:16" x14ac:dyDescent="0.35">
      <c r="A88" s="488"/>
      <c r="C88" s="438"/>
    </row>
    <row r="89" spans="1:16" ht="18" x14ac:dyDescent="0.35">
      <c r="A89" s="466"/>
      <c r="C89" s="438"/>
    </row>
    <row r="90" spans="1:16" x14ac:dyDescent="0.35">
      <c r="A90" s="488"/>
      <c r="C90" s="438"/>
    </row>
    <row r="91" spans="1:16" ht="18" x14ac:dyDescent="0.35">
      <c r="A91" s="466"/>
      <c r="C91" s="438"/>
    </row>
    <row r="92" spans="1:16" x14ac:dyDescent="0.35">
      <c r="A92" s="488"/>
      <c r="C92" s="438"/>
    </row>
    <row r="93" spans="1:16" ht="18" x14ac:dyDescent="0.35">
      <c r="A93" s="466"/>
      <c r="C93" s="438"/>
    </row>
    <row r="94" spans="1:16" ht="18" x14ac:dyDescent="0.35">
      <c r="A94" s="466"/>
      <c r="B94" s="438"/>
    </row>
    <row r="95" spans="1:16" ht="18" x14ac:dyDescent="0.35">
      <c r="A95" s="466"/>
      <c r="B95" s="438"/>
    </row>
    <row r="96" spans="1:16" x14ac:dyDescent="0.35">
      <c r="B96" s="438"/>
    </row>
    <row r="97" spans="1:2" ht="18" x14ac:dyDescent="0.35">
      <c r="A97" s="466"/>
      <c r="B97" s="438"/>
    </row>
    <row r="98" spans="1:2" x14ac:dyDescent="0.35">
      <c r="A98" s="467"/>
      <c r="B98" s="468"/>
    </row>
    <row r="99" spans="1:2" x14ac:dyDescent="0.35">
      <c r="B99" s="438"/>
    </row>
  </sheetData>
  <mergeCells count="4">
    <mergeCell ref="B2:Q2"/>
    <mergeCell ref="B3:Q3"/>
    <mergeCell ref="B4:Q4"/>
    <mergeCell ref="B5:Q5"/>
  </mergeCells>
  <printOptions horizontalCentered="1"/>
  <pageMargins left="0.25" right="0.25" top="0.5" bottom="0.5" header="0.35" footer="0.25"/>
  <pageSetup scale="41" orientation="landscape" r:id="rId1"/>
  <headerFooter scaleWithDoc="0" alignWithMargins="0">
    <oddHeader>&amp;C&amp;"Times New Roman,Bold"&amp;5REVISED</oddHeader>
    <oddFooter>&amp;L&amp;F&amp;CPage 8.2&amp;R&amp;A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714D-32C0-40B8-BCA1-7B4D5CC8EFD1}">
  <sheetPr>
    <pageSetUpPr fitToPage="1"/>
  </sheetPr>
  <dimension ref="A1:R97"/>
  <sheetViews>
    <sheetView zoomScale="80" zoomScaleNormal="80" workbookViewId="0"/>
  </sheetViews>
  <sheetFormatPr defaultColWidth="9.1796875" defaultRowHeight="15.5" x14ac:dyDescent="0.35"/>
  <cols>
    <col min="1" max="1" width="5.1796875" style="414" customWidth="1"/>
    <col min="2" max="2" width="8.54296875" style="415" customWidth="1"/>
    <col min="3" max="3" width="68.54296875" style="415" customWidth="1"/>
    <col min="4" max="6" width="16.81640625" style="415" customWidth="1"/>
    <col min="7" max="7" width="2" style="415" bestFit="1" customWidth="1"/>
    <col min="8" max="8" width="11.54296875" style="415" bestFit="1" customWidth="1"/>
    <col min="9" max="9" width="2.453125" style="423" bestFit="1" customWidth="1"/>
    <col min="10" max="10" width="15.453125" style="415" bestFit="1" customWidth="1"/>
    <col min="11" max="11" width="12.6328125" style="415" bestFit="1" customWidth="1"/>
    <col min="12" max="12" width="2.1796875" style="415" bestFit="1" customWidth="1"/>
    <col min="13" max="13" width="16.6328125" style="415" bestFit="1" customWidth="1"/>
    <col min="14" max="14" width="34.54296875" style="415" customWidth="1"/>
    <col min="15" max="15" width="5.1796875" style="414" customWidth="1"/>
    <col min="16" max="16" width="4" style="415" customWidth="1"/>
    <col min="17" max="17" width="13.453125" style="415" bestFit="1" customWidth="1"/>
    <col min="18" max="18" width="9.1796875" style="415"/>
    <col min="19" max="19" width="9.54296875" style="415" customWidth="1"/>
    <col min="20" max="20" width="10" style="415" customWidth="1"/>
    <col min="21" max="16384" width="9.1796875" style="415"/>
  </cols>
  <sheetData>
    <row r="1" spans="1:18" x14ac:dyDescent="0.35">
      <c r="A1" s="519" t="s">
        <v>691</v>
      </c>
    </row>
    <row r="3" spans="1:18" x14ac:dyDescent="0.35">
      <c r="B3" s="817" t="s">
        <v>14</v>
      </c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488"/>
    </row>
    <row r="4" spans="1:18" x14ac:dyDescent="0.35">
      <c r="B4" s="817" t="s">
        <v>243</v>
      </c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488"/>
    </row>
    <row r="5" spans="1:18" x14ac:dyDescent="0.35">
      <c r="B5" s="817" t="s">
        <v>501</v>
      </c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488"/>
      <c r="Q5" s="574"/>
    </row>
    <row r="6" spans="1:18" x14ac:dyDescent="0.35">
      <c r="B6" s="818" t="s">
        <v>1</v>
      </c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488"/>
    </row>
    <row r="7" spans="1:18" ht="16" thickBot="1" x14ac:dyDescent="0.4">
      <c r="D7" s="416"/>
      <c r="E7" s="416"/>
      <c r="F7" s="416"/>
      <c r="G7" s="416"/>
      <c r="H7" s="416"/>
      <c r="I7" s="693"/>
      <c r="J7" s="416"/>
      <c r="K7" s="416"/>
      <c r="L7" s="416"/>
      <c r="M7" s="416"/>
      <c r="N7" s="416"/>
      <c r="Q7" s="34"/>
    </row>
    <row r="8" spans="1:18" x14ac:dyDescent="0.3">
      <c r="A8" s="488"/>
      <c r="B8" s="417"/>
      <c r="C8" s="418"/>
      <c r="D8" s="419" t="s">
        <v>244</v>
      </c>
      <c r="E8" s="420" t="s">
        <v>245</v>
      </c>
      <c r="F8" s="66" t="s">
        <v>246</v>
      </c>
      <c r="G8" s="67"/>
      <c r="H8" s="487" t="s">
        <v>587</v>
      </c>
      <c r="I8" s="68"/>
      <c r="J8" s="68" t="s">
        <v>588</v>
      </c>
      <c r="K8" s="671" t="s">
        <v>602</v>
      </c>
      <c r="L8" s="68"/>
      <c r="M8" s="68" t="s">
        <v>627</v>
      </c>
      <c r="N8" s="421"/>
      <c r="O8" s="488"/>
    </row>
    <row r="9" spans="1:18" ht="30" x14ac:dyDescent="0.3">
      <c r="A9" s="414" t="s">
        <v>2</v>
      </c>
      <c r="B9" s="422" t="s">
        <v>247</v>
      </c>
      <c r="C9" s="423"/>
      <c r="D9" s="424" t="s">
        <v>248</v>
      </c>
      <c r="E9" s="488" t="s">
        <v>249</v>
      </c>
      <c r="F9" s="424" t="s">
        <v>248</v>
      </c>
      <c r="G9" s="591"/>
      <c r="H9" s="152" t="s">
        <v>465</v>
      </c>
      <c r="I9" s="69"/>
      <c r="J9" s="69" t="s">
        <v>628</v>
      </c>
      <c r="K9" s="688" t="s">
        <v>629</v>
      </c>
      <c r="L9" s="69"/>
      <c r="M9" s="69" t="s">
        <v>628</v>
      </c>
      <c r="N9" s="425"/>
      <c r="O9" s="414" t="s">
        <v>2</v>
      </c>
    </row>
    <row r="10" spans="1:18" ht="16" thickBot="1" x14ac:dyDescent="0.35">
      <c r="A10" s="414" t="s">
        <v>3</v>
      </c>
      <c r="B10" s="426" t="s">
        <v>250</v>
      </c>
      <c r="C10" s="427" t="s">
        <v>4</v>
      </c>
      <c r="D10" s="428" t="s">
        <v>251</v>
      </c>
      <c r="E10" s="427" t="s">
        <v>252</v>
      </c>
      <c r="F10" s="428" t="s">
        <v>253</v>
      </c>
      <c r="G10" s="429"/>
      <c r="H10" s="430" t="s">
        <v>630</v>
      </c>
      <c r="I10" s="431"/>
      <c r="J10" s="431" t="s">
        <v>631</v>
      </c>
      <c r="K10" s="690" t="s">
        <v>632</v>
      </c>
      <c r="L10" s="431"/>
      <c r="M10" s="431" t="s">
        <v>633</v>
      </c>
      <c r="N10" s="432" t="s">
        <v>6</v>
      </c>
      <c r="O10" s="414" t="s">
        <v>3</v>
      </c>
      <c r="P10" s="414"/>
    </row>
    <row r="11" spans="1:18" x14ac:dyDescent="0.35">
      <c r="B11" s="433"/>
      <c r="C11" s="434" t="s">
        <v>254</v>
      </c>
      <c r="D11" s="435"/>
      <c r="E11" s="496"/>
      <c r="F11" s="436"/>
      <c r="G11" s="592"/>
      <c r="H11" s="592"/>
      <c r="I11" s="591"/>
      <c r="J11" s="497"/>
      <c r="K11" s="592"/>
      <c r="L11" s="592"/>
      <c r="M11" s="497"/>
      <c r="N11" s="437"/>
    </row>
    <row r="12" spans="1:18" ht="18" x14ac:dyDescent="0.35">
      <c r="A12" s="414">
        <v>1</v>
      </c>
      <c r="B12" s="433">
        <v>920</v>
      </c>
      <c r="C12" s="438" t="s">
        <v>255</v>
      </c>
      <c r="D12" s="71">
        <v>62282.646999999997</v>
      </c>
      <c r="E12" s="71">
        <f>E35</f>
        <v>880.90825143900008</v>
      </c>
      <c r="F12" s="71">
        <f>D12-E12</f>
        <v>61401.738748560994</v>
      </c>
      <c r="G12" s="672" t="s">
        <v>24</v>
      </c>
      <c r="H12" s="31">
        <f>H36</f>
        <v>880.90824999999995</v>
      </c>
      <c r="I12" s="593">
        <v>3</v>
      </c>
      <c r="J12" s="71">
        <f>F12+H12</f>
        <v>62282.646998560995</v>
      </c>
      <c r="K12" s="74"/>
      <c r="L12" s="74"/>
      <c r="M12" s="71">
        <f t="shared" ref="M12:M25" si="0">J12+K12</f>
        <v>62282.646998560995</v>
      </c>
      <c r="N12" s="70" t="s">
        <v>477</v>
      </c>
      <c r="O12" s="414">
        <f>A12</f>
        <v>1</v>
      </c>
      <c r="P12" s="415" t="s">
        <v>197</v>
      </c>
      <c r="Q12" s="440"/>
    </row>
    <row r="13" spans="1:18" ht="18" x14ac:dyDescent="0.35">
      <c r="A13" s="414">
        <f t="shared" ref="A13:A76" si="1">A12+1</f>
        <v>2</v>
      </c>
      <c r="B13" s="433">
        <v>921</v>
      </c>
      <c r="C13" s="438" t="s">
        <v>256</v>
      </c>
      <c r="D13" s="72">
        <v>33307.565000000002</v>
      </c>
      <c r="E13" s="72">
        <f>E37</f>
        <v>7379.4532107689993</v>
      </c>
      <c r="F13" s="72">
        <f>D13-E13</f>
        <v>25928.111789231003</v>
      </c>
      <c r="G13" s="672" t="s">
        <v>24</v>
      </c>
      <c r="H13" s="73">
        <f>H38</f>
        <v>7379.4532099999997</v>
      </c>
      <c r="I13" s="593">
        <v>3</v>
      </c>
      <c r="J13" s="72">
        <f>F13+H13</f>
        <v>33307.564999231006</v>
      </c>
      <c r="K13" s="513"/>
      <c r="L13" s="513"/>
      <c r="M13" s="72">
        <f t="shared" si="0"/>
        <v>33307.564999231006</v>
      </c>
      <c r="N13" s="70" t="s">
        <v>478</v>
      </c>
      <c r="O13" s="414">
        <f t="shared" ref="O13:O76" si="2">O12+1</f>
        <v>2</v>
      </c>
      <c r="Q13" s="440"/>
      <c r="R13" s="441"/>
    </row>
    <row r="14" spans="1:18" ht="18" x14ac:dyDescent="0.35">
      <c r="A14" s="414">
        <f t="shared" si="1"/>
        <v>3</v>
      </c>
      <c r="B14" s="422">
        <v>922</v>
      </c>
      <c r="C14" s="438" t="s">
        <v>257</v>
      </c>
      <c r="D14" s="72">
        <v>-20277.082999999999</v>
      </c>
      <c r="E14" s="72"/>
      <c r="F14" s="72">
        <f t="shared" ref="F14:F24" si="3">D14-E14</f>
        <v>-20277.082999999999</v>
      </c>
      <c r="G14" s="73"/>
      <c r="H14" s="73"/>
      <c r="I14" s="593"/>
      <c r="J14" s="72">
        <f t="shared" ref="J14:J25" si="4">F14+H14</f>
        <v>-20277.082999999999</v>
      </c>
      <c r="K14" s="691">
        <v>530</v>
      </c>
      <c r="L14" s="23" t="s">
        <v>24</v>
      </c>
      <c r="M14" s="504">
        <f t="shared" si="0"/>
        <v>-19747.082999999999</v>
      </c>
      <c r="N14" s="70" t="s">
        <v>479</v>
      </c>
      <c r="O14" s="414">
        <f t="shared" si="2"/>
        <v>3</v>
      </c>
      <c r="Q14" s="440"/>
    </row>
    <row r="15" spans="1:18" ht="18" x14ac:dyDescent="0.35">
      <c r="A15" s="414">
        <f t="shared" si="1"/>
        <v>4</v>
      </c>
      <c r="B15" s="433">
        <v>923</v>
      </c>
      <c r="C15" s="438" t="s">
        <v>258</v>
      </c>
      <c r="D15" s="72">
        <v>108586.773</v>
      </c>
      <c r="E15" s="72">
        <f>E40</f>
        <v>10897.358875796001</v>
      </c>
      <c r="F15" s="72">
        <f t="shared" si="3"/>
        <v>97689.414124204006</v>
      </c>
      <c r="G15" s="672" t="s">
        <v>24</v>
      </c>
      <c r="H15" s="73">
        <f>H41</f>
        <v>1396.4498799999999</v>
      </c>
      <c r="I15" s="593">
        <v>3</v>
      </c>
      <c r="J15" s="72">
        <f t="shared" si="4"/>
        <v>99085.864004204006</v>
      </c>
      <c r="K15" s="513"/>
      <c r="L15" s="513"/>
      <c r="M15" s="72">
        <f t="shared" si="0"/>
        <v>99085.864004204006</v>
      </c>
      <c r="N15" s="70" t="s">
        <v>480</v>
      </c>
      <c r="O15" s="414">
        <f t="shared" si="2"/>
        <v>4</v>
      </c>
      <c r="Q15" s="440"/>
    </row>
    <row r="16" spans="1:18" ht="18" x14ac:dyDescent="0.35">
      <c r="A16" s="414">
        <f t="shared" si="1"/>
        <v>5</v>
      </c>
      <c r="B16" s="433">
        <v>924</v>
      </c>
      <c r="C16" s="438" t="s">
        <v>259</v>
      </c>
      <c r="D16" s="72">
        <v>8615.7170000000006</v>
      </c>
      <c r="E16" s="72"/>
      <c r="F16" s="72">
        <f t="shared" si="3"/>
        <v>8615.7170000000006</v>
      </c>
      <c r="G16" s="73"/>
      <c r="H16" s="73"/>
      <c r="I16" s="593"/>
      <c r="J16" s="72">
        <f t="shared" si="4"/>
        <v>8615.7170000000006</v>
      </c>
      <c r="K16" s="73"/>
      <c r="L16" s="73"/>
      <c r="M16" s="72">
        <f t="shared" si="0"/>
        <v>8615.7170000000006</v>
      </c>
      <c r="N16" s="70" t="s">
        <v>481</v>
      </c>
      <c r="O16" s="414">
        <f t="shared" si="2"/>
        <v>5</v>
      </c>
      <c r="Q16" s="440"/>
    </row>
    <row r="17" spans="1:17" ht="18" x14ac:dyDescent="0.35">
      <c r="A17" s="414">
        <f t="shared" si="1"/>
        <v>6</v>
      </c>
      <c r="B17" s="433">
        <v>925</v>
      </c>
      <c r="C17" s="438" t="s">
        <v>260</v>
      </c>
      <c r="D17" s="72">
        <v>215579.21799999999</v>
      </c>
      <c r="E17" s="72">
        <f>E46</f>
        <v>1418.4390198959995</v>
      </c>
      <c r="F17" s="72">
        <f t="shared" si="3"/>
        <v>214160.77898010399</v>
      </c>
      <c r="G17" s="672" t="s">
        <v>24</v>
      </c>
      <c r="H17" s="73">
        <f>H47</f>
        <v>995.92452000000003</v>
      </c>
      <c r="I17" s="593">
        <v>3</v>
      </c>
      <c r="J17" s="72">
        <f t="shared" si="4"/>
        <v>215156.70350010399</v>
      </c>
      <c r="K17" s="513"/>
      <c r="L17" s="513"/>
      <c r="M17" s="72">
        <f t="shared" si="0"/>
        <v>215156.70350010399</v>
      </c>
      <c r="N17" s="70" t="s">
        <v>482</v>
      </c>
      <c r="O17" s="414">
        <f t="shared" si="2"/>
        <v>6</v>
      </c>
      <c r="Q17" s="440"/>
    </row>
    <row r="18" spans="1:17" ht="18" x14ac:dyDescent="0.35">
      <c r="A18" s="414">
        <f t="shared" si="1"/>
        <v>7</v>
      </c>
      <c r="B18" s="433">
        <v>926</v>
      </c>
      <c r="C18" s="438" t="s">
        <v>261</v>
      </c>
      <c r="D18" s="72">
        <v>56506.010999999999</v>
      </c>
      <c r="E18" s="72">
        <f>E51</f>
        <v>2076.6261635540004</v>
      </c>
      <c r="F18" s="72">
        <f t="shared" si="3"/>
        <v>54429.384836445999</v>
      </c>
      <c r="G18" s="672" t="s">
        <v>24</v>
      </c>
      <c r="H18" s="73">
        <f>H52</f>
        <v>1510.53378</v>
      </c>
      <c r="I18" s="593">
        <v>3</v>
      </c>
      <c r="J18" s="72">
        <f t="shared" si="4"/>
        <v>55939.918616445997</v>
      </c>
      <c r="K18" s="513"/>
      <c r="L18" s="513"/>
      <c r="M18" s="72">
        <f t="shared" si="0"/>
        <v>55939.918616445997</v>
      </c>
      <c r="N18" s="70" t="s">
        <v>483</v>
      </c>
      <c r="O18" s="414">
        <f t="shared" si="2"/>
        <v>7</v>
      </c>
      <c r="Q18" s="575"/>
    </row>
    <row r="19" spans="1:17" x14ac:dyDescent="0.35">
      <c r="A19" s="414">
        <f t="shared" si="1"/>
        <v>8</v>
      </c>
      <c r="B19" s="433">
        <v>927</v>
      </c>
      <c r="C19" s="438" t="s">
        <v>262</v>
      </c>
      <c r="D19" s="72">
        <v>128579.841</v>
      </c>
      <c r="E19" s="72">
        <f>E53</f>
        <v>128579.84063999999</v>
      </c>
      <c r="F19" s="72">
        <f t="shared" si="3"/>
        <v>3.6000000545755029E-4</v>
      </c>
      <c r="G19" s="513"/>
      <c r="H19" s="513"/>
      <c r="I19" s="513"/>
      <c r="J19" s="72">
        <f t="shared" si="4"/>
        <v>3.6000000545755029E-4</v>
      </c>
      <c r="K19" s="73"/>
      <c r="L19" s="73"/>
      <c r="M19" s="72">
        <f t="shared" si="0"/>
        <v>3.6000000545755029E-4</v>
      </c>
      <c r="N19" s="70" t="s">
        <v>484</v>
      </c>
      <c r="O19" s="414">
        <f t="shared" si="2"/>
        <v>8</v>
      </c>
      <c r="Q19" s="442"/>
    </row>
    <row r="20" spans="1:17" x14ac:dyDescent="0.35">
      <c r="A20" s="414">
        <f t="shared" si="1"/>
        <v>9</v>
      </c>
      <c r="B20" s="433">
        <v>928</v>
      </c>
      <c r="C20" s="438" t="s">
        <v>263</v>
      </c>
      <c r="D20" s="72">
        <v>35379.656000000003</v>
      </c>
      <c r="E20" s="72">
        <f>E58</f>
        <v>24075.693879999999</v>
      </c>
      <c r="F20" s="72">
        <f t="shared" si="3"/>
        <v>11303.962120000004</v>
      </c>
      <c r="G20" s="513"/>
      <c r="H20" s="513"/>
      <c r="I20" s="513"/>
      <c r="J20" s="72">
        <f t="shared" si="4"/>
        <v>11303.962120000004</v>
      </c>
      <c r="K20" s="73"/>
      <c r="L20" s="73"/>
      <c r="M20" s="72">
        <f t="shared" si="0"/>
        <v>11303.962120000004</v>
      </c>
      <c r="N20" s="70" t="s">
        <v>485</v>
      </c>
      <c r="O20" s="414">
        <f t="shared" si="2"/>
        <v>9</v>
      </c>
      <c r="Q20" s="442"/>
    </row>
    <row r="21" spans="1:17" x14ac:dyDescent="0.35">
      <c r="A21" s="414">
        <f t="shared" si="1"/>
        <v>10</v>
      </c>
      <c r="B21" s="433">
        <v>929</v>
      </c>
      <c r="C21" s="438" t="s">
        <v>264</v>
      </c>
      <c r="D21" s="72">
        <v>-12933.800999999999</v>
      </c>
      <c r="E21" s="72"/>
      <c r="F21" s="72">
        <f t="shared" si="3"/>
        <v>-12933.800999999999</v>
      </c>
      <c r="G21" s="513"/>
      <c r="H21" s="513"/>
      <c r="I21" s="513"/>
      <c r="J21" s="72">
        <f t="shared" si="4"/>
        <v>-12933.800999999999</v>
      </c>
      <c r="K21" s="73"/>
      <c r="L21" s="73"/>
      <c r="M21" s="72">
        <f t="shared" si="0"/>
        <v>-12933.800999999999</v>
      </c>
      <c r="N21" s="70" t="s">
        <v>486</v>
      </c>
      <c r="O21" s="414">
        <f t="shared" si="2"/>
        <v>10</v>
      </c>
      <c r="Q21" s="440"/>
    </row>
    <row r="22" spans="1:17" x14ac:dyDescent="0.35">
      <c r="A22" s="414">
        <f t="shared" si="1"/>
        <v>11</v>
      </c>
      <c r="B22" s="443">
        <v>930.1</v>
      </c>
      <c r="C22" s="438" t="s">
        <v>265</v>
      </c>
      <c r="D22" s="72">
        <v>66.135000000000005</v>
      </c>
      <c r="E22" s="72">
        <f>E59</f>
        <v>66.134640000000005</v>
      </c>
      <c r="F22" s="72">
        <f t="shared" si="3"/>
        <v>3.6000000000058208E-4</v>
      </c>
      <c r="G22" s="513"/>
      <c r="H22" s="513"/>
      <c r="I22" s="513"/>
      <c r="J22" s="72">
        <f t="shared" si="4"/>
        <v>3.6000000000058208E-4</v>
      </c>
      <c r="K22" s="73"/>
      <c r="L22" s="73"/>
      <c r="M22" s="72">
        <f t="shared" si="0"/>
        <v>3.6000000000058208E-4</v>
      </c>
      <c r="N22" s="70" t="s">
        <v>487</v>
      </c>
      <c r="O22" s="414">
        <f t="shared" si="2"/>
        <v>11</v>
      </c>
      <c r="Q22" s="440"/>
    </row>
    <row r="23" spans="1:17" ht="18" x14ac:dyDescent="0.35">
      <c r="A23" s="414">
        <f t="shared" si="1"/>
        <v>12</v>
      </c>
      <c r="B23" s="443">
        <v>930.2</v>
      </c>
      <c r="C23" s="438" t="s">
        <v>266</v>
      </c>
      <c r="D23" s="72">
        <v>10538.715</v>
      </c>
      <c r="E23" s="72">
        <f>E61</f>
        <v>5025.3699585660006</v>
      </c>
      <c r="F23" s="72">
        <f t="shared" si="3"/>
        <v>5513.3450414339995</v>
      </c>
      <c r="G23" s="672" t="s">
        <v>24</v>
      </c>
      <c r="H23" s="73">
        <f>H62</f>
        <v>3.7200000000000002E-3</v>
      </c>
      <c r="I23" s="593">
        <v>3</v>
      </c>
      <c r="J23" s="72">
        <f t="shared" si="4"/>
        <v>5513.3487614339992</v>
      </c>
      <c r="K23" s="513"/>
      <c r="L23" s="73"/>
      <c r="M23" s="72">
        <f t="shared" si="0"/>
        <v>5513.3487614339992</v>
      </c>
      <c r="N23" s="70" t="s">
        <v>488</v>
      </c>
      <c r="O23" s="414">
        <f t="shared" si="2"/>
        <v>12</v>
      </c>
      <c r="Q23" s="444"/>
    </row>
    <row r="24" spans="1:17" ht="18" x14ac:dyDescent="0.35">
      <c r="A24" s="414">
        <f t="shared" si="1"/>
        <v>13</v>
      </c>
      <c r="B24" s="433">
        <v>931</v>
      </c>
      <c r="C24" s="438" t="s">
        <v>267</v>
      </c>
      <c r="D24" s="72">
        <v>12351.503000000001</v>
      </c>
      <c r="E24" s="72">
        <f>E63</f>
        <v>13.720007673000001</v>
      </c>
      <c r="F24" s="72">
        <f t="shared" si="3"/>
        <v>12337.782992327</v>
      </c>
      <c r="G24" s="672" t="s">
        <v>24</v>
      </c>
      <c r="H24" s="73">
        <f>H64</f>
        <v>13.72001</v>
      </c>
      <c r="I24" s="593">
        <v>3</v>
      </c>
      <c r="J24" s="72">
        <f t="shared" si="4"/>
        <v>12351.503002326999</v>
      </c>
      <c r="K24" s="513"/>
      <c r="L24" s="73"/>
      <c r="M24" s="72">
        <f t="shared" si="0"/>
        <v>12351.503002326999</v>
      </c>
      <c r="N24" s="70" t="s">
        <v>489</v>
      </c>
      <c r="O24" s="414">
        <f t="shared" si="2"/>
        <v>13</v>
      </c>
      <c r="Q24" s="440"/>
    </row>
    <row r="25" spans="1:17" x14ac:dyDescent="0.35">
      <c r="A25" s="414">
        <f t="shared" si="1"/>
        <v>14</v>
      </c>
      <c r="B25" s="433">
        <v>935</v>
      </c>
      <c r="C25" s="438" t="s">
        <v>268</v>
      </c>
      <c r="D25" s="682">
        <v>18209.169000000002</v>
      </c>
      <c r="E25" s="682">
        <f>E65</f>
        <v>25.724845446</v>
      </c>
      <c r="F25" s="682">
        <f>D25-E25</f>
        <v>18183.444154554003</v>
      </c>
      <c r="G25" s="681"/>
      <c r="H25" s="516"/>
      <c r="I25" s="515"/>
      <c r="J25" s="682">
        <f t="shared" si="4"/>
        <v>18183.444154554003</v>
      </c>
      <c r="K25" s="516"/>
      <c r="L25" s="778"/>
      <c r="M25" s="778">
        <f t="shared" si="0"/>
        <v>18183.444154554003</v>
      </c>
      <c r="N25" s="70" t="s">
        <v>490</v>
      </c>
      <c r="O25" s="414">
        <f t="shared" si="2"/>
        <v>14</v>
      </c>
      <c r="P25" s="415" t="s">
        <v>197</v>
      </c>
      <c r="Q25" s="440"/>
    </row>
    <row r="26" spans="1:17" x14ac:dyDescent="0.35">
      <c r="A26" s="414">
        <f t="shared" si="1"/>
        <v>15</v>
      </c>
      <c r="B26" s="433"/>
      <c r="D26" s="445"/>
      <c r="E26" s="445"/>
      <c r="F26" s="445"/>
      <c r="J26" s="445"/>
      <c r="L26" s="779"/>
      <c r="M26" s="779"/>
      <c r="N26" s="446"/>
      <c r="O26" s="414">
        <f t="shared" si="2"/>
        <v>15</v>
      </c>
    </row>
    <row r="27" spans="1:17" ht="16" thickBot="1" x14ac:dyDescent="0.4">
      <c r="A27" s="414">
        <f t="shared" si="1"/>
        <v>16</v>
      </c>
      <c r="B27" s="433"/>
      <c r="C27" s="423" t="s">
        <v>269</v>
      </c>
      <c r="D27" s="447">
        <f>SUM(D12:D25)</f>
        <v>656792.06599999999</v>
      </c>
      <c r="E27" s="76">
        <f>SUM(E12:E25)</f>
        <v>180439.269493139</v>
      </c>
      <c r="F27" s="76">
        <f>SUM(F12:F25)</f>
        <v>476352.79650686105</v>
      </c>
      <c r="G27" s="77" t="s">
        <v>24</v>
      </c>
      <c r="H27" s="448">
        <f>SUM(H12:H25)</f>
        <v>12176.99337</v>
      </c>
      <c r="I27" s="78"/>
      <c r="J27" s="76">
        <f>SUM(J12:J25)</f>
        <v>488529.78987686103</v>
      </c>
      <c r="K27" s="448">
        <f>SUM(K12:K25)</f>
        <v>530</v>
      </c>
      <c r="L27" s="781" t="s">
        <v>24</v>
      </c>
      <c r="M27" s="78">
        <f>SUM(M12:M25)</f>
        <v>489059.78987686103</v>
      </c>
      <c r="N27" s="80" t="s">
        <v>634</v>
      </c>
      <c r="O27" s="414">
        <f t="shared" si="2"/>
        <v>16</v>
      </c>
    </row>
    <row r="28" spans="1:17" ht="16" thickTop="1" x14ac:dyDescent="0.35">
      <c r="A28" s="414">
        <f t="shared" si="1"/>
        <v>17</v>
      </c>
      <c r="B28" s="433"/>
      <c r="C28" s="423"/>
      <c r="D28" s="449"/>
      <c r="E28" s="439"/>
      <c r="F28" s="75"/>
      <c r="G28" s="74"/>
      <c r="H28" s="74"/>
      <c r="I28" s="74"/>
      <c r="J28" s="75"/>
      <c r="K28" s="74"/>
      <c r="L28" s="439"/>
      <c r="M28" s="439"/>
      <c r="N28" s="80"/>
      <c r="O28" s="414">
        <f t="shared" si="2"/>
        <v>17</v>
      </c>
    </row>
    <row r="29" spans="1:17" ht="18" x14ac:dyDescent="0.35">
      <c r="A29" s="414">
        <f t="shared" si="1"/>
        <v>18</v>
      </c>
      <c r="B29" s="433">
        <v>413</v>
      </c>
      <c r="C29" s="415" t="s">
        <v>270</v>
      </c>
      <c r="D29" s="682">
        <v>206.79828000000001</v>
      </c>
      <c r="E29" s="518">
        <v>0</v>
      </c>
      <c r="F29" s="682">
        <f>D29-E29</f>
        <v>206.79828000000001</v>
      </c>
      <c r="G29" s="681"/>
      <c r="H29" s="516"/>
      <c r="I29" s="694"/>
      <c r="J29" s="682">
        <f t="shared" ref="J29" si="5">F29+H29</f>
        <v>206.79828000000001</v>
      </c>
      <c r="K29" s="516"/>
      <c r="L29" s="778"/>
      <c r="M29" s="778">
        <f>J29+K29</f>
        <v>206.79828000000001</v>
      </c>
      <c r="N29" s="80"/>
      <c r="O29" s="414">
        <f t="shared" si="2"/>
        <v>18</v>
      </c>
      <c r="Q29" s="576"/>
    </row>
    <row r="30" spans="1:17" x14ac:dyDescent="0.35">
      <c r="A30" s="414">
        <f t="shared" si="1"/>
        <v>19</v>
      </c>
      <c r="B30" s="433"/>
      <c r="C30" s="423"/>
      <c r="D30" s="449"/>
      <c r="E30" s="439"/>
      <c r="F30" s="75"/>
      <c r="G30" s="74"/>
      <c r="H30" s="74"/>
      <c r="I30" s="74"/>
      <c r="J30" s="75"/>
      <c r="K30" s="74"/>
      <c r="L30" s="439"/>
      <c r="M30" s="439"/>
      <c r="N30" s="80"/>
      <c r="O30" s="414">
        <f t="shared" si="2"/>
        <v>19</v>
      </c>
    </row>
    <row r="31" spans="1:17" ht="16" thickBot="1" x14ac:dyDescent="0.4">
      <c r="A31" s="414">
        <f t="shared" si="1"/>
        <v>20</v>
      </c>
      <c r="B31" s="433"/>
      <c r="C31" s="423" t="s">
        <v>271</v>
      </c>
      <c r="D31" s="447">
        <f>D27+D29</f>
        <v>656998.86427999998</v>
      </c>
      <c r="E31" s="439">
        <f>E27+E29</f>
        <v>180439.269493139</v>
      </c>
      <c r="F31" s="75">
        <f>F27+F29</f>
        <v>476559.59478686104</v>
      </c>
      <c r="G31" s="77" t="s">
        <v>24</v>
      </c>
      <c r="H31" s="448">
        <f>H27+H29</f>
        <v>12176.99337</v>
      </c>
      <c r="I31" s="448"/>
      <c r="J31" s="76">
        <f>J27+J29</f>
        <v>488736.58815686102</v>
      </c>
      <c r="K31" s="448">
        <f>K27+K29</f>
        <v>530</v>
      </c>
      <c r="L31" s="781" t="s">
        <v>24</v>
      </c>
      <c r="M31" s="78">
        <f>M27+M29</f>
        <v>489266.58815686102</v>
      </c>
      <c r="N31" s="80" t="s">
        <v>635</v>
      </c>
      <c r="O31" s="414">
        <f t="shared" si="2"/>
        <v>20</v>
      </c>
    </row>
    <row r="32" spans="1:17" ht="16.5" thickTop="1" thickBot="1" x14ac:dyDescent="0.4">
      <c r="A32" s="414">
        <f t="shared" si="1"/>
        <v>21</v>
      </c>
      <c r="B32" s="450"/>
      <c r="C32" s="416"/>
      <c r="D32" s="451"/>
      <c r="E32" s="452"/>
      <c r="F32" s="452"/>
      <c r="G32" s="430"/>
      <c r="H32" s="430"/>
      <c r="I32" s="430"/>
      <c r="J32" s="498"/>
      <c r="K32" s="430"/>
      <c r="L32" s="780"/>
      <c r="M32" s="780"/>
      <c r="N32" s="453"/>
      <c r="O32" s="414">
        <f t="shared" si="2"/>
        <v>21</v>
      </c>
    </row>
    <row r="33" spans="1:17" x14ac:dyDescent="0.35">
      <c r="A33" s="414">
        <f t="shared" si="1"/>
        <v>22</v>
      </c>
      <c r="B33" s="632"/>
      <c r="C33" s="633"/>
      <c r="D33" s="634"/>
      <c r="E33" s="635"/>
      <c r="F33" s="634"/>
      <c r="G33" s="634"/>
      <c r="H33" s="634"/>
      <c r="I33" s="695"/>
      <c r="J33" s="634"/>
      <c r="K33" s="634"/>
      <c r="L33" s="634"/>
      <c r="M33" s="634"/>
      <c r="N33" s="636"/>
      <c r="O33" s="414">
        <f t="shared" si="2"/>
        <v>22</v>
      </c>
    </row>
    <row r="34" spans="1:17" x14ac:dyDescent="0.35">
      <c r="A34" s="414">
        <f t="shared" si="1"/>
        <v>23</v>
      </c>
      <c r="B34" s="455" t="s">
        <v>272</v>
      </c>
      <c r="C34" s="414"/>
      <c r="D34" s="414"/>
      <c r="E34" s="414"/>
      <c r="F34" s="414"/>
      <c r="G34" s="414"/>
      <c r="H34" s="414"/>
      <c r="I34" s="488"/>
      <c r="J34" s="414"/>
      <c r="K34" s="414"/>
      <c r="L34" s="414"/>
      <c r="M34" s="414"/>
      <c r="N34" s="446"/>
      <c r="O34" s="414">
        <f t="shared" si="2"/>
        <v>23</v>
      </c>
    </row>
    <row r="35" spans="1:17" x14ac:dyDescent="0.35">
      <c r="A35" s="414">
        <f t="shared" si="1"/>
        <v>24</v>
      </c>
      <c r="B35" s="459">
        <v>920</v>
      </c>
      <c r="C35" s="438" t="s">
        <v>491</v>
      </c>
      <c r="D35" s="51"/>
      <c r="E35" s="577">
        <v>880.90825143900008</v>
      </c>
      <c r="F35" s="414"/>
      <c r="G35" s="414"/>
      <c r="H35" s="414"/>
      <c r="I35" s="488"/>
      <c r="J35" s="414"/>
      <c r="K35" s="414"/>
      <c r="L35" s="414"/>
      <c r="N35" s="446"/>
      <c r="O35" s="414">
        <f t="shared" si="2"/>
        <v>24</v>
      </c>
      <c r="Q35" s="576"/>
    </row>
    <row r="36" spans="1:17" ht="18" x14ac:dyDescent="0.35">
      <c r="A36" s="414">
        <f t="shared" si="1"/>
        <v>25</v>
      </c>
      <c r="B36" s="459"/>
      <c r="C36" s="637" t="s">
        <v>467</v>
      </c>
      <c r="D36" s="51"/>
      <c r="E36" s="577"/>
      <c r="F36" s="414"/>
      <c r="G36" s="414"/>
      <c r="H36" s="692">
        <v>880.90824999999995</v>
      </c>
      <c r="I36" s="466">
        <v>3</v>
      </c>
      <c r="J36" s="414"/>
      <c r="K36" s="414"/>
      <c r="L36" s="414"/>
      <c r="M36" s="414"/>
      <c r="N36" s="446"/>
      <c r="O36" s="414">
        <f t="shared" si="2"/>
        <v>25</v>
      </c>
      <c r="Q36" s="576"/>
    </row>
    <row r="37" spans="1:17" x14ac:dyDescent="0.35">
      <c r="A37" s="414">
        <f t="shared" si="1"/>
        <v>26</v>
      </c>
      <c r="B37" s="459">
        <v>921</v>
      </c>
      <c r="C37" s="438" t="s">
        <v>491</v>
      </c>
      <c r="D37" s="578"/>
      <c r="E37" s="578">
        <v>7379.4532107689993</v>
      </c>
      <c r="F37" s="414"/>
      <c r="G37" s="414"/>
      <c r="H37" s="414"/>
      <c r="I37" s="488"/>
      <c r="J37" s="414"/>
      <c r="K37" s="414"/>
      <c r="L37" s="414"/>
      <c r="M37" s="414"/>
      <c r="N37" s="446"/>
      <c r="O37" s="414">
        <f t="shared" si="2"/>
        <v>26</v>
      </c>
      <c r="Q37" s="576"/>
    </row>
    <row r="38" spans="1:17" ht="18" x14ac:dyDescent="0.3">
      <c r="A38" s="414">
        <f t="shared" si="1"/>
        <v>27</v>
      </c>
      <c r="B38" s="459"/>
      <c r="C38" s="637" t="s">
        <v>467</v>
      </c>
      <c r="D38" s="578"/>
      <c r="E38" s="578"/>
      <c r="F38" s="414"/>
      <c r="G38" s="414"/>
      <c r="H38" s="578">
        <v>7379.4532099999997</v>
      </c>
      <c r="I38" s="466">
        <v>3</v>
      </c>
      <c r="J38" s="414"/>
      <c r="K38" s="414"/>
      <c r="L38" s="414"/>
      <c r="M38" s="414"/>
      <c r="N38" s="446"/>
      <c r="O38" s="414">
        <f t="shared" si="2"/>
        <v>27</v>
      </c>
      <c r="Q38" s="576"/>
    </row>
    <row r="39" spans="1:17" x14ac:dyDescent="0.35">
      <c r="A39" s="414">
        <f t="shared" si="1"/>
        <v>28</v>
      </c>
      <c r="B39" s="459">
        <v>923</v>
      </c>
      <c r="C39" s="438" t="s">
        <v>491</v>
      </c>
      <c r="D39" s="212">
        <v>1396.4498757960002</v>
      </c>
      <c r="E39" s="414"/>
      <c r="F39" s="414"/>
      <c r="G39" s="414"/>
      <c r="H39" s="414"/>
      <c r="I39" s="488"/>
      <c r="J39" s="414"/>
      <c r="K39" s="414"/>
      <c r="L39" s="414"/>
      <c r="M39" s="414"/>
      <c r="N39" s="446"/>
      <c r="O39" s="414">
        <f t="shared" si="2"/>
        <v>28</v>
      </c>
    </row>
    <row r="40" spans="1:17" ht="18" x14ac:dyDescent="0.35">
      <c r="A40" s="414">
        <f t="shared" si="1"/>
        <v>29</v>
      </c>
      <c r="B40" s="459"/>
      <c r="C40" s="438" t="s">
        <v>492</v>
      </c>
      <c r="D40" s="579">
        <v>9500.9089999999997</v>
      </c>
      <c r="E40" s="580">
        <f>SUM(D39:D40)</f>
        <v>10897.358875796001</v>
      </c>
      <c r="F40" s="414"/>
      <c r="G40" s="414"/>
      <c r="H40" s="414"/>
      <c r="I40" s="488"/>
      <c r="J40" s="414"/>
      <c r="K40" s="414"/>
      <c r="L40" s="414"/>
      <c r="M40" s="414"/>
      <c r="N40" s="446"/>
      <c r="O40" s="414">
        <f t="shared" si="2"/>
        <v>29</v>
      </c>
    </row>
    <row r="41" spans="1:17" ht="18" x14ac:dyDescent="0.3">
      <c r="A41" s="414">
        <f t="shared" si="1"/>
        <v>30</v>
      </c>
      <c r="B41" s="459"/>
      <c r="C41" s="637" t="s">
        <v>467</v>
      </c>
      <c r="D41" s="578"/>
      <c r="E41" s="580"/>
      <c r="F41" s="414"/>
      <c r="G41" s="414"/>
      <c r="H41" s="578">
        <v>1396.4498799999999</v>
      </c>
      <c r="I41" s="466">
        <v>3</v>
      </c>
      <c r="J41" s="414"/>
      <c r="K41" s="414"/>
      <c r="L41" s="414"/>
      <c r="M41" s="414"/>
      <c r="N41" s="446"/>
      <c r="O41" s="414">
        <f t="shared" si="2"/>
        <v>30</v>
      </c>
    </row>
    <row r="42" spans="1:17" x14ac:dyDescent="0.35">
      <c r="A42" s="414">
        <f t="shared" si="1"/>
        <v>31</v>
      </c>
      <c r="B42" s="459">
        <v>925</v>
      </c>
      <c r="C42" s="438" t="s">
        <v>491</v>
      </c>
      <c r="D42" s="578">
        <v>1299.7870644639997</v>
      </c>
      <c r="E42" s="414"/>
      <c r="F42" s="414"/>
      <c r="G42" s="414"/>
      <c r="H42" s="414"/>
      <c r="I42" s="488"/>
      <c r="J42" s="414"/>
      <c r="K42" s="414"/>
      <c r="L42" s="414"/>
      <c r="M42" s="414"/>
      <c r="N42" s="446"/>
      <c r="O42" s="414">
        <f t="shared" si="2"/>
        <v>31</v>
      </c>
    </row>
    <row r="43" spans="1:17" x14ac:dyDescent="0.35">
      <c r="A43" s="414">
        <f t="shared" si="1"/>
        <v>32</v>
      </c>
      <c r="B43" s="459"/>
      <c r="C43" s="438" t="s">
        <v>273</v>
      </c>
      <c r="D43" s="578">
        <v>56.953900000000012</v>
      </c>
      <c r="E43" s="414"/>
      <c r="F43" s="414"/>
      <c r="G43" s="414"/>
      <c r="H43" s="414"/>
      <c r="I43" s="488"/>
      <c r="J43" s="414"/>
      <c r="K43" s="414"/>
      <c r="L43" s="414"/>
      <c r="M43" s="414"/>
      <c r="N43" s="446"/>
      <c r="O43" s="414">
        <f t="shared" si="2"/>
        <v>32</v>
      </c>
    </row>
    <row r="44" spans="1:17" x14ac:dyDescent="0.35">
      <c r="A44" s="414">
        <f t="shared" si="1"/>
        <v>33</v>
      </c>
      <c r="B44" s="459"/>
      <c r="C44" s="438" t="s">
        <v>493</v>
      </c>
      <c r="D44" s="578">
        <v>51.146999999999998</v>
      </c>
      <c r="E44" s="414"/>
      <c r="F44" s="414"/>
      <c r="G44" s="414"/>
      <c r="H44" s="414"/>
      <c r="I44" s="488"/>
      <c r="J44" s="414"/>
      <c r="K44" s="414"/>
      <c r="L44" s="414"/>
      <c r="M44" s="414"/>
      <c r="N44" s="446"/>
      <c r="O44" s="414">
        <f t="shared" si="2"/>
        <v>33</v>
      </c>
    </row>
    <row r="45" spans="1:17" x14ac:dyDescent="0.35">
      <c r="A45" s="414">
        <f t="shared" si="1"/>
        <v>34</v>
      </c>
      <c r="B45" s="459"/>
      <c r="C45" s="438" t="s">
        <v>494</v>
      </c>
      <c r="D45" s="578">
        <v>7.6603654320000008</v>
      </c>
      <c r="E45" s="414"/>
      <c r="F45" s="414"/>
      <c r="G45" s="414"/>
      <c r="H45" s="414"/>
      <c r="I45" s="488"/>
      <c r="J45" s="414"/>
      <c r="K45" s="414"/>
      <c r="L45" s="414"/>
      <c r="M45" s="414"/>
      <c r="N45" s="446"/>
      <c r="O45" s="414">
        <f t="shared" si="2"/>
        <v>34</v>
      </c>
    </row>
    <row r="46" spans="1:17" x14ac:dyDescent="0.35">
      <c r="A46" s="414">
        <f t="shared" si="1"/>
        <v>35</v>
      </c>
      <c r="B46" s="459"/>
      <c r="C46" s="438" t="s">
        <v>495</v>
      </c>
      <c r="D46" s="579">
        <v>2.8906900000000006</v>
      </c>
      <c r="E46" s="578">
        <f>SUM(D42:D46)</f>
        <v>1418.4390198959995</v>
      </c>
      <c r="F46" s="414"/>
      <c r="G46" s="414"/>
      <c r="H46" s="414"/>
      <c r="I46" s="488"/>
      <c r="J46" s="414"/>
      <c r="K46" s="414"/>
      <c r="L46" s="414"/>
      <c r="M46" s="414"/>
      <c r="N46" s="446"/>
      <c r="O46" s="414">
        <f t="shared" si="2"/>
        <v>35</v>
      </c>
    </row>
    <row r="47" spans="1:17" ht="18" x14ac:dyDescent="0.3">
      <c r="A47" s="414">
        <f t="shared" si="1"/>
        <v>36</v>
      </c>
      <c r="B47" s="459"/>
      <c r="C47" s="637" t="s">
        <v>467</v>
      </c>
      <c r="D47" s="578"/>
      <c r="E47" s="578"/>
      <c r="F47" s="414"/>
      <c r="G47" s="414"/>
      <c r="H47" s="578">
        <v>995.92452000000003</v>
      </c>
      <c r="I47" s="466">
        <v>3</v>
      </c>
      <c r="J47" s="414"/>
      <c r="K47" s="414"/>
      <c r="L47" s="414"/>
      <c r="M47" s="414"/>
      <c r="N47" s="446"/>
      <c r="O47" s="414">
        <f t="shared" si="2"/>
        <v>36</v>
      </c>
    </row>
    <row r="48" spans="1:17" x14ac:dyDescent="0.35">
      <c r="A48" s="414">
        <f t="shared" si="1"/>
        <v>37</v>
      </c>
      <c r="B48" s="459">
        <v>926</v>
      </c>
      <c r="C48" s="457" t="s">
        <v>491</v>
      </c>
      <c r="D48" s="578">
        <v>1948.1068235539999</v>
      </c>
      <c r="E48" s="414"/>
      <c r="F48" s="414"/>
      <c r="G48" s="414"/>
      <c r="H48" s="414"/>
      <c r="I48" s="488"/>
      <c r="J48" s="414"/>
      <c r="K48" s="414"/>
      <c r="L48" s="414"/>
      <c r="M48" s="414"/>
      <c r="N48" s="446"/>
      <c r="O48" s="414">
        <f t="shared" si="2"/>
        <v>37</v>
      </c>
    </row>
    <row r="49" spans="1:15" x14ac:dyDescent="0.35">
      <c r="A49" s="414">
        <f t="shared" si="1"/>
        <v>38</v>
      </c>
      <c r="B49" s="459"/>
      <c r="C49" s="438" t="s">
        <v>273</v>
      </c>
      <c r="D49" s="578">
        <v>87.771760000000015</v>
      </c>
      <c r="E49" s="414"/>
      <c r="F49" s="414"/>
      <c r="G49" s="414"/>
      <c r="H49" s="414"/>
      <c r="I49" s="488"/>
      <c r="J49" s="414"/>
      <c r="K49" s="414"/>
      <c r="L49" s="414"/>
      <c r="M49" s="414"/>
      <c r="N49" s="446"/>
      <c r="O49" s="414">
        <f t="shared" si="2"/>
        <v>38</v>
      </c>
    </row>
    <row r="50" spans="1:15" x14ac:dyDescent="0.35">
      <c r="A50" s="414">
        <f t="shared" si="1"/>
        <v>39</v>
      </c>
      <c r="B50" s="459"/>
      <c r="C50" s="438" t="s">
        <v>496</v>
      </c>
      <c r="D50" s="578">
        <v>36.096990000000005</v>
      </c>
      <c r="F50" s="414"/>
      <c r="G50" s="414"/>
      <c r="H50" s="414"/>
      <c r="I50" s="488"/>
      <c r="J50" s="414"/>
      <c r="K50" s="414"/>
      <c r="L50" s="414"/>
      <c r="M50" s="414"/>
      <c r="N50" s="446"/>
      <c r="O50" s="414">
        <f t="shared" si="2"/>
        <v>39</v>
      </c>
    </row>
    <row r="51" spans="1:15" x14ac:dyDescent="0.35">
      <c r="A51" s="414">
        <f t="shared" si="1"/>
        <v>40</v>
      </c>
      <c r="B51" s="459"/>
      <c r="C51" s="438" t="s">
        <v>495</v>
      </c>
      <c r="D51" s="579">
        <v>4.6505900000000002</v>
      </c>
      <c r="E51" s="578">
        <f>SUM(D48:D51)</f>
        <v>2076.6261635540004</v>
      </c>
      <c r="F51" s="414"/>
      <c r="G51" s="414"/>
      <c r="H51" s="414"/>
      <c r="I51" s="488"/>
      <c r="J51" s="414"/>
      <c r="K51" s="414"/>
      <c r="L51" s="414"/>
      <c r="M51" s="414"/>
      <c r="N51" s="446"/>
      <c r="O51" s="414">
        <f t="shared" si="2"/>
        <v>40</v>
      </c>
    </row>
    <row r="52" spans="1:15" ht="18" x14ac:dyDescent="0.3">
      <c r="A52" s="414">
        <f t="shared" si="1"/>
        <v>41</v>
      </c>
      <c r="B52" s="459"/>
      <c r="C52" s="637" t="s">
        <v>467</v>
      </c>
      <c r="D52" s="578"/>
      <c r="E52" s="578"/>
      <c r="F52" s="414"/>
      <c r="G52" s="414"/>
      <c r="H52" s="578">
        <v>1510.53378</v>
      </c>
      <c r="I52" s="466">
        <v>3</v>
      </c>
      <c r="J52" s="414"/>
      <c r="K52" s="414"/>
      <c r="L52" s="414"/>
      <c r="M52" s="414"/>
      <c r="N52" s="446"/>
      <c r="O52" s="414">
        <f t="shared" si="2"/>
        <v>41</v>
      </c>
    </row>
    <row r="53" spans="1:15" x14ac:dyDescent="0.35">
      <c r="A53" s="414">
        <f t="shared" si="1"/>
        <v>42</v>
      </c>
      <c r="B53" s="581">
        <v>927</v>
      </c>
      <c r="C53" s="457" t="s">
        <v>262</v>
      </c>
      <c r="D53" s="578"/>
      <c r="E53" s="582">
        <v>128579.84063999999</v>
      </c>
      <c r="F53" s="414"/>
      <c r="G53" s="414"/>
      <c r="H53" s="414"/>
      <c r="I53" s="488"/>
      <c r="J53" s="414"/>
      <c r="K53" s="414"/>
      <c r="L53" s="414"/>
      <c r="M53" s="414"/>
      <c r="N53" s="446"/>
      <c r="O53" s="414">
        <f t="shared" si="2"/>
        <v>42</v>
      </c>
    </row>
    <row r="54" spans="1:15" x14ac:dyDescent="0.35">
      <c r="A54" s="414">
        <f t="shared" si="1"/>
        <v>43</v>
      </c>
      <c r="B54" s="459">
        <v>928</v>
      </c>
      <c r="C54" s="40" t="s">
        <v>497</v>
      </c>
      <c r="D54" s="578">
        <v>22235.548999999999</v>
      </c>
      <c r="E54" s="414"/>
      <c r="F54" s="414"/>
      <c r="G54" s="414"/>
      <c r="H54" s="414"/>
      <c r="I54" s="488"/>
      <c r="J54" s="414"/>
      <c r="K54" s="414"/>
      <c r="L54" s="414"/>
      <c r="M54" s="414"/>
      <c r="N54" s="446"/>
      <c r="O54" s="414">
        <f t="shared" si="2"/>
        <v>43</v>
      </c>
    </row>
    <row r="55" spans="1:15" x14ac:dyDescent="0.35">
      <c r="A55" s="414">
        <f t="shared" si="1"/>
        <v>44</v>
      </c>
      <c r="B55" s="459"/>
      <c r="C55" s="438" t="s">
        <v>274</v>
      </c>
      <c r="D55" s="578">
        <v>964.92977000000019</v>
      </c>
      <c r="E55" s="414"/>
      <c r="F55" s="414"/>
      <c r="G55" s="414"/>
      <c r="H55" s="414"/>
      <c r="I55" s="488"/>
      <c r="J55" s="414"/>
      <c r="K55" s="414"/>
      <c r="L55" s="414"/>
      <c r="M55" s="414"/>
      <c r="N55" s="446"/>
      <c r="O55" s="414">
        <f t="shared" si="2"/>
        <v>44</v>
      </c>
    </row>
    <row r="56" spans="1:15" x14ac:dyDescent="0.35">
      <c r="A56" s="414">
        <f t="shared" si="1"/>
        <v>45</v>
      </c>
      <c r="B56" s="459"/>
      <c r="C56" s="438" t="s">
        <v>491</v>
      </c>
      <c r="D56" s="578">
        <v>258.03949000000011</v>
      </c>
      <c r="E56" s="414"/>
      <c r="F56" s="414"/>
      <c r="G56" s="414"/>
      <c r="H56" s="414"/>
      <c r="I56" s="488"/>
      <c r="J56" s="414"/>
      <c r="K56" s="414"/>
      <c r="L56" s="414"/>
      <c r="M56" s="414"/>
      <c r="N56" s="446"/>
      <c r="O56" s="414">
        <f t="shared" si="2"/>
        <v>45</v>
      </c>
    </row>
    <row r="57" spans="1:15" x14ac:dyDescent="0.35">
      <c r="A57" s="414">
        <f t="shared" si="1"/>
        <v>46</v>
      </c>
      <c r="B57" s="459"/>
      <c r="C57" s="18" t="s">
        <v>275</v>
      </c>
      <c r="D57" s="583">
        <v>0</v>
      </c>
      <c r="E57" s="414"/>
      <c r="F57" s="414"/>
      <c r="G57" s="414"/>
      <c r="H57" s="414"/>
      <c r="I57" s="488"/>
      <c r="J57" s="414"/>
      <c r="K57" s="414"/>
      <c r="L57" s="414"/>
      <c r="M57" s="414"/>
      <c r="N57" s="446"/>
      <c r="O57" s="414">
        <f t="shared" si="2"/>
        <v>46</v>
      </c>
    </row>
    <row r="58" spans="1:15" x14ac:dyDescent="0.35">
      <c r="A58" s="414">
        <f t="shared" si="1"/>
        <v>47</v>
      </c>
      <c r="B58" s="459"/>
      <c r="C58" s="18" t="s">
        <v>276</v>
      </c>
      <c r="D58" s="579">
        <v>617.17561999999998</v>
      </c>
      <c r="E58" s="578">
        <f>SUM(D54:D58)</f>
        <v>24075.693879999999</v>
      </c>
      <c r="F58" s="414"/>
      <c r="G58" s="414"/>
      <c r="H58" s="414"/>
      <c r="I58" s="488"/>
      <c r="J58" s="414"/>
      <c r="K58" s="414"/>
      <c r="L58" s="414"/>
      <c r="M58" s="414"/>
      <c r="N58" s="446"/>
      <c r="O58" s="414">
        <f t="shared" si="2"/>
        <v>47</v>
      </c>
    </row>
    <row r="59" spans="1:15" x14ac:dyDescent="0.35">
      <c r="A59" s="414">
        <f t="shared" si="1"/>
        <v>48</v>
      </c>
      <c r="B59" s="584">
        <v>930.1</v>
      </c>
      <c r="C59" s="18" t="s">
        <v>265</v>
      </c>
      <c r="D59" s="578"/>
      <c r="E59" s="580">
        <v>66.134640000000005</v>
      </c>
      <c r="F59" s="414"/>
      <c r="G59" s="414"/>
      <c r="H59" s="414"/>
      <c r="I59" s="488"/>
      <c r="J59" s="414"/>
      <c r="K59" s="414"/>
      <c r="L59" s="414"/>
      <c r="M59" s="414"/>
      <c r="N59" s="446"/>
      <c r="O59" s="414">
        <f t="shared" si="2"/>
        <v>48</v>
      </c>
    </row>
    <row r="60" spans="1:15" x14ac:dyDescent="0.35">
      <c r="A60" s="414">
        <f t="shared" si="1"/>
        <v>49</v>
      </c>
      <c r="B60" s="458">
        <v>930.2</v>
      </c>
      <c r="C60" s="457" t="s">
        <v>277</v>
      </c>
      <c r="D60" s="582">
        <v>5025.3662400000003</v>
      </c>
      <c r="F60" s="414"/>
      <c r="G60" s="414"/>
      <c r="H60" s="414"/>
      <c r="I60" s="488"/>
      <c r="J60" s="414"/>
      <c r="K60" s="414"/>
      <c r="L60" s="414"/>
      <c r="M60" s="414"/>
      <c r="N60" s="446"/>
      <c r="O60" s="414">
        <f t="shared" si="2"/>
        <v>49</v>
      </c>
    </row>
    <row r="61" spans="1:15" x14ac:dyDescent="0.35">
      <c r="A61" s="414">
        <f t="shared" si="1"/>
        <v>50</v>
      </c>
      <c r="B61" s="458"/>
      <c r="C61" s="457" t="s">
        <v>491</v>
      </c>
      <c r="D61" s="579">
        <v>3.7185659999999956E-3</v>
      </c>
      <c r="E61" s="580">
        <f>SUM(D60:D61)</f>
        <v>5025.3699585660006</v>
      </c>
      <c r="F61" s="414"/>
      <c r="G61" s="414"/>
      <c r="H61" s="414"/>
      <c r="I61" s="488"/>
      <c r="J61" s="414"/>
      <c r="K61" s="414"/>
      <c r="L61" s="414"/>
      <c r="M61" s="414"/>
      <c r="N61" s="446"/>
      <c r="O61" s="414">
        <f t="shared" si="2"/>
        <v>50</v>
      </c>
    </row>
    <row r="62" spans="1:15" ht="18" x14ac:dyDescent="0.35">
      <c r="A62" s="414">
        <f t="shared" si="1"/>
        <v>51</v>
      </c>
      <c r="B62" s="458"/>
      <c r="C62" s="637" t="s">
        <v>467</v>
      </c>
      <c r="D62" s="578"/>
      <c r="E62" s="580"/>
      <c r="F62" s="414"/>
      <c r="G62" s="414"/>
      <c r="H62" s="578">
        <v>3.7200000000000002E-3</v>
      </c>
      <c r="I62" s="466">
        <v>3</v>
      </c>
      <c r="J62" s="414"/>
      <c r="K62" s="414"/>
      <c r="L62" s="414"/>
      <c r="M62" s="414"/>
      <c r="N62" s="446"/>
      <c r="O62" s="414">
        <f t="shared" si="2"/>
        <v>51</v>
      </c>
    </row>
    <row r="63" spans="1:15" x14ac:dyDescent="0.35">
      <c r="A63" s="414">
        <f t="shared" si="1"/>
        <v>52</v>
      </c>
      <c r="B63" s="585">
        <v>931</v>
      </c>
      <c r="C63" s="18" t="s">
        <v>491</v>
      </c>
      <c r="D63" s="578"/>
      <c r="E63" s="582">
        <v>13.720007673000001</v>
      </c>
      <c r="F63" s="414"/>
      <c r="G63" s="414"/>
      <c r="H63" s="414"/>
      <c r="I63" s="488"/>
      <c r="J63" s="414"/>
      <c r="K63" s="414"/>
      <c r="L63" s="414"/>
      <c r="M63" s="414"/>
      <c r="N63" s="446"/>
      <c r="O63" s="414">
        <f t="shared" si="2"/>
        <v>52</v>
      </c>
    </row>
    <row r="64" spans="1:15" ht="18" x14ac:dyDescent="0.35">
      <c r="A64" s="414">
        <f t="shared" si="1"/>
        <v>53</v>
      </c>
      <c r="B64" s="585"/>
      <c r="C64" s="637" t="s">
        <v>467</v>
      </c>
      <c r="D64" s="578"/>
      <c r="E64" s="582"/>
      <c r="F64" s="414"/>
      <c r="G64" s="414"/>
      <c r="H64" s="578">
        <v>13.72001</v>
      </c>
      <c r="I64" s="466">
        <v>3</v>
      </c>
      <c r="J64" s="414"/>
      <c r="K64" s="414"/>
      <c r="L64" s="414"/>
      <c r="M64" s="414"/>
      <c r="N64" s="446"/>
      <c r="O64" s="414">
        <f t="shared" si="2"/>
        <v>53</v>
      </c>
    </row>
    <row r="65" spans="1:15" x14ac:dyDescent="0.35">
      <c r="A65" s="414">
        <f t="shared" si="1"/>
        <v>54</v>
      </c>
      <c r="B65" s="459">
        <v>935</v>
      </c>
      <c r="C65" s="438" t="s">
        <v>278</v>
      </c>
      <c r="D65" s="578"/>
      <c r="E65" s="586">
        <v>25.724845446</v>
      </c>
      <c r="F65" s="414"/>
      <c r="G65" s="414"/>
      <c r="H65" s="414"/>
      <c r="I65" s="488"/>
      <c r="J65" s="414"/>
      <c r="K65" s="414"/>
      <c r="L65" s="414"/>
      <c r="M65" s="414"/>
      <c r="N65" s="446"/>
      <c r="O65" s="414">
        <f t="shared" si="2"/>
        <v>54</v>
      </c>
    </row>
    <row r="66" spans="1:15" x14ac:dyDescent="0.35">
      <c r="A66" s="414">
        <f t="shared" si="1"/>
        <v>55</v>
      </c>
      <c r="B66" s="459"/>
      <c r="C66" s="587"/>
      <c r="D66" s="588"/>
      <c r="E66" s="46"/>
      <c r="F66" s="414"/>
      <c r="G66" s="414"/>
      <c r="H66" s="414"/>
      <c r="I66" s="488"/>
      <c r="J66" s="414"/>
      <c r="K66" s="414"/>
      <c r="L66" s="414"/>
      <c r="M66" s="414"/>
      <c r="N66" s="446"/>
      <c r="O66" s="414">
        <f t="shared" si="2"/>
        <v>55</v>
      </c>
    </row>
    <row r="67" spans="1:15" ht="18.5" thickBot="1" x14ac:dyDescent="0.4">
      <c r="A67" s="414">
        <f t="shared" si="1"/>
        <v>56</v>
      </c>
      <c r="B67" s="454"/>
      <c r="C67" s="460" t="s">
        <v>279</v>
      </c>
      <c r="D67" s="589"/>
      <c r="E67" s="590">
        <f>SUM(E35:E65)</f>
        <v>180439.269493139</v>
      </c>
      <c r="F67" s="414"/>
      <c r="G67" s="414"/>
      <c r="H67" s="639"/>
      <c r="I67" s="466"/>
      <c r="J67" s="414"/>
      <c r="K67" s="414"/>
      <c r="L67" s="414"/>
      <c r="M67" s="414"/>
      <c r="N67" s="446"/>
      <c r="O67" s="414">
        <f t="shared" si="2"/>
        <v>56</v>
      </c>
    </row>
    <row r="68" spans="1:15" ht="16" thickTop="1" x14ac:dyDescent="0.35">
      <c r="A68" s="414">
        <f t="shared" si="1"/>
        <v>57</v>
      </c>
      <c r="B68" s="455"/>
      <c r="C68" s="414"/>
      <c r="D68" s="414"/>
      <c r="E68" s="414"/>
      <c r="F68" s="414"/>
      <c r="G68" s="414"/>
      <c r="H68" s="414"/>
      <c r="I68" s="488"/>
      <c r="J68" s="414"/>
      <c r="K68" s="414"/>
      <c r="L68" s="414"/>
      <c r="M68" s="414"/>
      <c r="N68" s="446"/>
      <c r="O68" s="414">
        <f t="shared" si="2"/>
        <v>57</v>
      </c>
    </row>
    <row r="69" spans="1:15" x14ac:dyDescent="0.35">
      <c r="A69" s="414">
        <f t="shared" si="1"/>
        <v>58</v>
      </c>
      <c r="B69" s="455"/>
      <c r="C69" s="414"/>
      <c r="D69" s="414"/>
      <c r="E69" s="414"/>
      <c r="F69" s="414"/>
      <c r="G69" s="414"/>
      <c r="H69" s="414"/>
      <c r="I69" s="488"/>
      <c r="J69" s="414"/>
      <c r="K69" s="414"/>
      <c r="L69" s="414"/>
      <c r="M69" s="414"/>
      <c r="N69" s="446"/>
      <c r="O69" s="414">
        <f t="shared" si="2"/>
        <v>58</v>
      </c>
    </row>
    <row r="70" spans="1:15" x14ac:dyDescent="0.35">
      <c r="A70" s="414">
        <f t="shared" si="1"/>
        <v>59</v>
      </c>
      <c r="B70" s="63" t="s">
        <v>24</v>
      </c>
      <c r="C70" s="21" t="s">
        <v>636</v>
      </c>
      <c r="D70" s="414"/>
      <c r="E70" s="414"/>
      <c r="F70" s="414"/>
      <c r="G70" s="414"/>
      <c r="H70" s="414"/>
      <c r="I70" s="488"/>
      <c r="J70" s="414"/>
      <c r="K70" s="414"/>
      <c r="L70" s="414"/>
      <c r="M70" s="414"/>
      <c r="N70" s="446"/>
      <c r="O70" s="414">
        <f t="shared" si="2"/>
        <v>59</v>
      </c>
    </row>
    <row r="71" spans="1:15" ht="18.5" x14ac:dyDescent="0.35">
      <c r="A71" s="414">
        <f t="shared" si="1"/>
        <v>60</v>
      </c>
      <c r="B71" s="264">
        <v>1</v>
      </c>
      <c r="C71" s="263" t="s">
        <v>575</v>
      </c>
      <c r="E71" s="461"/>
      <c r="F71" s="470"/>
      <c r="G71" s="470"/>
      <c r="H71" s="470"/>
      <c r="I71" s="470"/>
      <c r="J71" s="470"/>
      <c r="K71" s="470"/>
      <c r="L71" s="470"/>
      <c r="M71" s="470"/>
      <c r="N71" s="446"/>
      <c r="O71" s="414">
        <f t="shared" si="2"/>
        <v>60</v>
      </c>
    </row>
    <row r="72" spans="1:15" ht="18.5" x14ac:dyDescent="0.35">
      <c r="A72" s="414">
        <f t="shared" si="1"/>
        <v>61</v>
      </c>
      <c r="B72" s="462"/>
      <c r="C72" s="17" t="s">
        <v>280</v>
      </c>
      <c r="E72" s="461"/>
      <c r="F72" s="470"/>
      <c r="G72" s="470"/>
      <c r="H72" s="470"/>
      <c r="I72" s="470"/>
      <c r="J72" s="470"/>
      <c r="K72" s="470"/>
      <c r="L72" s="470"/>
      <c r="M72" s="470"/>
      <c r="N72" s="446"/>
      <c r="O72" s="414">
        <f t="shared" si="2"/>
        <v>61</v>
      </c>
    </row>
    <row r="73" spans="1:15" ht="18" x14ac:dyDescent="0.35">
      <c r="A73" s="414">
        <f t="shared" si="1"/>
        <v>62</v>
      </c>
      <c r="B73" s="499" t="s">
        <v>281</v>
      </c>
      <c r="C73" s="34" t="s">
        <v>498</v>
      </c>
      <c r="E73" s="461"/>
      <c r="F73" s="470"/>
      <c r="G73" s="470"/>
      <c r="H73" s="470"/>
      <c r="I73" s="470"/>
      <c r="J73" s="470"/>
      <c r="K73" s="470"/>
      <c r="L73" s="470"/>
      <c r="M73" s="470"/>
      <c r="N73" s="446"/>
      <c r="O73" s="414">
        <f t="shared" si="2"/>
        <v>62</v>
      </c>
    </row>
    <row r="74" spans="1:15" ht="18" x14ac:dyDescent="0.35">
      <c r="A74" s="414">
        <f t="shared" si="1"/>
        <v>63</v>
      </c>
      <c r="B74" s="499"/>
      <c r="C74" s="34" t="s">
        <v>499</v>
      </c>
      <c r="E74" s="461"/>
      <c r="F74" s="470"/>
      <c r="G74" s="470"/>
      <c r="H74" s="470"/>
      <c r="I74" s="470"/>
      <c r="J74" s="470"/>
      <c r="K74" s="470"/>
      <c r="L74" s="470"/>
      <c r="M74" s="470"/>
      <c r="N74" s="446"/>
      <c r="O74" s="414">
        <f t="shared" si="2"/>
        <v>63</v>
      </c>
    </row>
    <row r="75" spans="1:15" ht="18" x14ac:dyDescent="0.35">
      <c r="A75" s="414">
        <f t="shared" si="1"/>
        <v>64</v>
      </c>
      <c r="B75" s="499"/>
      <c r="C75" s="34" t="s">
        <v>500</v>
      </c>
      <c r="E75" s="461"/>
      <c r="F75" s="470"/>
      <c r="G75" s="470"/>
      <c r="H75" s="470"/>
      <c r="I75" s="470"/>
      <c r="J75" s="470"/>
      <c r="K75" s="470"/>
      <c r="L75" s="470"/>
      <c r="M75" s="470"/>
      <c r="N75" s="446"/>
      <c r="O75" s="414">
        <f t="shared" si="2"/>
        <v>64</v>
      </c>
    </row>
    <row r="76" spans="1:15" ht="18" x14ac:dyDescent="0.35">
      <c r="A76" s="414">
        <f t="shared" si="1"/>
        <v>65</v>
      </c>
      <c r="B76" s="500">
        <v>3</v>
      </c>
      <c r="C76" s="17" t="s">
        <v>502</v>
      </c>
      <c r="E76" s="461"/>
      <c r="F76" s="470"/>
      <c r="G76" s="470"/>
      <c r="H76" s="470"/>
      <c r="I76" s="470"/>
      <c r="J76" s="470"/>
      <c r="K76" s="470"/>
      <c r="L76" s="470"/>
      <c r="M76" s="470"/>
      <c r="N76" s="446"/>
      <c r="O76" s="414">
        <f t="shared" si="2"/>
        <v>65</v>
      </c>
    </row>
    <row r="77" spans="1:15" ht="16" thickBot="1" x14ac:dyDescent="0.4">
      <c r="A77" s="414">
        <f t="shared" ref="A77" si="6">A76+1</f>
        <v>66</v>
      </c>
      <c r="B77" s="463"/>
      <c r="C77" s="464"/>
      <c r="D77" s="416"/>
      <c r="E77" s="416"/>
      <c r="F77" s="416"/>
      <c r="G77" s="416"/>
      <c r="H77" s="416"/>
      <c r="I77" s="693"/>
      <c r="J77" s="416"/>
      <c r="K77" s="416"/>
      <c r="L77" s="416"/>
      <c r="M77" s="416"/>
      <c r="N77" s="453"/>
      <c r="O77" s="414">
        <f t="shared" ref="O77" si="7">O76+1</f>
        <v>66</v>
      </c>
    </row>
    <row r="78" spans="1:15" x14ac:dyDescent="0.35">
      <c r="C78" s="438"/>
    </row>
    <row r="79" spans="1:15" x14ac:dyDescent="0.35">
      <c r="A79" s="488"/>
      <c r="C79" s="438"/>
      <c r="D79" s="465"/>
      <c r="E79" s="465"/>
    </row>
    <row r="80" spans="1:15" ht="18" x14ac:dyDescent="0.35">
      <c r="A80" s="466"/>
      <c r="B80" s="265"/>
      <c r="C80" s="17"/>
      <c r="D80" s="158"/>
      <c r="E80" s="158"/>
      <c r="F80" s="158"/>
      <c r="G80" s="158"/>
      <c r="H80" s="158"/>
      <c r="I80" s="158"/>
      <c r="J80" s="158"/>
      <c r="K80" s="158"/>
      <c r="L80" s="158"/>
      <c r="M80" s="158"/>
    </row>
    <row r="81" spans="1:13" ht="18" x14ac:dyDescent="0.35">
      <c r="A81" s="466"/>
      <c r="B81" s="265"/>
      <c r="C81" s="221"/>
      <c r="D81" s="158"/>
      <c r="E81" s="158"/>
      <c r="F81" s="158"/>
      <c r="G81" s="158"/>
      <c r="H81" s="158"/>
      <c r="I81" s="158"/>
      <c r="J81" s="158"/>
      <c r="K81" s="158"/>
      <c r="L81" s="158"/>
      <c r="M81" s="158"/>
    </row>
    <row r="82" spans="1:13" ht="18" x14ac:dyDescent="0.35">
      <c r="A82" s="466"/>
      <c r="B82" s="33"/>
      <c r="C82" s="17"/>
      <c r="D82" s="17"/>
      <c r="E82" s="17"/>
      <c r="F82" s="17"/>
      <c r="G82" s="17"/>
      <c r="H82" s="17"/>
      <c r="I82" s="21"/>
      <c r="J82" s="17"/>
      <c r="K82" s="17"/>
      <c r="L82" s="17"/>
      <c r="M82" s="17"/>
    </row>
    <row r="83" spans="1:13" ht="18" x14ac:dyDescent="0.35">
      <c r="A83" s="466"/>
      <c r="C83" s="438"/>
    </row>
    <row r="84" spans="1:13" ht="18" x14ac:dyDescent="0.35">
      <c r="A84" s="466"/>
      <c r="C84" s="438"/>
    </row>
    <row r="85" spans="1:13" ht="18" x14ac:dyDescent="0.35">
      <c r="A85" s="466"/>
      <c r="C85" s="438"/>
    </row>
    <row r="86" spans="1:13" x14ac:dyDescent="0.35">
      <c r="A86" s="488"/>
      <c r="C86" s="438"/>
    </row>
    <row r="87" spans="1:13" ht="18" x14ac:dyDescent="0.35">
      <c r="A87" s="466"/>
      <c r="C87" s="438"/>
    </row>
    <row r="88" spans="1:13" x14ac:dyDescent="0.35">
      <c r="A88" s="488"/>
      <c r="C88" s="438"/>
    </row>
    <row r="89" spans="1:13" ht="18" x14ac:dyDescent="0.35">
      <c r="A89" s="466"/>
      <c r="C89" s="438"/>
    </row>
    <row r="90" spans="1:13" x14ac:dyDescent="0.35">
      <c r="A90" s="488"/>
      <c r="C90" s="438"/>
    </row>
    <row r="91" spans="1:13" ht="18" x14ac:dyDescent="0.35">
      <c r="A91" s="466"/>
      <c r="C91" s="438"/>
    </row>
    <row r="92" spans="1:13" ht="18" x14ac:dyDescent="0.35">
      <c r="A92" s="466"/>
      <c r="B92" s="438"/>
    </row>
    <row r="93" spans="1:13" ht="18" x14ac:dyDescent="0.35">
      <c r="A93" s="466"/>
      <c r="B93" s="438"/>
    </row>
    <row r="94" spans="1:13" x14ac:dyDescent="0.35">
      <c r="B94" s="438"/>
    </row>
    <row r="95" spans="1:13" ht="18" x14ac:dyDescent="0.35">
      <c r="A95" s="466"/>
      <c r="B95" s="438"/>
    </row>
    <row r="96" spans="1:13" x14ac:dyDescent="0.35">
      <c r="A96" s="467"/>
      <c r="B96" s="468"/>
    </row>
    <row r="97" spans="2:2" x14ac:dyDescent="0.35">
      <c r="B97" s="438"/>
    </row>
  </sheetData>
  <mergeCells count="4">
    <mergeCell ref="B3:N3"/>
    <mergeCell ref="B4:N4"/>
    <mergeCell ref="B5:N5"/>
    <mergeCell ref="B6:N6"/>
  </mergeCells>
  <printOptions horizontalCentered="1"/>
  <pageMargins left="0.25" right="0.25" top="0.5" bottom="0.5" header="0.35" footer="0.25"/>
  <pageSetup scale="42" orientation="landscape" r:id="rId1"/>
  <headerFooter scaleWithDoc="0" alignWithMargins="0">
    <oddHeader>&amp;C&amp;"Times New Roman,Bold"&amp;5AS FILED AH-3 WITH COST ADJ INCL IN APPENDIX XII CYCLE 6 (ER24-175)</oddHeader>
    <oddFooter>&amp;L&amp;F&amp;CPage 8.3&amp;R&amp;A</oddFooter>
  </headerFooter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B8C6-2518-4073-8636-0B1049712768}">
  <sheetPr>
    <pageSetUpPr fitToPage="1"/>
  </sheetPr>
  <dimension ref="A1:L36"/>
  <sheetViews>
    <sheetView zoomScale="80" zoomScaleNormal="80" workbookViewId="0"/>
  </sheetViews>
  <sheetFormatPr defaultColWidth="8.81640625" defaultRowHeight="15.5" x14ac:dyDescent="0.35"/>
  <cols>
    <col min="1" max="1" width="5.453125" style="154" bestFit="1" customWidth="1"/>
    <col min="2" max="2" width="68.81640625" style="81" customWidth="1"/>
    <col min="3" max="3" width="25.453125" style="82" bestFit="1" customWidth="1"/>
    <col min="4" max="4" width="1.54296875" style="81" customWidth="1"/>
    <col min="5" max="5" width="16.81640625" style="81" customWidth="1"/>
    <col min="6" max="6" width="1.54296875" style="81" customWidth="1"/>
    <col min="7" max="7" width="16.81640625" style="81" customWidth="1"/>
    <col min="8" max="8" width="1.54296875" style="81" customWidth="1"/>
    <col min="9" max="9" width="40.453125" style="81" customWidth="1"/>
    <col min="10" max="10" width="5.453125" style="81" customWidth="1"/>
    <col min="11" max="16384" width="8.81640625" style="81"/>
  </cols>
  <sheetData>
    <row r="1" spans="1:12" x14ac:dyDescent="0.35">
      <c r="H1" s="154"/>
      <c r="I1" s="154"/>
      <c r="J1" s="154"/>
    </row>
    <row r="2" spans="1:12" x14ac:dyDescent="0.35">
      <c r="B2" s="819" t="s">
        <v>14</v>
      </c>
      <c r="C2" s="820"/>
      <c r="D2" s="820"/>
      <c r="E2" s="820"/>
      <c r="F2" s="820"/>
      <c r="G2" s="820"/>
      <c r="H2" s="820"/>
      <c r="I2" s="820"/>
      <c r="J2" s="153"/>
    </row>
    <row r="3" spans="1:12" x14ac:dyDescent="0.35">
      <c r="B3" s="819" t="s">
        <v>282</v>
      </c>
      <c r="C3" s="820"/>
      <c r="D3" s="820"/>
      <c r="E3" s="820"/>
      <c r="F3" s="820"/>
      <c r="G3" s="820"/>
      <c r="H3" s="820"/>
      <c r="I3" s="820"/>
      <c r="J3" s="153"/>
    </row>
    <row r="4" spans="1:12" x14ac:dyDescent="0.35">
      <c r="B4" s="819" t="s">
        <v>283</v>
      </c>
      <c r="C4" s="820"/>
      <c r="D4" s="820"/>
      <c r="E4" s="820"/>
      <c r="F4" s="820"/>
      <c r="G4" s="820"/>
      <c r="H4" s="820"/>
      <c r="I4" s="820"/>
      <c r="J4" s="153"/>
    </row>
    <row r="5" spans="1:12" x14ac:dyDescent="0.35">
      <c r="B5" s="821" t="s">
        <v>476</v>
      </c>
      <c r="C5" s="821"/>
      <c r="D5" s="821"/>
      <c r="E5" s="821"/>
      <c r="F5" s="821"/>
      <c r="G5" s="821"/>
      <c r="H5" s="821"/>
      <c r="I5" s="821"/>
      <c r="J5" s="153"/>
      <c r="L5" s="594"/>
    </row>
    <row r="6" spans="1:12" x14ac:dyDescent="0.35">
      <c r="B6" s="822" t="s">
        <v>1</v>
      </c>
      <c r="C6" s="822"/>
      <c r="D6" s="822"/>
      <c r="E6" s="822"/>
      <c r="F6" s="822"/>
      <c r="G6" s="822"/>
      <c r="H6" s="822"/>
      <c r="I6" s="822"/>
      <c r="J6" s="83"/>
    </row>
    <row r="7" spans="1:12" x14ac:dyDescent="0.35">
      <c r="B7" s="154"/>
      <c r="D7" s="154"/>
      <c r="E7" s="154"/>
      <c r="F7" s="154"/>
      <c r="G7" s="154"/>
      <c r="H7" s="153"/>
      <c r="I7" s="153"/>
      <c r="J7" s="153"/>
    </row>
    <row r="8" spans="1:12" x14ac:dyDescent="0.35">
      <c r="A8" s="154" t="s">
        <v>2</v>
      </c>
      <c r="B8" s="153"/>
      <c r="C8" s="33" t="s">
        <v>173</v>
      </c>
      <c r="D8" s="154"/>
      <c r="E8" s="154" t="s">
        <v>284</v>
      </c>
      <c r="F8" s="154"/>
      <c r="G8" s="154" t="s">
        <v>285</v>
      </c>
      <c r="H8" s="153"/>
      <c r="I8" s="153"/>
      <c r="J8" s="154" t="s">
        <v>2</v>
      </c>
    </row>
    <row r="9" spans="1:12" x14ac:dyDescent="0.35">
      <c r="A9" s="154" t="s">
        <v>3</v>
      </c>
      <c r="B9" s="153"/>
      <c r="C9" s="520" t="s">
        <v>174</v>
      </c>
      <c r="D9" s="153"/>
      <c r="E9" s="595" t="s">
        <v>286</v>
      </c>
      <c r="F9" s="153"/>
      <c r="G9" s="595" t="s">
        <v>287</v>
      </c>
      <c r="H9" s="153"/>
      <c r="I9" s="596" t="s">
        <v>6</v>
      </c>
      <c r="J9" s="154" t="s">
        <v>3</v>
      </c>
    </row>
    <row r="10" spans="1:12" x14ac:dyDescent="0.35">
      <c r="B10" s="154"/>
      <c r="D10" s="154"/>
      <c r="E10" s="154"/>
      <c r="F10" s="154"/>
      <c r="G10" s="154"/>
      <c r="H10" s="154"/>
      <c r="I10" s="154"/>
      <c r="J10" s="154"/>
    </row>
    <row r="11" spans="1:12" ht="18" x14ac:dyDescent="0.35">
      <c r="A11" s="154">
        <v>1</v>
      </c>
      <c r="B11" s="81" t="s">
        <v>503</v>
      </c>
      <c r="C11" s="154"/>
      <c r="E11" s="266"/>
      <c r="F11" s="84"/>
      <c r="G11" s="241">
        <v>121247.3026923077</v>
      </c>
      <c r="H11" s="84"/>
      <c r="I11" s="58" t="s">
        <v>288</v>
      </c>
      <c r="J11" s="154">
        <f>A11</f>
        <v>1</v>
      </c>
      <c r="L11" s="594"/>
    </row>
    <row r="12" spans="1:12" x14ac:dyDescent="0.35">
      <c r="A12" s="154">
        <f>+A11+1</f>
        <v>2</v>
      </c>
      <c r="C12" s="154"/>
      <c r="E12" s="85"/>
      <c r="F12" s="86"/>
      <c r="G12" s="86"/>
      <c r="H12" s="86"/>
      <c r="I12" s="58"/>
      <c r="J12" s="154">
        <f>+J11+1</f>
        <v>2</v>
      </c>
    </row>
    <row r="13" spans="1:12" x14ac:dyDescent="0.35">
      <c r="A13" s="154">
        <f t="shared" ref="A13:A29" si="0">+A12+1</f>
        <v>3</v>
      </c>
      <c r="B13" s="81" t="s">
        <v>289</v>
      </c>
      <c r="C13" s="154"/>
      <c r="E13" s="87"/>
      <c r="F13" s="88"/>
      <c r="G13" s="597">
        <v>0.39128839418396177</v>
      </c>
      <c r="H13" s="84"/>
      <c r="I13" s="58" t="s">
        <v>290</v>
      </c>
      <c r="J13" s="154">
        <f t="shared" ref="J13:J29" si="1">+J12+1</f>
        <v>3</v>
      </c>
    </row>
    <row r="14" spans="1:12" x14ac:dyDescent="0.35">
      <c r="A14" s="154">
        <f t="shared" si="0"/>
        <v>4</v>
      </c>
      <c r="C14" s="154"/>
      <c r="E14" s="85"/>
      <c r="F14" s="86"/>
      <c r="G14" s="85"/>
      <c r="H14" s="86"/>
      <c r="I14" s="58"/>
      <c r="J14" s="154">
        <f t="shared" si="1"/>
        <v>4</v>
      </c>
    </row>
    <row r="15" spans="1:12" ht="16" thickBot="1" x14ac:dyDescent="0.4">
      <c r="A15" s="154">
        <f t="shared" si="0"/>
        <v>5</v>
      </c>
      <c r="B15" s="81" t="s">
        <v>291</v>
      </c>
      <c r="C15" s="154"/>
      <c r="E15" s="267"/>
      <c r="F15" s="86"/>
      <c r="G15" s="268">
        <f>G11*G13</f>
        <v>47442.662369609825</v>
      </c>
      <c r="H15" s="84"/>
      <c r="I15" s="58" t="s">
        <v>292</v>
      </c>
      <c r="J15" s="154">
        <f t="shared" si="1"/>
        <v>5</v>
      </c>
    </row>
    <row r="16" spans="1:12" ht="16" thickTop="1" x14ac:dyDescent="0.35">
      <c r="A16" s="154">
        <f t="shared" si="0"/>
        <v>6</v>
      </c>
      <c r="C16" s="154"/>
      <c r="E16" s="269"/>
      <c r="F16" s="154"/>
      <c r="G16" s="154"/>
      <c r="H16" s="154"/>
      <c r="I16" s="58"/>
      <c r="J16" s="154">
        <f t="shared" si="1"/>
        <v>6</v>
      </c>
    </row>
    <row r="17" spans="1:12" ht="18" x14ac:dyDescent="0.35">
      <c r="A17" s="154">
        <f t="shared" si="0"/>
        <v>7</v>
      </c>
      <c r="B17" s="81" t="s">
        <v>504</v>
      </c>
      <c r="C17" s="154" t="s">
        <v>505</v>
      </c>
      <c r="D17" s="270"/>
      <c r="E17" s="266"/>
      <c r="F17" s="86"/>
      <c r="G17" s="598">
        <v>104600.50423076922</v>
      </c>
      <c r="H17" s="84"/>
      <c r="I17" s="58" t="s">
        <v>293</v>
      </c>
      <c r="J17" s="154">
        <f t="shared" si="1"/>
        <v>7</v>
      </c>
    </row>
    <row r="18" spans="1:12" x14ac:dyDescent="0.35">
      <c r="A18" s="154">
        <f t="shared" si="0"/>
        <v>8</v>
      </c>
      <c r="C18" s="154"/>
      <c r="E18" s="271"/>
      <c r="F18" s="86"/>
      <c r="G18" s="86"/>
      <c r="H18" s="86"/>
      <c r="I18" s="58"/>
      <c r="J18" s="154">
        <f t="shared" si="1"/>
        <v>8</v>
      </c>
    </row>
    <row r="19" spans="1:12" ht="16" thickBot="1" x14ac:dyDescent="0.4">
      <c r="A19" s="154">
        <f t="shared" si="0"/>
        <v>9</v>
      </c>
      <c r="B19" s="81" t="s">
        <v>294</v>
      </c>
      <c r="E19" s="266"/>
      <c r="F19" s="86"/>
      <c r="G19" s="268">
        <f>G13*G17</f>
        <v>40928.96333129039</v>
      </c>
      <c r="H19" s="84"/>
      <c r="I19" s="58" t="s">
        <v>295</v>
      </c>
      <c r="J19" s="154">
        <f t="shared" si="1"/>
        <v>9</v>
      </c>
    </row>
    <row r="20" spans="1:12" ht="16" thickTop="1" x14ac:dyDescent="0.35">
      <c r="A20" s="154">
        <f t="shared" si="0"/>
        <v>10</v>
      </c>
      <c r="E20" s="272"/>
      <c r="F20" s="86"/>
      <c r="G20" s="86"/>
      <c r="H20" s="86"/>
      <c r="I20" s="58"/>
      <c r="J20" s="154">
        <f t="shared" si="1"/>
        <v>10</v>
      </c>
    </row>
    <row r="21" spans="1:12" x14ac:dyDescent="0.35">
      <c r="A21" s="154">
        <f t="shared" si="0"/>
        <v>11</v>
      </c>
      <c r="B21" s="89" t="s">
        <v>296</v>
      </c>
      <c r="E21" s="272"/>
      <c r="F21" s="86"/>
      <c r="G21" s="86"/>
      <c r="H21" s="86"/>
      <c r="I21" s="58"/>
      <c r="J21" s="154">
        <f t="shared" si="1"/>
        <v>11</v>
      </c>
    </row>
    <row r="22" spans="1:12" x14ac:dyDescent="0.35">
      <c r="A22" s="154">
        <f t="shared" si="0"/>
        <v>12</v>
      </c>
      <c r="B22" s="81" t="s">
        <v>297</v>
      </c>
      <c r="E22" s="501">
        <v>37637.381189999978</v>
      </c>
      <c r="F22" s="86"/>
      <c r="G22" s="242"/>
      <c r="H22" s="86"/>
      <c r="I22" s="58" t="s">
        <v>508</v>
      </c>
      <c r="J22" s="154">
        <f t="shared" si="1"/>
        <v>12</v>
      </c>
    </row>
    <row r="23" spans="1:12" x14ac:dyDescent="0.35">
      <c r="A23" s="154">
        <f t="shared" si="0"/>
        <v>13</v>
      </c>
      <c r="B23" s="81" t="s">
        <v>298</v>
      </c>
      <c r="E23" s="273">
        <f>'Pg8 Rev Stmt AH'!E52</f>
        <v>56501.077449970842</v>
      </c>
      <c r="F23" s="23" t="s">
        <v>24</v>
      </c>
      <c r="G23" s="274"/>
      <c r="H23" s="86"/>
      <c r="I23" s="58" t="s">
        <v>666</v>
      </c>
      <c r="J23" s="154">
        <f t="shared" si="1"/>
        <v>13</v>
      </c>
    </row>
    <row r="24" spans="1:12" x14ac:dyDescent="0.35">
      <c r="A24" s="154">
        <f t="shared" si="0"/>
        <v>14</v>
      </c>
      <c r="B24" s="81" t="s">
        <v>200</v>
      </c>
      <c r="E24" s="658">
        <v>0</v>
      </c>
      <c r="F24" s="86"/>
      <c r="G24" s="274"/>
      <c r="H24" s="86"/>
      <c r="I24" s="58" t="s">
        <v>299</v>
      </c>
      <c r="J24" s="154">
        <f t="shared" si="1"/>
        <v>14</v>
      </c>
    </row>
    <row r="25" spans="1:12" x14ac:dyDescent="0.35">
      <c r="A25" s="154">
        <f t="shared" si="0"/>
        <v>15</v>
      </c>
      <c r="B25" s="81" t="s">
        <v>300</v>
      </c>
      <c r="E25" s="275">
        <f>SUM(E22:E24)</f>
        <v>94138.458639970821</v>
      </c>
      <c r="F25" s="23" t="s">
        <v>24</v>
      </c>
      <c r="G25" s="270"/>
      <c r="H25" s="58"/>
      <c r="I25" s="58" t="s">
        <v>301</v>
      </c>
      <c r="J25" s="154">
        <f t="shared" si="1"/>
        <v>15</v>
      </c>
    </row>
    <row r="26" spans="1:12" x14ac:dyDescent="0.35">
      <c r="A26" s="154">
        <f t="shared" si="0"/>
        <v>16</v>
      </c>
      <c r="F26" s="154"/>
      <c r="H26" s="154"/>
      <c r="I26" s="58"/>
      <c r="J26" s="154">
        <f t="shared" si="1"/>
        <v>16</v>
      </c>
    </row>
    <row r="27" spans="1:12" x14ac:dyDescent="0.35">
      <c r="A27" s="154">
        <f t="shared" si="0"/>
        <v>17</v>
      </c>
      <c r="B27" s="81" t="s">
        <v>302</v>
      </c>
      <c r="E27" s="599">
        <f>1/8</f>
        <v>0.125</v>
      </c>
      <c r="F27" s="154"/>
      <c r="G27" s="276"/>
      <c r="H27" s="154"/>
      <c r="I27" s="58" t="s">
        <v>303</v>
      </c>
      <c r="J27" s="154">
        <f t="shared" si="1"/>
        <v>17</v>
      </c>
    </row>
    <row r="28" spans="1:12" x14ac:dyDescent="0.35">
      <c r="A28" s="154">
        <f t="shared" si="0"/>
        <v>18</v>
      </c>
      <c r="E28" s="85" t="s">
        <v>197</v>
      </c>
      <c r="F28" s="86"/>
      <c r="G28" s="85"/>
      <c r="H28" s="86"/>
      <c r="I28" s="58"/>
      <c r="J28" s="154">
        <f t="shared" si="1"/>
        <v>18</v>
      </c>
    </row>
    <row r="29" spans="1:12" ht="16" thickBot="1" x14ac:dyDescent="0.4">
      <c r="A29" s="154">
        <f t="shared" si="0"/>
        <v>19</v>
      </c>
      <c r="B29" s="81" t="s">
        <v>304</v>
      </c>
      <c r="E29" s="277">
        <f>E25*E27</f>
        <v>11767.307329996353</v>
      </c>
      <c r="F29" s="23" t="s">
        <v>24</v>
      </c>
      <c r="G29" s="267"/>
      <c r="H29" s="86"/>
      <c r="I29" s="154" t="s">
        <v>305</v>
      </c>
      <c r="J29" s="154">
        <f t="shared" si="1"/>
        <v>19</v>
      </c>
      <c r="L29" s="183"/>
    </row>
    <row r="30" spans="1:12" ht="16" thickTop="1" x14ac:dyDescent="0.35">
      <c r="B30" s="278"/>
    </row>
    <row r="31" spans="1:12" x14ac:dyDescent="0.35">
      <c r="B31" s="278"/>
    </row>
    <row r="32" spans="1:12" x14ac:dyDescent="0.35">
      <c r="A32" s="23" t="s">
        <v>24</v>
      </c>
      <c r="B32" s="669" t="str">
        <f>'Pg8 Rev Stmt AH'!B74</f>
        <v>Items in BOLD have changed to correct the over-allocation of "Duplicate Charges (Company Energy Use)" Credit in FERC Account no. 929.</v>
      </c>
    </row>
    <row r="33" spans="1:2" ht="18" x14ac:dyDescent="0.35">
      <c r="A33" s="92">
        <v>1</v>
      </c>
      <c r="B33" s="81" t="s">
        <v>306</v>
      </c>
    </row>
    <row r="34" spans="1:2" ht="18" x14ac:dyDescent="0.35">
      <c r="A34" s="92">
        <v>2</v>
      </c>
      <c r="B34" s="502" t="s">
        <v>506</v>
      </c>
    </row>
    <row r="35" spans="1:2" x14ac:dyDescent="0.35">
      <c r="B35" s="503" t="s">
        <v>507</v>
      </c>
    </row>
    <row r="36" spans="1:2" ht="18" x14ac:dyDescent="0.35">
      <c r="A36" s="92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K36"/>
  <sheetViews>
    <sheetView zoomScale="80" zoomScaleNormal="80" workbookViewId="0"/>
  </sheetViews>
  <sheetFormatPr defaultColWidth="8.81640625" defaultRowHeight="15.5" x14ac:dyDescent="0.35"/>
  <cols>
    <col min="1" max="1" width="5.08984375" style="154" bestFit="1" customWidth="1"/>
    <col min="2" max="2" width="68.81640625" style="81" customWidth="1"/>
    <col min="3" max="3" width="25.90625" style="82" bestFit="1" customWidth="1"/>
    <col min="4" max="4" width="1.54296875" style="81" customWidth="1"/>
    <col min="5" max="5" width="16.81640625" style="81" customWidth="1"/>
    <col min="6" max="6" width="1.54296875" style="81" customWidth="1"/>
    <col min="7" max="7" width="16.81640625" style="81" customWidth="1"/>
    <col min="8" max="8" width="1.54296875" style="81" customWidth="1"/>
    <col min="9" max="9" width="37.81640625" style="81" customWidth="1"/>
    <col min="10" max="10" width="5.08984375" style="81" customWidth="1"/>
    <col min="11" max="16384" width="8.81640625" style="81"/>
  </cols>
  <sheetData>
    <row r="1" spans="1:10" x14ac:dyDescent="0.35">
      <c r="A1" s="519" t="s">
        <v>690</v>
      </c>
    </row>
    <row r="2" spans="1:10" x14ac:dyDescent="0.35">
      <c r="H2" s="154"/>
      <c r="I2" s="154"/>
      <c r="J2" s="154"/>
    </row>
    <row r="3" spans="1:10" x14ac:dyDescent="0.35">
      <c r="B3" s="819" t="s">
        <v>14</v>
      </c>
      <c r="C3" s="820"/>
      <c r="D3" s="820"/>
      <c r="E3" s="820"/>
      <c r="F3" s="820"/>
      <c r="G3" s="820"/>
      <c r="H3" s="820"/>
      <c r="I3" s="820"/>
      <c r="J3" s="153"/>
    </row>
    <row r="4" spans="1:10" x14ac:dyDescent="0.35">
      <c r="B4" s="819" t="s">
        <v>282</v>
      </c>
      <c r="C4" s="820"/>
      <c r="D4" s="820"/>
      <c r="E4" s="820"/>
      <c r="F4" s="820"/>
      <c r="G4" s="820"/>
      <c r="H4" s="820"/>
      <c r="I4" s="820"/>
      <c r="J4" s="153"/>
    </row>
    <row r="5" spans="1:10" x14ac:dyDescent="0.35">
      <c r="B5" s="819" t="s">
        <v>283</v>
      </c>
      <c r="C5" s="820"/>
      <c r="D5" s="820"/>
      <c r="E5" s="820"/>
      <c r="F5" s="820"/>
      <c r="G5" s="820"/>
      <c r="H5" s="820"/>
      <c r="I5" s="820"/>
      <c r="J5" s="153"/>
    </row>
    <row r="6" spans="1:10" x14ac:dyDescent="0.35">
      <c r="B6" s="821" t="s">
        <v>476</v>
      </c>
      <c r="C6" s="821"/>
      <c r="D6" s="821"/>
      <c r="E6" s="821"/>
      <c r="F6" s="821"/>
      <c r="G6" s="821"/>
      <c r="H6" s="821"/>
      <c r="I6" s="821"/>
      <c r="J6" s="153"/>
    </row>
    <row r="7" spans="1:10" x14ac:dyDescent="0.35">
      <c r="B7" s="822" t="s">
        <v>1</v>
      </c>
      <c r="C7" s="822"/>
      <c r="D7" s="822"/>
      <c r="E7" s="822"/>
      <c r="F7" s="822"/>
      <c r="G7" s="822"/>
      <c r="H7" s="822"/>
      <c r="I7" s="822"/>
      <c r="J7" s="83"/>
    </row>
    <row r="8" spans="1:10" x14ac:dyDescent="0.35">
      <c r="B8" s="154"/>
      <c r="D8" s="154"/>
      <c r="E8" s="154"/>
      <c r="F8" s="154"/>
      <c r="G8" s="154"/>
      <c r="H8" s="153"/>
      <c r="I8" s="153"/>
      <c r="J8" s="153"/>
    </row>
    <row r="9" spans="1:10" x14ac:dyDescent="0.35">
      <c r="A9" s="154" t="s">
        <v>2</v>
      </c>
      <c r="B9" s="153"/>
      <c r="C9" s="33" t="s">
        <v>173</v>
      </c>
      <c r="D9" s="154"/>
      <c r="E9" s="154" t="s">
        <v>284</v>
      </c>
      <c r="F9" s="154"/>
      <c r="G9" s="154" t="s">
        <v>285</v>
      </c>
      <c r="H9" s="153"/>
      <c r="I9" s="153"/>
      <c r="J9" s="154" t="s">
        <v>2</v>
      </c>
    </row>
    <row r="10" spans="1:10" x14ac:dyDescent="0.35">
      <c r="A10" s="154" t="s">
        <v>3</v>
      </c>
      <c r="B10" s="153"/>
      <c r="C10" s="520" t="s">
        <v>174</v>
      </c>
      <c r="D10" s="153"/>
      <c r="E10" s="595" t="s">
        <v>286</v>
      </c>
      <c r="F10" s="153"/>
      <c r="G10" s="595" t="s">
        <v>287</v>
      </c>
      <c r="H10" s="153"/>
      <c r="I10" s="596" t="s">
        <v>6</v>
      </c>
      <c r="J10" s="154" t="s">
        <v>3</v>
      </c>
    </row>
    <row r="11" spans="1:10" x14ac:dyDescent="0.35">
      <c r="B11" s="154"/>
      <c r="D11" s="154"/>
      <c r="E11" s="154"/>
      <c r="F11" s="154"/>
      <c r="G11" s="154"/>
      <c r="H11" s="154"/>
      <c r="I11" s="154"/>
      <c r="J11" s="154"/>
    </row>
    <row r="12" spans="1:10" ht="18" x14ac:dyDescent="0.35">
      <c r="A12" s="154">
        <v>1</v>
      </c>
      <c r="B12" s="81" t="s">
        <v>503</v>
      </c>
      <c r="C12" s="154"/>
      <c r="E12" s="266"/>
      <c r="F12" s="84"/>
      <c r="G12" s="241">
        <v>121247.3026923077</v>
      </c>
      <c r="H12" s="84"/>
      <c r="I12" s="58" t="s">
        <v>288</v>
      </c>
      <c r="J12" s="154">
        <f>A12</f>
        <v>1</v>
      </c>
    </row>
    <row r="13" spans="1:10" x14ac:dyDescent="0.35">
      <c r="A13" s="154">
        <f>+A12+1</f>
        <v>2</v>
      </c>
      <c r="C13" s="154"/>
      <c r="E13" s="85"/>
      <c r="F13" s="86"/>
      <c r="G13" s="86"/>
      <c r="H13" s="86"/>
      <c r="I13" s="58"/>
      <c r="J13" s="154">
        <f>+J12+1</f>
        <v>2</v>
      </c>
    </row>
    <row r="14" spans="1:10" x14ac:dyDescent="0.35">
      <c r="A14" s="154">
        <f t="shared" ref="A14:A30" si="0">+A13+1</f>
        <v>3</v>
      </c>
      <c r="B14" s="81" t="s">
        <v>289</v>
      </c>
      <c r="C14" s="154"/>
      <c r="E14" s="87"/>
      <c r="F14" s="88"/>
      <c r="G14" s="707">
        <v>0.39128839418396177</v>
      </c>
      <c r="H14" s="23" t="s">
        <v>24</v>
      </c>
      <c r="I14" s="58" t="s">
        <v>662</v>
      </c>
      <c r="J14" s="154">
        <f t="shared" ref="J14:J30" si="1">+J13+1</f>
        <v>3</v>
      </c>
    </row>
    <row r="15" spans="1:10" x14ac:dyDescent="0.35">
      <c r="A15" s="154">
        <f t="shared" si="0"/>
        <v>4</v>
      </c>
      <c r="C15" s="154"/>
      <c r="E15" s="85"/>
      <c r="F15" s="86"/>
      <c r="G15" s="85"/>
      <c r="H15" s="86"/>
      <c r="I15" s="58"/>
      <c r="J15" s="154">
        <f t="shared" si="1"/>
        <v>4</v>
      </c>
    </row>
    <row r="16" spans="1:10" ht="16" thickBot="1" x14ac:dyDescent="0.4">
      <c r="A16" s="154">
        <f t="shared" si="0"/>
        <v>5</v>
      </c>
      <c r="B16" s="81" t="s">
        <v>291</v>
      </c>
      <c r="C16" s="154"/>
      <c r="E16" s="267"/>
      <c r="F16" s="86"/>
      <c r="G16" s="277">
        <f>G12*G14</f>
        <v>47442.662369609825</v>
      </c>
      <c r="H16" s="23" t="s">
        <v>24</v>
      </c>
      <c r="I16" s="58" t="s">
        <v>292</v>
      </c>
      <c r="J16" s="154">
        <f t="shared" si="1"/>
        <v>5</v>
      </c>
    </row>
    <row r="17" spans="1:11" ht="16" thickTop="1" x14ac:dyDescent="0.35">
      <c r="A17" s="154">
        <f t="shared" si="0"/>
        <v>6</v>
      </c>
      <c r="C17" s="154"/>
      <c r="E17" s="269"/>
      <c r="F17" s="154"/>
      <c r="G17" s="154"/>
      <c r="H17" s="154"/>
      <c r="I17" s="58"/>
      <c r="J17" s="154">
        <f t="shared" si="1"/>
        <v>6</v>
      </c>
    </row>
    <row r="18" spans="1:11" ht="18" x14ac:dyDescent="0.35">
      <c r="A18" s="154">
        <f t="shared" si="0"/>
        <v>7</v>
      </c>
      <c r="B18" s="34" t="s">
        <v>504</v>
      </c>
      <c r="C18" s="154" t="s">
        <v>505</v>
      </c>
      <c r="D18" s="270"/>
      <c r="E18" s="266"/>
      <c r="F18" s="86"/>
      <c r="G18" s="598">
        <v>104600.50423076922</v>
      </c>
      <c r="H18" s="84"/>
      <c r="I18" s="58" t="s">
        <v>293</v>
      </c>
      <c r="J18" s="154">
        <f t="shared" si="1"/>
        <v>7</v>
      </c>
    </row>
    <row r="19" spans="1:11" x14ac:dyDescent="0.35">
      <c r="A19" s="154">
        <f t="shared" si="0"/>
        <v>8</v>
      </c>
      <c r="C19" s="154"/>
      <c r="E19" s="271"/>
      <c r="F19" s="86"/>
      <c r="G19" s="86"/>
      <c r="H19" s="86"/>
      <c r="I19" s="58"/>
      <c r="J19" s="154">
        <f t="shared" si="1"/>
        <v>8</v>
      </c>
    </row>
    <row r="20" spans="1:11" ht="16" thickBot="1" x14ac:dyDescent="0.4">
      <c r="A20" s="154">
        <f t="shared" si="0"/>
        <v>9</v>
      </c>
      <c r="B20" s="81" t="s">
        <v>294</v>
      </c>
      <c r="E20" s="266"/>
      <c r="F20" s="86"/>
      <c r="G20" s="277">
        <f>G14*G18</f>
        <v>40928.96333129039</v>
      </c>
      <c r="H20" s="23" t="s">
        <v>24</v>
      </c>
      <c r="I20" s="58" t="s">
        <v>295</v>
      </c>
      <c r="J20" s="154">
        <f t="shared" si="1"/>
        <v>9</v>
      </c>
    </row>
    <row r="21" spans="1:11" ht="16" thickTop="1" x14ac:dyDescent="0.35">
      <c r="A21" s="154">
        <f t="shared" si="0"/>
        <v>10</v>
      </c>
      <c r="E21" s="272"/>
      <c r="F21" s="86"/>
      <c r="G21" s="86"/>
      <c r="H21" s="86"/>
      <c r="I21" s="58"/>
      <c r="J21" s="154">
        <f t="shared" si="1"/>
        <v>10</v>
      </c>
    </row>
    <row r="22" spans="1:11" x14ac:dyDescent="0.35">
      <c r="A22" s="154">
        <f t="shared" si="0"/>
        <v>11</v>
      </c>
      <c r="B22" s="89" t="s">
        <v>296</v>
      </c>
      <c r="E22" s="272"/>
      <c r="F22" s="86"/>
      <c r="G22" s="86"/>
      <c r="H22" s="86"/>
      <c r="I22" s="58"/>
      <c r="J22" s="154">
        <f t="shared" si="1"/>
        <v>11</v>
      </c>
    </row>
    <row r="23" spans="1:11" x14ac:dyDescent="0.35">
      <c r="A23" s="154">
        <f t="shared" si="0"/>
        <v>12</v>
      </c>
      <c r="B23" s="81" t="s">
        <v>297</v>
      </c>
      <c r="E23" s="501">
        <v>37637.381189999978</v>
      </c>
      <c r="F23" s="86"/>
      <c r="G23" s="242"/>
      <c r="H23" s="86"/>
      <c r="I23" s="58" t="s">
        <v>508</v>
      </c>
      <c r="J23" s="154">
        <f t="shared" si="1"/>
        <v>12</v>
      </c>
    </row>
    <row r="24" spans="1:11" x14ac:dyDescent="0.35">
      <c r="A24" s="154">
        <f t="shared" si="0"/>
        <v>13</v>
      </c>
      <c r="B24" s="81" t="s">
        <v>298</v>
      </c>
      <c r="E24" s="273">
        <v>56165.221384285476</v>
      </c>
      <c r="F24" s="23" t="s">
        <v>24</v>
      </c>
      <c r="G24" s="274"/>
      <c r="H24" s="86"/>
      <c r="I24" s="58" t="s">
        <v>663</v>
      </c>
      <c r="J24" s="154">
        <f t="shared" si="1"/>
        <v>13</v>
      </c>
    </row>
    <row r="25" spans="1:11" x14ac:dyDescent="0.35">
      <c r="A25" s="154">
        <f t="shared" si="0"/>
        <v>14</v>
      </c>
      <c r="B25" s="81" t="s">
        <v>200</v>
      </c>
      <c r="E25" s="708">
        <v>0</v>
      </c>
      <c r="F25" s="86"/>
      <c r="G25" s="274"/>
      <c r="H25" s="86"/>
      <c r="I25" s="58" t="s">
        <v>299</v>
      </c>
      <c r="J25" s="154">
        <f t="shared" si="1"/>
        <v>14</v>
      </c>
      <c r="K25" s="709"/>
    </row>
    <row r="26" spans="1:11" x14ac:dyDescent="0.35">
      <c r="A26" s="154">
        <f t="shared" si="0"/>
        <v>15</v>
      </c>
      <c r="B26" s="81" t="s">
        <v>300</v>
      </c>
      <c r="E26" s="275">
        <f>SUM(E23:E25)</f>
        <v>93802.602574285454</v>
      </c>
      <c r="F26" s="23" t="s">
        <v>24</v>
      </c>
      <c r="G26" s="270"/>
      <c r="H26" s="58"/>
      <c r="I26" s="58" t="s">
        <v>301</v>
      </c>
      <c r="J26" s="154">
        <f t="shared" si="1"/>
        <v>15</v>
      </c>
    </row>
    <row r="27" spans="1:11" x14ac:dyDescent="0.35">
      <c r="A27" s="154">
        <f t="shared" si="0"/>
        <v>16</v>
      </c>
      <c r="F27" s="154"/>
      <c r="H27" s="154"/>
      <c r="I27" s="58"/>
      <c r="J27" s="154">
        <f t="shared" si="1"/>
        <v>16</v>
      </c>
    </row>
    <row r="28" spans="1:11" x14ac:dyDescent="0.35">
      <c r="A28" s="154">
        <f t="shared" si="0"/>
        <v>17</v>
      </c>
      <c r="B28" s="81" t="s">
        <v>302</v>
      </c>
      <c r="E28" s="599">
        <f>1/8</f>
        <v>0.125</v>
      </c>
      <c r="F28" s="154"/>
      <c r="G28" s="276"/>
      <c r="H28" s="154"/>
      <c r="I28" s="58" t="s">
        <v>303</v>
      </c>
      <c r="J28" s="154">
        <f t="shared" si="1"/>
        <v>17</v>
      </c>
    </row>
    <row r="29" spans="1:11" x14ac:dyDescent="0.35">
      <c r="A29" s="154">
        <f t="shared" si="0"/>
        <v>18</v>
      </c>
      <c r="E29" s="85" t="s">
        <v>197</v>
      </c>
      <c r="F29" s="86"/>
      <c r="G29" s="85"/>
      <c r="H29" s="86"/>
      <c r="I29" s="58"/>
      <c r="J29" s="154">
        <f t="shared" si="1"/>
        <v>18</v>
      </c>
    </row>
    <row r="30" spans="1:11" ht="16" thickBot="1" x14ac:dyDescent="0.4">
      <c r="A30" s="154">
        <f t="shared" si="0"/>
        <v>19</v>
      </c>
      <c r="B30" s="81" t="s">
        <v>304</v>
      </c>
      <c r="E30" s="277">
        <f>E26*E28</f>
        <v>11725.325321785682</v>
      </c>
      <c r="F30" s="23" t="s">
        <v>24</v>
      </c>
      <c r="G30" s="267"/>
      <c r="H30" s="86"/>
      <c r="I30" s="154" t="s">
        <v>305</v>
      </c>
      <c r="J30" s="154">
        <f t="shared" si="1"/>
        <v>19</v>
      </c>
    </row>
    <row r="31" spans="1:11" ht="16" thickTop="1" x14ac:dyDescent="0.35">
      <c r="B31" s="278"/>
    </row>
    <row r="32" spans="1:11" x14ac:dyDescent="0.35">
      <c r="B32" s="278"/>
    </row>
    <row r="33" spans="1:2" x14ac:dyDescent="0.35">
      <c r="A33" s="23" t="s">
        <v>24</v>
      </c>
      <c r="B33" s="21" t="s">
        <v>649</v>
      </c>
    </row>
    <row r="34" spans="1:2" ht="18" x14ac:dyDescent="0.35">
      <c r="A34" s="92">
        <v>1</v>
      </c>
      <c r="B34" s="81" t="s">
        <v>306</v>
      </c>
    </row>
    <row r="35" spans="1:2" ht="18" x14ac:dyDescent="0.35">
      <c r="A35" s="710">
        <v>2</v>
      </c>
      <c r="B35" s="81" t="s">
        <v>664</v>
      </c>
    </row>
    <row r="36" spans="1:2" ht="18" x14ac:dyDescent="0.35">
      <c r="A36" s="710"/>
      <c r="B36" s="81" t="s">
        <v>665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Roman,Bold"&amp;7AS FILED STMT AL WITH COST ADJ INCL. IN APPENDIX XII CYCLE 6 (ER24-175)</oddHeader>
    <oddFooter>&amp;L&amp;F&amp;CPage 9.1&amp;R&amp;A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DC15-D367-4FC5-9357-99568C73515D}">
  <dimension ref="A1:M159"/>
  <sheetViews>
    <sheetView zoomScale="80" zoomScaleNormal="80" workbookViewId="0"/>
  </sheetViews>
  <sheetFormatPr defaultColWidth="8.81640625" defaultRowHeight="15.5" x14ac:dyDescent="0.35"/>
  <cols>
    <col min="1" max="1" width="5.453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38.54296875" style="93" customWidth="1"/>
    <col min="10" max="10" width="5.453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81640625" style="34"/>
  </cols>
  <sheetData>
    <row r="1" spans="1:10" x14ac:dyDescent="0.35">
      <c r="A1" s="279"/>
      <c r="G1" s="60"/>
      <c r="H1" s="60"/>
      <c r="I1" s="117"/>
      <c r="J1" s="33"/>
    </row>
    <row r="2" spans="1:10" x14ac:dyDescent="0.35">
      <c r="B2" s="812" t="s">
        <v>307</v>
      </c>
      <c r="C2" s="812"/>
      <c r="D2" s="812"/>
      <c r="E2" s="812"/>
      <c r="F2" s="812"/>
      <c r="G2" s="812"/>
      <c r="H2" s="812"/>
      <c r="I2" s="812"/>
      <c r="J2" s="33"/>
    </row>
    <row r="3" spans="1:10" x14ac:dyDescent="0.35">
      <c r="B3" s="812" t="s">
        <v>308</v>
      </c>
      <c r="C3" s="812"/>
      <c r="D3" s="812"/>
      <c r="E3" s="812"/>
      <c r="F3" s="812"/>
      <c r="G3" s="812"/>
      <c r="H3" s="812"/>
      <c r="I3" s="812"/>
      <c r="J3" s="33"/>
    </row>
    <row r="4" spans="1:10" x14ac:dyDescent="0.35">
      <c r="B4" s="812" t="s">
        <v>309</v>
      </c>
      <c r="C4" s="812"/>
      <c r="D4" s="812"/>
      <c r="E4" s="812"/>
      <c r="F4" s="812"/>
      <c r="G4" s="812"/>
      <c r="H4" s="812"/>
      <c r="I4" s="812"/>
      <c r="J4" s="33"/>
    </row>
    <row r="5" spans="1:10" x14ac:dyDescent="0.35">
      <c r="B5" s="815" t="s">
        <v>476</v>
      </c>
      <c r="C5" s="815"/>
      <c r="D5" s="815"/>
      <c r="E5" s="815"/>
      <c r="F5" s="815"/>
      <c r="G5" s="815"/>
      <c r="H5" s="815"/>
      <c r="I5" s="815"/>
      <c r="J5" s="33"/>
    </row>
    <row r="6" spans="1:10" x14ac:dyDescent="0.35">
      <c r="B6" s="814" t="s">
        <v>1</v>
      </c>
      <c r="C6" s="816"/>
      <c r="D6" s="816"/>
      <c r="E6" s="816"/>
      <c r="F6" s="816"/>
      <c r="G6" s="816"/>
      <c r="H6" s="816"/>
      <c r="I6" s="816"/>
      <c r="J6" s="33"/>
    </row>
    <row r="7" spans="1:10" x14ac:dyDescent="0.35">
      <c r="B7" s="33"/>
      <c r="C7" s="33"/>
      <c r="D7" s="33"/>
      <c r="E7" s="33"/>
      <c r="F7" s="33"/>
      <c r="G7" s="33"/>
      <c r="H7" s="33"/>
      <c r="I7" s="45"/>
      <c r="J7" s="33"/>
    </row>
    <row r="8" spans="1:10" x14ac:dyDescent="0.35">
      <c r="A8" s="33" t="s">
        <v>2</v>
      </c>
      <c r="B8" s="291"/>
      <c r="C8" s="291"/>
      <c r="D8" s="291"/>
      <c r="E8" s="33" t="s">
        <v>173</v>
      </c>
      <c r="F8" s="291"/>
      <c r="G8" s="291"/>
      <c r="H8" s="291"/>
      <c r="I8" s="45"/>
      <c r="J8" s="33" t="s">
        <v>2</v>
      </c>
    </row>
    <row r="9" spans="1:10" x14ac:dyDescent="0.35">
      <c r="A9" s="33" t="s">
        <v>3</v>
      </c>
      <c r="B9" s="33"/>
      <c r="C9" s="33"/>
      <c r="D9" s="33"/>
      <c r="E9" s="520" t="s">
        <v>174</v>
      </c>
      <c r="F9" s="33"/>
      <c r="G9" s="521" t="s">
        <v>5</v>
      </c>
      <c r="H9" s="291"/>
      <c r="I9" s="533" t="s">
        <v>6</v>
      </c>
      <c r="J9" s="33" t="s">
        <v>3</v>
      </c>
    </row>
    <row r="10" spans="1:10" x14ac:dyDescent="0.35">
      <c r="B10" s="33"/>
      <c r="C10" s="33"/>
      <c r="D10" s="33"/>
      <c r="E10" s="33"/>
      <c r="F10" s="33"/>
      <c r="G10" s="33"/>
      <c r="H10" s="33"/>
      <c r="I10" s="45"/>
      <c r="J10" s="33"/>
    </row>
    <row r="11" spans="1:10" x14ac:dyDescent="0.35">
      <c r="A11" s="33">
        <v>1</v>
      </c>
      <c r="B11" s="38" t="s">
        <v>310</v>
      </c>
      <c r="I11" s="45"/>
      <c r="J11" s="33">
        <f>A11</f>
        <v>1</v>
      </c>
    </row>
    <row r="12" spans="1:10" x14ac:dyDescent="0.35">
      <c r="A12" s="33">
        <f>A11+1</f>
        <v>2</v>
      </c>
      <c r="B12" s="34" t="s">
        <v>311</v>
      </c>
      <c r="E12" s="33" t="s">
        <v>509</v>
      </c>
      <c r="G12" s="94">
        <v>6417859</v>
      </c>
      <c r="H12" s="291"/>
      <c r="I12" s="97"/>
      <c r="J12" s="33">
        <f>J11+1</f>
        <v>2</v>
      </c>
    </row>
    <row r="13" spans="1:10" x14ac:dyDescent="0.35">
      <c r="A13" s="33">
        <f t="shared" ref="A13:A65" si="0">A12+1</f>
        <v>3</v>
      </c>
      <c r="B13" s="34" t="s">
        <v>312</v>
      </c>
      <c r="E13" s="33" t="s">
        <v>510</v>
      </c>
      <c r="G13" s="95">
        <v>0</v>
      </c>
      <c r="H13" s="291"/>
      <c r="I13" s="97"/>
      <c r="J13" s="33">
        <f t="shared" ref="J13:J65" si="1">J12+1</f>
        <v>3</v>
      </c>
    </row>
    <row r="14" spans="1:10" x14ac:dyDescent="0.35">
      <c r="A14" s="33">
        <f t="shared" si="0"/>
        <v>4</v>
      </c>
      <c r="B14" s="34" t="s">
        <v>313</v>
      </c>
      <c r="E14" s="33" t="s">
        <v>511</v>
      </c>
      <c r="G14" s="95">
        <v>0</v>
      </c>
      <c r="H14" s="291"/>
      <c r="I14" s="97"/>
      <c r="J14" s="33">
        <f t="shared" si="1"/>
        <v>4</v>
      </c>
    </row>
    <row r="15" spans="1:10" x14ac:dyDescent="0.35">
      <c r="A15" s="33">
        <f t="shared" si="0"/>
        <v>5</v>
      </c>
      <c r="B15" s="34" t="s">
        <v>314</v>
      </c>
      <c r="E15" s="33" t="s">
        <v>512</v>
      </c>
      <c r="G15" s="95">
        <v>0</v>
      </c>
      <c r="H15" s="291"/>
      <c r="I15" s="97"/>
      <c r="J15" s="33">
        <f t="shared" si="1"/>
        <v>5</v>
      </c>
    </row>
    <row r="16" spans="1:10" x14ac:dyDescent="0.35">
      <c r="A16" s="33">
        <f t="shared" si="0"/>
        <v>6</v>
      </c>
      <c r="B16" s="34" t="s">
        <v>315</v>
      </c>
      <c r="E16" s="33" t="s">
        <v>513</v>
      </c>
      <c r="G16" s="95">
        <v>-16893.71</v>
      </c>
      <c r="H16" s="291"/>
      <c r="I16" s="97"/>
      <c r="J16" s="33">
        <f t="shared" si="1"/>
        <v>6</v>
      </c>
    </row>
    <row r="17" spans="1:10" x14ac:dyDescent="0.35">
      <c r="A17" s="33">
        <f t="shared" si="0"/>
        <v>7</v>
      </c>
      <c r="B17" s="34" t="s">
        <v>316</v>
      </c>
      <c r="G17" s="96">
        <f>SUM(G12:G16)</f>
        <v>6400965.29</v>
      </c>
      <c r="H17" s="90"/>
      <c r="I17" s="45" t="s">
        <v>524</v>
      </c>
      <c r="J17" s="33">
        <f t="shared" si="1"/>
        <v>7</v>
      </c>
    </row>
    <row r="18" spans="1:10" x14ac:dyDescent="0.35">
      <c r="A18" s="33">
        <f t="shared" si="0"/>
        <v>8</v>
      </c>
      <c r="I18" s="45"/>
      <c r="J18" s="33">
        <f t="shared" si="1"/>
        <v>8</v>
      </c>
    </row>
    <row r="19" spans="1:10" x14ac:dyDescent="0.35">
      <c r="A19" s="33">
        <f t="shared" si="0"/>
        <v>9</v>
      </c>
      <c r="B19" s="38" t="s">
        <v>317</v>
      </c>
      <c r="G19" s="32"/>
      <c r="H19" s="32"/>
      <c r="I19" s="45"/>
      <c r="J19" s="33">
        <f t="shared" si="1"/>
        <v>9</v>
      </c>
    </row>
    <row r="20" spans="1:10" x14ac:dyDescent="0.35">
      <c r="A20" s="33">
        <f t="shared" si="0"/>
        <v>10</v>
      </c>
      <c r="B20" s="34" t="s">
        <v>318</v>
      </c>
      <c r="E20" s="33" t="s">
        <v>514</v>
      </c>
      <c r="G20" s="94">
        <v>237653.59599999999</v>
      </c>
      <c r="H20" s="291"/>
      <c r="I20" s="97"/>
      <c r="J20" s="33">
        <f t="shared" si="1"/>
        <v>10</v>
      </c>
    </row>
    <row r="21" spans="1:10" x14ac:dyDescent="0.35">
      <c r="A21" s="33">
        <f t="shared" si="0"/>
        <v>11</v>
      </c>
      <c r="B21" s="34" t="s">
        <v>319</v>
      </c>
      <c r="E21" s="33" t="s">
        <v>515</v>
      </c>
      <c r="G21" s="95">
        <v>4408.152</v>
      </c>
      <c r="H21" s="291"/>
      <c r="I21" s="97"/>
      <c r="J21" s="33">
        <f t="shared" si="1"/>
        <v>11</v>
      </c>
    </row>
    <row r="22" spans="1:10" x14ac:dyDescent="0.35">
      <c r="A22" s="33">
        <f t="shared" si="0"/>
        <v>12</v>
      </c>
      <c r="B22" s="34" t="s">
        <v>320</v>
      </c>
      <c r="E22" s="33" t="s">
        <v>516</v>
      </c>
      <c r="G22" s="95">
        <v>1275.181</v>
      </c>
      <c r="H22" s="291"/>
      <c r="I22" s="97"/>
      <c r="J22" s="33">
        <f t="shared" si="1"/>
        <v>12</v>
      </c>
    </row>
    <row r="23" spans="1:10" x14ac:dyDescent="0.35">
      <c r="A23" s="33">
        <f t="shared" si="0"/>
        <v>13</v>
      </c>
      <c r="B23" s="34" t="s">
        <v>321</v>
      </c>
      <c r="E23" s="33" t="s">
        <v>517</v>
      </c>
      <c r="G23" s="95">
        <v>0</v>
      </c>
      <c r="H23" s="291"/>
      <c r="I23" s="97"/>
      <c r="J23" s="33">
        <f t="shared" si="1"/>
        <v>13</v>
      </c>
    </row>
    <row r="24" spans="1:10" x14ac:dyDescent="0.35">
      <c r="A24" s="33">
        <f t="shared" si="0"/>
        <v>14</v>
      </c>
      <c r="B24" s="34" t="s">
        <v>322</v>
      </c>
      <c r="E24" s="33" t="s">
        <v>518</v>
      </c>
      <c r="G24" s="95">
        <v>0</v>
      </c>
      <c r="H24" s="291"/>
      <c r="I24" s="97"/>
      <c r="J24" s="33">
        <f t="shared" si="1"/>
        <v>14</v>
      </c>
    </row>
    <row r="25" spans="1:10" x14ac:dyDescent="0.35">
      <c r="A25" s="33">
        <f t="shared" si="0"/>
        <v>15</v>
      </c>
      <c r="B25" s="34" t="s">
        <v>323</v>
      </c>
      <c r="G25" s="98">
        <f>SUM(G20:G24)</f>
        <v>243336.929</v>
      </c>
      <c r="H25" s="99"/>
      <c r="I25" s="45" t="s">
        <v>525</v>
      </c>
      <c r="J25" s="33">
        <f t="shared" si="1"/>
        <v>15</v>
      </c>
    </row>
    <row r="26" spans="1:10" x14ac:dyDescent="0.35">
      <c r="A26" s="33">
        <f t="shared" si="0"/>
        <v>16</v>
      </c>
      <c r="I26" s="45"/>
      <c r="J26" s="33">
        <f t="shared" si="1"/>
        <v>16</v>
      </c>
    </row>
    <row r="27" spans="1:10" ht="16" thickBot="1" x14ac:dyDescent="0.4">
      <c r="A27" s="33">
        <f t="shared" si="0"/>
        <v>17</v>
      </c>
      <c r="B27" s="38" t="s">
        <v>324</v>
      </c>
      <c r="G27" s="100">
        <f>G25/G17</f>
        <v>3.8015661384722177E-2</v>
      </c>
      <c r="H27" s="101"/>
      <c r="I27" s="45" t="s">
        <v>526</v>
      </c>
      <c r="J27" s="33">
        <f t="shared" si="1"/>
        <v>17</v>
      </c>
    </row>
    <row r="28" spans="1:10" ht="16" thickTop="1" x14ac:dyDescent="0.35">
      <c r="A28" s="33">
        <f t="shared" si="0"/>
        <v>18</v>
      </c>
      <c r="I28" s="45"/>
      <c r="J28" s="33">
        <f t="shared" si="1"/>
        <v>18</v>
      </c>
    </row>
    <row r="29" spans="1:10" x14ac:dyDescent="0.35">
      <c r="A29" s="33">
        <f t="shared" si="0"/>
        <v>19</v>
      </c>
      <c r="B29" s="38" t="s">
        <v>325</v>
      </c>
      <c r="I29" s="45"/>
      <c r="J29" s="33">
        <f t="shared" si="1"/>
        <v>19</v>
      </c>
    </row>
    <row r="30" spans="1:10" x14ac:dyDescent="0.35">
      <c r="A30" s="33">
        <f t="shared" si="0"/>
        <v>20</v>
      </c>
      <c r="B30" s="34" t="s">
        <v>326</v>
      </c>
      <c r="E30" s="33" t="s">
        <v>519</v>
      </c>
      <c r="G30" s="94">
        <v>0</v>
      </c>
      <c r="H30" s="291"/>
      <c r="I30" s="97"/>
      <c r="J30" s="33">
        <f t="shared" si="1"/>
        <v>20</v>
      </c>
    </row>
    <row r="31" spans="1:10" x14ac:dyDescent="0.35">
      <c r="A31" s="33">
        <f t="shared" si="0"/>
        <v>21</v>
      </c>
      <c r="B31" s="34" t="s">
        <v>327</v>
      </c>
      <c r="E31" s="33" t="s">
        <v>520</v>
      </c>
      <c r="G31" s="534">
        <v>0</v>
      </c>
      <c r="H31" s="291"/>
      <c r="I31" s="97"/>
      <c r="J31" s="33">
        <f t="shared" si="1"/>
        <v>21</v>
      </c>
    </row>
    <row r="32" spans="1:10" ht="16" thickBot="1" x14ac:dyDescent="0.4">
      <c r="A32" s="33">
        <f t="shared" si="0"/>
        <v>22</v>
      </c>
      <c r="B32" s="34" t="s">
        <v>328</v>
      </c>
      <c r="G32" s="100">
        <f>IFERROR((G31/G30),0)</f>
        <v>0</v>
      </c>
      <c r="H32" s="101"/>
      <c r="I32" s="45" t="s">
        <v>527</v>
      </c>
      <c r="J32" s="33">
        <f t="shared" si="1"/>
        <v>22</v>
      </c>
    </row>
    <row r="33" spans="1:12" ht="16" thickTop="1" x14ac:dyDescent="0.35">
      <c r="A33" s="33">
        <f t="shared" si="0"/>
        <v>23</v>
      </c>
      <c r="I33" s="45"/>
      <c r="J33" s="33">
        <f t="shared" si="1"/>
        <v>23</v>
      </c>
    </row>
    <row r="34" spans="1:12" x14ac:dyDescent="0.35">
      <c r="A34" s="33">
        <f t="shared" si="0"/>
        <v>24</v>
      </c>
      <c r="B34" s="38" t="s">
        <v>329</v>
      </c>
      <c r="I34" s="45"/>
      <c r="J34" s="33">
        <f t="shared" si="1"/>
        <v>24</v>
      </c>
    </row>
    <row r="35" spans="1:12" x14ac:dyDescent="0.35">
      <c r="A35" s="33">
        <f t="shared" si="0"/>
        <v>25</v>
      </c>
      <c r="B35" s="34" t="s">
        <v>330</v>
      </c>
      <c r="E35" s="33" t="s">
        <v>521</v>
      </c>
      <c r="G35" s="94">
        <v>8248583.6459999997</v>
      </c>
      <c r="H35" s="291"/>
      <c r="I35" s="97"/>
      <c r="J35" s="33">
        <f t="shared" si="1"/>
        <v>25</v>
      </c>
      <c r="K35" s="41"/>
      <c r="L35" s="280"/>
    </row>
    <row r="36" spans="1:12" x14ac:dyDescent="0.35">
      <c r="A36" s="33">
        <f t="shared" si="0"/>
        <v>26</v>
      </c>
      <c r="B36" s="34" t="s">
        <v>331</v>
      </c>
      <c r="E36" s="33" t="s">
        <v>519</v>
      </c>
      <c r="G36" s="102">
        <v>0</v>
      </c>
      <c r="H36" s="102"/>
      <c r="I36" s="45" t="s">
        <v>528</v>
      </c>
      <c r="J36" s="33">
        <f t="shared" si="1"/>
        <v>26</v>
      </c>
    </row>
    <row r="37" spans="1:12" x14ac:dyDescent="0.35">
      <c r="A37" s="33">
        <f t="shared" si="0"/>
        <v>27</v>
      </c>
      <c r="B37" s="34" t="s">
        <v>332</v>
      </c>
      <c r="E37" s="33" t="s">
        <v>522</v>
      </c>
      <c r="G37" s="95">
        <v>0</v>
      </c>
      <c r="H37" s="291"/>
      <c r="I37" s="97"/>
      <c r="J37" s="33">
        <f t="shared" si="1"/>
        <v>27</v>
      </c>
    </row>
    <row r="38" spans="1:12" x14ac:dyDescent="0.35">
      <c r="A38" s="33">
        <f t="shared" si="0"/>
        <v>28</v>
      </c>
      <c r="B38" s="34" t="s">
        <v>333</v>
      </c>
      <c r="E38" s="33" t="s">
        <v>523</v>
      </c>
      <c r="G38" s="95">
        <v>10117.040000000001</v>
      </c>
      <c r="H38" s="291"/>
      <c r="I38" s="97"/>
      <c r="J38" s="33">
        <f t="shared" si="1"/>
        <v>28</v>
      </c>
    </row>
    <row r="39" spans="1:12" ht="16" thickBot="1" x14ac:dyDescent="0.4">
      <c r="A39" s="33">
        <f t="shared" si="0"/>
        <v>29</v>
      </c>
      <c r="B39" s="34" t="s">
        <v>334</v>
      </c>
      <c r="G39" s="103">
        <f>SUM(G35:G38)</f>
        <v>8258700.6859999998</v>
      </c>
      <c r="H39" s="104"/>
      <c r="I39" s="45" t="s">
        <v>529</v>
      </c>
      <c r="J39" s="33">
        <f t="shared" si="1"/>
        <v>29</v>
      </c>
    </row>
    <row r="40" spans="1:12" ht="16.5" thickTop="1" thickBot="1" x14ac:dyDescent="0.4">
      <c r="A40" s="105">
        <f t="shared" si="0"/>
        <v>30</v>
      </c>
      <c r="B40" s="79"/>
      <c r="C40" s="79"/>
      <c r="D40" s="79"/>
      <c r="E40" s="79"/>
      <c r="F40" s="79"/>
      <c r="G40" s="79"/>
      <c r="H40" s="79"/>
      <c r="I40" s="106"/>
      <c r="J40" s="105">
        <f t="shared" si="1"/>
        <v>30</v>
      </c>
    </row>
    <row r="41" spans="1:12" x14ac:dyDescent="0.35">
      <c r="A41" s="33">
        <f>A40+1</f>
        <v>31</v>
      </c>
      <c r="I41" s="45"/>
      <c r="J41" s="33">
        <f>J40+1</f>
        <v>31</v>
      </c>
    </row>
    <row r="42" spans="1:12" ht="16" thickBot="1" x14ac:dyDescent="0.4">
      <c r="A42" s="33">
        <f>A41+1</f>
        <v>32</v>
      </c>
      <c r="B42" s="38" t="s">
        <v>335</v>
      </c>
      <c r="G42" s="107">
        <v>0.106</v>
      </c>
      <c r="H42" s="291"/>
      <c r="I42" s="33" t="s">
        <v>336</v>
      </c>
      <c r="J42" s="33">
        <f>J41+1</f>
        <v>32</v>
      </c>
    </row>
    <row r="43" spans="1:12" ht="16" thickTop="1" x14ac:dyDescent="0.35">
      <c r="A43" s="33">
        <f t="shared" si="0"/>
        <v>33</v>
      </c>
      <c r="C43" s="65" t="s">
        <v>244</v>
      </c>
      <c r="D43" s="65" t="s">
        <v>245</v>
      </c>
      <c r="E43" s="65" t="s">
        <v>337</v>
      </c>
      <c r="F43" s="65"/>
      <c r="G43" s="65" t="s">
        <v>338</v>
      </c>
      <c r="H43" s="65"/>
      <c r="I43" s="45"/>
      <c r="J43" s="33">
        <f t="shared" si="1"/>
        <v>33</v>
      </c>
    </row>
    <row r="44" spans="1:12" x14ac:dyDescent="0.35">
      <c r="A44" s="33">
        <f t="shared" si="0"/>
        <v>34</v>
      </c>
      <c r="D44" s="33" t="s">
        <v>339</v>
      </c>
      <c r="E44" s="33" t="s">
        <v>340</v>
      </c>
      <c r="F44" s="33"/>
      <c r="G44" s="33" t="s">
        <v>341</v>
      </c>
      <c r="H44" s="33"/>
      <c r="I44" s="45"/>
      <c r="J44" s="33">
        <f t="shared" si="1"/>
        <v>34</v>
      </c>
    </row>
    <row r="45" spans="1:12" ht="18" x14ac:dyDescent="0.35">
      <c r="A45" s="33">
        <f t="shared" si="0"/>
        <v>35</v>
      </c>
      <c r="B45" s="38" t="s">
        <v>342</v>
      </c>
      <c r="C45" s="520" t="s">
        <v>343</v>
      </c>
      <c r="D45" s="520" t="s">
        <v>344</v>
      </c>
      <c r="E45" s="520" t="s">
        <v>345</v>
      </c>
      <c r="F45" s="520"/>
      <c r="G45" s="520" t="s">
        <v>346</v>
      </c>
      <c r="H45" s="33"/>
      <c r="I45" s="45"/>
      <c r="J45" s="33">
        <f t="shared" si="1"/>
        <v>35</v>
      </c>
    </row>
    <row r="46" spans="1:12" x14ac:dyDescent="0.35">
      <c r="A46" s="33">
        <f t="shared" si="0"/>
        <v>36</v>
      </c>
      <c r="I46" s="45"/>
      <c r="J46" s="33">
        <f t="shared" si="1"/>
        <v>36</v>
      </c>
    </row>
    <row r="47" spans="1:12" x14ac:dyDescent="0.35">
      <c r="A47" s="33">
        <f t="shared" si="0"/>
        <v>37</v>
      </c>
      <c r="B47" s="34" t="s">
        <v>347</v>
      </c>
      <c r="C47" s="57">
        <f>G17</f>
        <v>6400965.29</v>
      </c>
      <c r="D47" s="108">
        <f>C47/C$50</f>
        <v>0.43663786749843475</v>
      </c>
      <c r="E47" s="109">
        <f>G27</f>
        <v>3.8015661384722177E-2</v>
      </c>
      <c r="G47" s="110">
        <f>D47*E47</f>
        <v>1.6599077318567683E-2</v>
      </c>
      <c r="H47" s="110"/>
      <c r="I47" s="45" t="s">
        <v>530</v>
      </c>
      <c r="J47" s="33">
        <f t="shared" si="1"/>
        <v>37</v>
      </c>
    </row>
    <row r="48" spans="1:12" x14ac:dyDescent="0.35">
      <c r="A48" s="33">
        <f t="shared" si="0"/>
        <v>38</v>
      </c>
      <c r="B48" s="34" t="s">
        <v>348</v>
      </c>
      <c r="C48" s="111">
        <f>G30</f>
        <v>0</v>
      </c>
      <c r="D48" s="108">
        <f>C48/C$50</f>
        <v>0</v>
      </c>
      <c r="E48" s="109">
        <f>G32</f>
        <v>0</v>
      </c>
      <c r="G48" s="110">
        <f>D48*E48</f>
        <v>0</v>
      </c>
      <c r="H48" s="110"/>
      <c r="I48" s="45" t="s">
        <v>531</v>
      </c>
      <c r="J48" s="33">
        <f t="shared" si="1"/>
        <v>38</v>
      </c>
    </row>
    <row r="49" spans="1:10" x14ac:dyDescent="0.35">
      <c r="A49" s="33">
        <f t="shared" si="0"/>
        <v>39</v>
      </c>
      <c r="B49" s="34" t="s">
        <v>349</v>
      </c>
      <c r="C49" s="111">
        <f>G39</f>
        <v>8258700.6859999998</v>
      </c>
      <c r="D49" s="535">
        <f>C49/C$50</f>
        <v>0.5633621325015653</v>
      </c>
      <c r="E49" s="112">
        <f>G42</f>
        <v>0.106</v>
      </c>
      <c r="G49" s="536">
        <f>D49*E49</f>
        <v>5.9716386045165923E-2</v>
      </c>
      <c r="H49" s="101"/>
      <c r="I49" s="45" t="s">
        <v>532</v>
      </c>
      <c r="J49" s="33">
        <f t="shared" si="1"/>
        <v>39</v>
      </c>
    </row>
    <row r="50" spans="1:10" ht="16" thickBot="1" x14ac:dyDescent="0.4">
      <c r="A50" s="33">
        <f t="shared" si="0"/>
        <v>40</v>
      </c>
      <c r="B50" s="34" t="s">
        <v>350</v>
      </c>
      <c r="C50" s="113">
        <f>SUM(C47:C49)</f>
        <v>14659665.976</v>
      </c>
      <c r="D50" s="114">
        <f>SUM(D47:D49)</f>
        <v>1</v>
      </c>
      <c r="G50" s="100">
        <f>SUM(G47:G49)</f>
        <v>7.6315463363733599E-2</v>
      </c>
      <c r="H50" s="101"/>
      <c r="I50" s="45" t="s">
        <v>533</v>
      </c>
      <c r="J50" s="33">
        <f t="shared" si="1"/>
        <v>40</v>
      </c>
    </row>
    <row r="51" spans="1:10" ht="16" thickTop="1" x14ac:dyDescent="0.35">
      <c r="A51" s="33">
        <f t="shared" si="0"/>
        <v>41</v>
      </c>
      <c r="I51" s="45"/>
      <c r="J51" s="33">
        <f t="shared" si="1"/>
        <v>41</v>
      </c>
    </row>
    <row r="52" spans="1:10" ht="16" thickBot="1" x14ac:dyDescent="0.4">
      <c r="A52" s="33">
        <f t="shared" si="0"/>
        <v>42</v>
      </c>
      <c r="B52" s="38" t="s">
        <v>351</v>
      </c>
      <c r="G52" s="100">
        <f>G48+G49</f>
        <v>5.9716386045165923E-2</v>
      </c>
      <c r="H52" s="101"/>
      <c r="I52" s="45" t="s">
        <v>534</v>
      </c>
      <c r="J52" s="33">
        <f t="shared" si="1"/>
        <v>42</v>
      </c>
    </row>
    <row r="53" spans="1:10" ht="16.5" thickTop="1" thickBot="1" x14ac:dyDescent="0.4">
      <c r="A53" s="105">
        <f t="shared" si="0"/>
        <v>43</v>
      </c>
      <c r="B53" s="118"/>
      <c r="C53" s="79"/>
      <c r="D53" s="79"/>
      <c r="E53" s="79"/>
      <c r="F53" s="79"/>
      <c r="G53" s="281"/>
      <c r="H53" s="281"/>
      <c r="I53" s="106"/>
      <c r="J53" s="105">
        <f t="shared" si="1"/>
        <v>43</v>
      </c>
    </row>
    <row r="54" spans="1:10" x14ac:dyDescent="0.35">
      <c r="A54" s="33">
        <f t="shared" si="0"/>
        <v>44</v>
      </c>
      <c r="B54" s="38"/>
      <c r="G54" s="112"/>
      <c r="H54" s="112"/>
      <c r="I54" s="45"/>
      <c r="J54" s="33">
        <f t="shared" si="1"/>
        <v>44</v>
      </c>
    </row>
    <row r="55" spans="1:10" ht="16" thickBot="1" x14ac:dyDescent="0.4">
      <c r="A55" s="33">
        <f t="shared" si="0"/>
        <v>45</v>
      </c>
      <c r="B55" s="38" t="s">
        <v>352</v>
      </c>
      <c r="G55" s="282">
        <v>0</v>
      </c>
      <c r="H55" s="112"/>
      <c r="I55" s="45" t="s">
        <v>222</v>
      </c>
      <c r="J55" s="33">
        <f t="shared" si="1"/>
        <v>45</v>
      </c>
    </row>
    <row r="56" spans="1:10" ht="16" thickTop="1" x14ac:dyDescent="0.35">
      <c r="A56" s="33">
        <f t="shared" si="0"/>
        <v>46</v>
      </c>
      <c r="C56" s="65" t="s">
        <v>244</v>
      </c>
      <c r="D56" s="65" t="s">
        <v>245</v>
      </c>
      <c r="E56" s="65" t="s">
        <v>337</v>
      </c>
      <c r="F56" s="65"/>
      <c r="G56" s="65" t="s">
        <v>338</v>
      </c>
      <c r="H56" s="112"/>
      <c r="I56" s="45"/>
      <c r="J56" s="33">
        <f t="shared" si="1"/>
        <v>46</v>
      </c>
    </row>
    <row r="57" spans="1:10" x14ac:dyDescent="0.35">
      <c r="A57" s="33">
        <f t="shared" si="0"/>
        <v>47</v>
      </c>
      <c r="D57" s="33" t="s">
        <v>339</v>
      </c>
      <c r="E57" s="33" t="s">
        <v>340</v>
      </c>
      <c r="F57" s="33"/>
      <c r="G57" s="33" t="s">
        <v>341</v>
      </c>
      <c r="H57" s="112"/>
      <c r="I57" s="45"/>
      <c r="J57" s="33">
        <f t="shared" si="1"/>
        <v>47</v>
      </c>
    </row>
    <row r="58" spans="1:10" ht="18" x14ac:dyDescent="0.35">
      <c r="A58" s="33">
        <f t="shared" si="0"/>
        <v>48</v>
      </c>
      <c r="B58" s="38" t="s">
        <v>353</v>
      </c>
      <c r="C58" s="520" t="s">
        <v>343</v>
      </c>
      <c r="D58" s="520" t="s">
        <v>344</v>
      </c>
      <c r="E58" s="520" t="s">
        <v>345</v>
      </c>
      <c r="F58" s="520"/>
      <c r="G58" s="520" t="s">
        <v>346</v>
      </c>
      <c r="H58" s="112"/>
      <c r="I58" s="45"/>
      <c r="J58" s="33">
        <f t="shared" si="1"/>
        <v>48</v>
      </c>
    </row>
    <row r="59" spans="1:10" x14ac:dyDescent="0.35">
      <c r="A59" s="33">
        <f t="shared" si="0"/>
        <v>49</v>
      </c>
      <c r="G59" s="112"/>
      <c r="H59" s="112"/>
      <c r="I59" s="45"/>
      <c r="J59" s="33">
        <f t="shared" si="1"/>
        <v>49</v>
      </c>
    </row>
    <row r="60" spans="1:10" x14ac:dyDescent="0.35">
      <c r="A60" s="33">
        <f t="shared" si="0"/>
        <v>50</v>
      </c>
      <c r="B60" s="34" t="s">
        <v>347</v>
      </c>
      <c r="C60" s="283">
        <v>0</v>
      </c>
      <c r="D60" s="284">
        <v>0</v>
      </c>
      <c r="E60" s="115">
        <v>0</v>
      </c>
      <c r="G60" s="110">
        <f>D60*E60</f>
        <v>0</v>
      </c>
      <c r="H60" s="112"/>
      <c r="I60" s="45" t="s">
        <v>222</v>
      </c>
      <c r="J60" s="33">
        <f t="shared" si="1"/>
        <v>50</v>
      </c>
    </row>
    <row r="61" spans="1:10" x14ac:dyDescent="0.35">
      <c r="A61" s="33">
        <f t="shared" si="0"/>
        <v>51</v>
      </c>
      <c r="B61" s="34" t="s">
        <v>348</v>
      </c>
      <c r="C61" s="285">
        <v>0</v>
      </c>
      <c r="D61" s="284">
        <v>0</v>
      </c>
      <c r="E61" s="115">
        <v>0</v>
      </c>
      <c r="G61" s="110">
        <f>D61*E61</f>
        <v>0</v>
      </c>
      <c r="H61" s="112"/>
      <c r="I61" s="45" t="s">
        <v>222</v>
      </c>
      <c r="J61" s="33">
        <f t="shared" si="1"/>
        <v>51</v>
      </c>
    </row>
    <row r="62" spans="1:10" x14ac:dyDescent="0.35">
      <c r="A62" s="33">
        <f t="shared" si="0"/>
        <v>52</v>
      </c>
      <c r="B62" s="34" t="s">
        <v>349</v>
      </c>
      <c r="C62" s="285">
        <v>0</v>
      </c>
      <c r="D62" s="537">
        <v>0</v>
      </c>
      <c r="E62" s="286">
        <v>0</v>
      </c>
      <c r="G62" s="536">
        <f>D62*E62</f>
        <v>0</v>
      </c>
      <c r="H62" s="112"/>
      <c r="I62" s="45" t="s">
        <v>222</v>
      </c>
      <c r="J62" s="33">
        <f t="shared" si="1"/>
        <v>52</v>
      </c>
    </row>
    <row r="63" spans="1:10" ht="16" thickBot="1" x14ac:dyDescent="0.4">
      <c r="A63" s="33">
        <f t="shared" si="0"/>
        <v>53</v>
      </c>
      <c r="B63" s="34" t="s">
        <v>350</v>
      </c>
      <c r="C63" s="113">
        <f>SUM(C60:C62)</f>
        <v>0</v>
      </c>
      <c r="D63" s="100">
        <f>SUM(D60:D62)</f>
        <v>0</v>
      </c>
      <c r="G63" s="100">
        <f>SUM(G60:G62)</f>
        <v>0</v>
      </c>
      <c r="H63" s="112"/>
      <c r="I63" s="45" t="s">
        <v>535</v>
      </c>
      <c r="J63" s="33">
        <f t="shared" si="1"/>
        <v>53</v>
      </c>
    </row>
    <row r="64" spans="1:10" ht="16" thickTop="1" x14ac:dyDescent="0.35">
      <c r="A64" s="33">
        <f t="shared" si="0"/>
        <v>54</v>
      </c>
      <c r="H64" s="112"/>
      <c r="I64" s="45"/>
      <c r="J64" s="33">
        <f t="shared" si="1"/>
        <v>54</v>
      </c>
    </row>
    <row r="65" spans="1:10" ht="16" thickBot="1" x14ac:dyDescent="0.4">
      <c r="A65" s="33">
        <f t="shared" si="0"/>
        <v>55</v>
      </c>
      <c r="B65" s="38" t="s">
        <v>354</v>
      </c>
      <c r="G65" s="100">
        <f>G61+G62</f>
        <v>0</v>
      </c>
      <c r="H65" s="112"/>
      <c r="I65" s="45" t="s">
        <v>536</v>
      </c>
      <c r="J65" s="33">
        <f t="shared" si="1"/>
        <v>55</v>
      </c>
    </row>
    <row r="66" spans="1:10" ht="16" thickTop="1" x14ac:dyDescent="0.35">
      <c r="B66" s="38"/>
      <c r="G66" s="112"/>
      <c r="H66" s="112"/>
      <c r="I66" s="45"/>
      <c r="J66" s="33"/>
    </row>
    <row r="67" spans="1:10" x14ac:dyDescent="0.35">
      <c r="B67" s="38"/>
      <c r="G67" s="112"/>
      <c r="H67" s="112"/>
      <c r="I67" s="45"/>
      <c r="J67" s="33"/>
    </row>
    <row r="68" spans="1:10" ht="18" x14ac:dyDescent="0.35">
      <c r="A68" s="64">
        <v>1</v>
      </c>
      <c r="B68" s="17" t="s">
        <v>355</v>
      </c>
      <c r="G68" s="60"/>
      <c r="H68" s="60"/>
      <c r="J68" s="33" t="s">
        <v>197</v>
      </c>
    </row>
    <row r="69" spans="1:10" ht="18" x14ac:dyDescent="0.35">
      <c r="A69" s="64"/>
      <c r="B69" s="17"/>
      <c r="G69" s="60"/>
      <c r="H69" s="60"/>
      <c r="J69" s="33"/>
    </row>
    <row r="70" spans="1:10" ht="18" x14ac:dyDescent="0.35">
      <c r="A70" s="64"/>
      <c r="B70" s="17"/>
      <c r="D70" s="33"/>
      <c r="G70" s="60"/>
      <c r="H70" s="60"/>
      <c r="J70" s="33"/>
    </row>
    <row r="71" spans="1:10" x14ac:dyDescent="0.35">
      <c r="B71" s="812" t="s">
        <v>307</v>
      </c>
      <c r="C71" s="812"/>
      <c r="D71" s="812"/>
      <c r="E71" s="812"/>
      <c r="F71" s="812"/>
      <c r="G71" s="812"/>
      <c r="H71" s="812"/>
      <c r="I71" s="812"/>
      <c r="J71" s="33"/>
    </row>
    <row r="72" spans="1:10" x14ac:dyDescent="0.35">
      <c r="B72" s="812" t="s">
        <v>308</v>
      </c>
      <c r="C72" s="812"/>
      <c r="D72" s="812"/>
      <c r="E72" s="812"/>
      <c r="F72" s="812"/>
      <c r="G72" s="812"/>
      <c r="H72" s="812"/>
      <c r="I72" s="812"/>
      <c r="J72" s="33"/>
    </row>
    <row r="73" spans="1:10" x14ac:dyDescent="0.35">
      <c r="B73" s="812" t="s">
        <v>309</v>
      </c>
      <c r="C73" s="812"/>
      <c r="D73" s="812"/>
      <c r="E73" s="812"/>
      <c r="F73" s="812"/>
      <c r="G73" s="812"/>
      <c r="H73" s="812"/>
      <c r="I73" s="812"/>
      <c r="J73" s="33"/>
    </row>
    <row r="74" spans="1:10" x14ac:dyDescent="0.35">
      <c r="B74" s="815" t="str">
        <f>B5</f>
        <v>Base Period &amp; True-Up Period 12 - Months Ending December 31, 2021</v>
      </c>
      <c r="C74" s="815"/>
      <c r="D74" s="815"/>
      <c r="E74" s="815"/>
      <c r="F74" s="815"/>
      <c r="G74" s="815"/>
      <c r="H74" s="815"/>
      <c r="I74" s="815"/>
      <c r="J74" s="33"/>
    </row>
    <row r="75" spans="1:10" x14ac:dyDescent="0.35">
      <c r="B75" s="814" t="s">
        <v>1</v>
      </c>
      <c r="C75" s="816"/>
      <c r="D75" s="816"/>
      <c r="E75" s="816"/>
      <c r="F75" s="816"/>
      <c r="G75" s="816"/>
      <c r="H75" s="816"/>
      <c r="I75" s="816"/>
      <c r="J75" s="33"/>
    </row>
    <row r="76" spans="1:10" x14ac:dyDescent="0.35">
      <c r="B76" s="33"/>
      <c r="C76" s="33"/>
      <c r="D76" s="33"/>
      <c r="E76" s="33"/>
      <c r="F76" s="33"/>
      <c r="G76" s="33"/>
      <c r="H76" s="33"/>
      <c r="I76" s="45"/>
      <c r="J76" s="33"/>
    </row>
    <row r="77" spans="1:10" x14ac:dyDescent="0.35">
      <c r="A77" s="33" t="s">
        <v>2</v>
      </c>
      <c r="B77" s="291"/>
      <c r="C77" s="291"/>
      <c r="D77" s="291"/>
      <c r="E77" s="291"/>
      <c r="F77" s="291"/>
      <c r="G77" s="291"/>
      <c r="H77" s="291"/>
      <c r="I77" s="45"/>
      <c r="J77" s="33" t="s">
        <v>2</v>
      </c>
    </row>
    <row r="78" spans="1:10" x14ac:dyDescent="0.35">
      <c r="A78" s="33" t="s">
        <v>3</v>
      </c>
      <c r="B78" s="33"/>
      <c r="C78" s="33"/>
      <c r="D78" s="33"/>
      <c r="E78" s="33"/>
      <c r="F78" s="33"/>
      <c r="G78" s="520" t="s">
        <v>5</v>
      </c>
      <c r="H78" s="291"/>
      <c r="I78" s="533" t="s">
        <v>6</v>
      </c>
      <c r="J78" s="33" t="s">
        <v>3</v>
      </c>
    </row>
    <row r="79" spans="1:10" x14ac:dyDescent="0.35">
      <c r="G79" s="33"/>
      <c r="H79" s="33"/>
      <c r="I79" s="45"/>
      <c r="J79" s="33"/>
    </row>
    <row r="80" spans="1:10" ht="17.5" x14ac:dyDescent="0.35">
      <c r="A80" s="33">
        <v>1</v>
      </c>
      <c r="B80" s="38" t="s">
        <v>356</v>
      </c>
      <c r="E80" s="291"/>
      <c r="F80" s="291"/>
      <c r="G80" s="119"/>
      <c r="H80" s="119"/>
      <c r="I80" s="45"/>
      <c r="J80" s="33">
        <v>1</v>
      </c>
    </row>
    <row r="81" spans="1:13" x14ac:dyDescent="0.35">
      <c r="A81" s="33">
        <f>A80+1</f>
        <v>2</v>
      </c>
      <c r="B81" s="120"/>
      <c r="E81" s="291"/>
      <c r="F81" s="291"/>
      <c r="G81" s="119"/>
      <c r="H81" s="119"/>
      <c r="I81" s="45"/>
      <c r="J81" s="33">
        <f>J80+1</f>
        <v>2</v>
      </c>
    </row>
    <row r="82" spans="1:13" x14ac:dyDescent="0.35">
      <c r="A82" s="33">
        <f>A81+1</f>
        <v>3</v>
      </c>
      <c r="B82" s="38" t="s">
        <v>357</v>
      </c>
      <c r="E82" s="291"/>
      <c r="F82" s="291"/>
      <c r="G82" s="119"/>
      <c r="H82" s="119"/>
      <c r="I82" s="45"/>
      <c r="J82" s="33">
        <f>J81+1</f>
        <v>3</v>
      </c>
    </row>
    <row r="83" spans="1:13" x14ac:dyDescent="0.35">
      <c r="A83" s="33">
        <f>A82+1</f>
        <v>4</v>
      </c>
      <c r="B83" s="291"/>
      <c r="C83" s="291"/>
      <c r="D83" s="291"/>
      <c r="E83" s="291"/>
      <c r="F83" s="291"/>
      <c r="G83" s="119"/>
      <c r="H83" s="119"/>
      <c r="I83" s="45"/>
      <c r="J83" s="33">
        <f>J82+1</f>
        <v>4</v>
      </c>
    </row>
    <row r="84" spans="1:13" x14ac:dyDescent="0.35">
      <c r="A84" s="33">
        <f t="shared" ref="A84:A110" si="2">A83+1</f>
        <v>5</v>
      </c>
      <c r="B84" s="40" t="s">
        <v>358</v>
      </c>
      <c r="C84" s="291"/>
      <c r="D84" s="291"/>
      <c r="E84" s="291"/>
      <c r="F84" s="291"/>
      <c r="G84" s="119"/>
      <c r="H84" s="119"/>
      <c r="I84" s="121"/>
      <c r="J84" s="33">
        <f t="shared" ref="J84:J110" si="3">J83+1</f>
        <v>5</v>
      </c>
    </row>
    <row r="85" spans="1:13" x14ac:dyDescent="0.35">
      <c r="A85" s="33">
        <f t="shared" si="2"/>
        <v>6</v>
      </c>
      <c r="B85" s="34" t="s">
        <v>359</v>
      </c>
      <c r="D85" s="291"/>
      <c r="E85" s="291"/>
      <c r="F85" s="291"/>
      <c r="G85" s="122">
        <f>G52</f>
        <v>5.9716386045165923E-2</v>
      </c>
      <c r="H85" s="291"/>
      <c r="I85" s="45" t="s">
        <v>360</v>
      </c>
      <c r="J85" s="33">
        <f t="shared" si="3"/>
        <v>6</v>
      </c>
      <c r="L85" s="33"/>
    </row>
    <row r="86" spans="1:13" x14ac:dyDescent="0.35">
      <c r="A86" s="33">
        <f t="shared" si="2"/>
        <v>7</v>
      </c>
      <c r="B86" s="34" t="s">
        <v>361</v>
      </c>
      <c r="D86" s="291"/>
      <c r="E86" s="291"/>
      <c r="F86" s="291"/>
      <c r="G86" s="123">
        <v>264.76299999999998</v>
      </c>
      <c r="H86" s="291"/>
      <c r="I86" s="45" t="s">
        <v>362</v>
      </c>
      <c r="J86" s="33">
        <f t="shared" si="3"/>
        <v>7</v>
      </c>
      <c r="L86" s="33"/>
    </row>
    <row r="87" spans="1:13" ht="18" x14ac:dyDescent="0.35">
      <c r="A87" s="33">
        <f t="shared" si="2"/>
        <v>8</v>
      </c>
      <c r="B87" s="34" t="s">
        <v>363</v>
      </c>
      <c r="D87" s="291"/>
      <c r="E87" s="291"/>
      <c r="F87" s="291"/>
      <c r="G87" s="124">
        <v>9230.8399599999993</v>
      </c>
      <c r="H87" s="291"/>
      <c r="I87" s="117" t="s">
        <v>537</v>
      </c>
      <c r="J87" s="33">
        <f t="shared" si="3"/>
        <v>8</v>
      </c>
      <c r="L87" s="291"/>
    </row>
    <row r="88" spans="1:13" x14ac:dyDescent="0.35">
      <c r="A88" s="33">
        <f t="shared" si="2"/>
        <v>9</v>
      </c>
      <c r="B88" s="34" t="s">
        <v>364</v>
      </c>
      <c r="D88" s="291"/>
      <c r="E88" s="125"/>
      <c r="F88" s="291"/>
      <c r="G88" s="126">
        <f>'Pg12 Rev AV-4'!C36</f>
        <v>4792029.7373382887</v>
      </c>
      <c r="H88" s="23" t="s">
        <v>24</v>
      </c>
      <c r="I88" s="117" t="s">
        <v>625</v>
      </c>
      <c r="J88" s="33">
        <f t="shared" si="3"/>
        <v>9</v>
      </c>
    </row>
    <row r="89" spans="1:13" x14ac:dyDescent="0.35">
      <c r="A89" s="33">
        <f t="shared" si="2"/>
        <v>10</v>
      </c>
      <c r="B89" s="34" t="s">
        <v>365</v>
      </c>
      <c r="D89" s="127"/>
      <c r="E89" s="291"/>
      <c r="F89" s="291"/>
      <c r="G89" s="538">
        <v>0.21</v>
      </c>
      <c r="H89" s="291"/>
      <c r="I89" s="45" t="s">
        <v>366</v>
      </c>
      <c r="J89" s="33">
        <f t="shared" si="3"/>
        <v>10</v>
      </c>
      <c r="M89" s="128"/>
    </row>
    <row r="90" spans="1:13" x14ac:dyDescent="0.35">
      <c r="A90" s="33">
        <f t="shared" si="2"/>
        <v>11</v>
      </c>
      <c r="G90" s="33"/>
      <c r="H90" s="33"/>
      <c r="J90" s="33">
        <f t="shared" si="3"/>
        <v>11</v>
      </c>
    </row>
    <row r="91" spans="1:13" x14ac:dyDescent="0.35">
      <c r="A91" s="33">
        <f t="shared" si="2"/>
        <v>12</v>
      </c>
      <c r="B91" s="34" t="s">
        <v>367</v>
      </c>
      <c r="D91" s="291"/>
      <c r="E91" s="291"/>
      <c r="F91" s="291"/>
      <c r="G91" s="129">
        <f>(((G85)+(G87/G88))*G89-(G86/G88))/(1-G89)</f>
        <v>1.6316090269173304E-2</v>
      </c>
      <c r="H91" s="129"/>
      <c r="I91" s="45" t="s">
        <v>368</v>
      </c>
      <c r="J91" s="33">
        <f t="shared" si="3"/>
        <v>12</v>
      </c>
      <c r="M91" s="130"/>
    </row>
    <row r="92" spans="1:13" x14ac:dyDescent="0.35">
      <c r="A92" s="33">
        <f t="shared" si="2"/>
        <v>13</v>
      </c>
      <c r="B92" s="131" t="s">
        <v>369</v>
      </c>
      <c r="G92" s="33"/>
      <c r="H92" s="33"/>
      <c r="J92" s="33">
        <f t="shared" si="3"/>
        <v>13</v>
      </c>
    </row>
    <row r="93" spans="1:13" x14ac:dyDescent="0.35">
      <c r="A93" s="33">
        <f t="shared" si="2"/>
        <v>14</v>
      </c>
      <c r="G93" s="33"/>
      <c r="H93" s="33"/>
      <c r="J93" s="33">
        <f t="shared" si="3"/>
        <v>14</v>
      </c>
    </row>
    <row r="94" spans="1:13" x14ac:dyDescent="0.35">
      <c r="A94" s="33">
        <f t="shared" si="2"/>
        <v>15</v>
      </c>
      <c r="B94" s="38" t="s">
        <v>370</v>
      </c>
      <c r="C94" s="291"/>
      <c r="D94" s="291"/>
      <c r="E94" s="291"/>
      <c r="F94" s="291"/>
      <c r="G94" s="132"/>
      <c r="H94" s="132"/>
      <c r="I94" s="133"/>
      <c r="J94" s="33">
        <f t="shared" si="3"/>
        <v>15</v>
      </c>
      <c r="L94" s="134"/>
    </row>
    <row r="95" spans="1:13" x14ac:dyDescent="0.35">
      <c r="A95" s="33">
        <f t="shared" si="2"/>
        <v>16</v>
      </c>
      <c r="B95" s="50"/>
      <c r="C95" s="291"/>
      <c r="D95" s="291"/>
      <c r="E95" s="291"/>
      <c r="F95" s="291"/>
      <c r="G95" s="132"/>
      <c r="H95" s="132"/>
      <c r="I95" s="135"/>
      <c r="J95" s="33">
        <f t="shared" si="3"/>
        <v>16</v>
      </c>
      <c r="L95" s="291"/>
    </row>
    <row r="96" spans="1:13" x14ac:dyDescent="0.35">
      <c r="A96" s="33">
        <f t="shared" si="2"/>
        <v>17</v>
      </c>
      <c r="B96" s="40" t="s">
        <v>358</v>
      </c>
      <c r="C96" s="291"/>
      <c r="D96" s="291"/>
      <c r="E96" s="291"/>
      <c r="F96" s="291"/>
      <c r="G96" s="132"/>
      <c r="H96" s="132"/>
      <c r="I96" s="135"/>
      <c r="J96" s="33">
        <f t="shared" si="3"/>
        <v>17</v>
      </c>
      <c r="L96" s="291"/>
    </row>
    <row r="97" spans="1:13" x14ac:dyDescent="0.35">
      <c r="A97" s="33">
        <f t="shared" si="2"/>
        <v>18</v>
      </c>
      <c r="B97" s="34" t="s">
        <v>359</v>
      </c>
      <c r="D97" s="291"/>
      <c r="E97" s="291"/>
      <c r="F97" s="291"/>
      <c r="G97" s="108">
        <f>G85</f>
        <v>5.9716386045165923E-2</v>
      </c>
      <c r="H97" s="108"/>
      <c r="I97" s="45" t="s">
        <v>538</v>
      </c>
      <c r="J97" s="33">
        <f t="shared" si="3"/>
        <v>18</v>
      </c>
      <c r="L97" s="33"/>
    </row>
    <row r="98" spans="1:13" x14ac:dyDescent="0.35">
      <c r="A98" s="33">
        <f t="shared" si="2"/>
        <v>19</v>
      </c>
      <c r="B98" s="34" t="s">
        <v>371</v>
      </c>
      <c r="D98" s="291"/>
      <c r="E98" s="291"/>
      <c r="F98" s="291"/>
      <c r="G98" s="136">
        <f>G87</f>
        <v>9230.8399599999993</v>
      </c>
      <c r="H98" s="136"/>
      <c r="I98" s="45" t="s">
        <v>539</v>
      </c>
      <c r="J98" s="33">
        <f t="shared" si="3"/>
        <v>19</v>
      </c>
      <c r="L98" s="33"/>
    </row>
    <row r="99" spans="1:13" x14ac:dyDescent="0.35">
      <c r="A99" s="33">
        <f t="shared" si="2"/>
        <v>20</v>
      </c>
      <c r="B99" s="34" t="s">
        <v>372</v>
      </c>
      <c r="D99" s="291"/>
      <c r="E99" s="291"/>
      <c r="F99" s="291"/>
      <c r="G99" s="137">
        <f>G88</f>
        <v>4792029.7373382887</v>
      </c>
      <c r="H99" s="23" t="s">
        <v>24</v>
      </c>
      <c r="I99" s="45" t="s">
        <v>540</v>
      </c>
      <c r="J99" s="33">
        <f t="shared" si="3"/>
        <v>20</v>
      </c>
      <c r="L99" s="33"/>
    </row>
    <row r="100" spans="1:13" x14ac:dyDescent="0.35">
      <c r="A100" s="33">
        <f t="shared" si="2"/>
        <v>21</v>
      </c>
      <c r="B100" s="34" t="s">
        <v>373</v>
      </c>
      <c r="D100" s="291"/>
      <c r="E100" s="291"/>
      <c r="F100" s="291"/>
      <c r="G100" s="138">
        <f>G91</f>
        <v>1.6316090269173304E-2</v>
      </c>
      <c r="H100" s="138"/>
      <c r="I100" s="45" t="s">
        <v>541</v>
      </c>
      <c r="J100" s="33">
        <f t="shared" si="3"/>
        <v>21</v>
      </c>
    </row>
    <row r="101" spans="1:13" x14ac:dyDescent="0.35">
      <c r="A101" s="33">
        <f t="shared" si="2"/>
        <v>22</v>
      </c>
      <c r="B101" s="34" t="s">
        <v>374</v>
      </c>
      <c r="D101" s="291"/>
      <c r="E101" s="291"/>
      <c r="F101" s="291"/>
      <c r="G101" s="539">
        <v>8.8400000000000006E-2</v>
      </c>
      <c r="H101" s="291"/>
      <c r="I101" s="45" t="s">
        <v>375</v>
      </c>
      <c r="J101" s="33">
        <f t="shared" si="3"/>
        <v>22</v>
      </c>
    </row>
    <row r="102" spans="1:13" x14ac:dyDescent="0.35">
      <c r="A102" s="33">
        <f t="shared" si="2"/>
        <v>23</v>
      </c>
      <c r="B102" s="470"/>
      <c r="D102" s="291"/>
      <c r="E102" s="291"/>
      <c r="F102" s="291"/>
      <c r="G102" s="139"/>
      <c r="H102" s="139"/>
      <c r="I102" s="135"/>
      <c r="J102" s="33">
        <f t="shared" si="3"/>
        <v>23</v>
      </c>
    </row>
    <row r="103" spans="1:13" x14ac:dyDescent="0.35">
      <c r="A103" s="33">
        <f t="shared" si="2"/>
        <v>24</v>
      </c>
      <c r="B103" s="34" t="s">
        <v>376</v>
      </c>
      <c r="C103" s="33"/>
      <c r="D103" s="33"/>
      <c r="E103" s="291"/>
      <c r="F103" s="291"/>
      <c r="G103" s="543">
        <f>((G97)+(G98/G99)+G91)*G101/(1-G101)</f>
        <v>7.5598452836599271E-3</v>
      </c>
      <c r="H103" s="140"/>
      <c r="I103" s="45" t="s">
        <v>377</v>
      </c>
      <c r="J103" s="33">
        <f t="shared" si="3"/>
        <v>24</v>
      </c>
    </row>
    <row r="104" spans="1:13" x14ac:dyDescent="0.35">
      <c r="A104" s="33">
        <f t="shared" si="2"/>
        <v>25</v>
      </c>
      <c r="B104" s="131" t="s">
        <v>378</v>
      </c>
      <c r="G104" s="33"/>
      <c r="H104" s="33"/>
      <c r="I104" s="45"/>
      <c r="J104" s="33">
        <f t="shared" si="3"/>
        <v>25</v>
      </c>
      <c r="L104" s="33"/>
    </row>
    <row r="105" spans="1:13" x14ac:dyDescent="0.35">
      <c r="A105" s="33">
        <f t="shared" si="2"/>
        <v>26</v>
      </c>
      <c r="G105" s="33"/>
      <c r="H105" s="33"/>
      <c r="I105" s="45"/>
      <c r="J105" s="33">
        <f t="shared" si="3"/>
        <v>26</v>
      </c>
      <c r="L105" s="33"/>
    </row>
    <row r="106" spans="1:13" x14ac:dyDescent="0.35">
      <c r="A106" s="33">
        <f t="shared" si="2"/>
        <v>27</v>
      </c>
      <c r="B106" s="38" t="s">
        <v>379</v>
      </c>
      <c r="G106" s="129">
        <f>G103+G91</f>
        <v>2.3875935552833231E-2</v>
      </c>
      <c r="H106" s="129"/>
      <c r="I106" s="45" t="s">
        <v>542</v>
      </c>
      <c r="J106" s="33">
        <f t="shared" si="3"/>
        <v>27</v>
      </c>
      <c r="L106" s="33"/>
    </row>
    <row r="107" spans="1:13" x14ac:dyDescent="0.35">
      <c r="A107" s="33">
        <f t="shared" si="2"/>
        <v>28</v>
      </c>
      <c r="G107" s="33"/>
      <c r="H107" s="33"/>
      <c r="I107" s="45"/>
      <c r="J107" s="33">
        <f t="shared" si="3"/>
        <v>28</v>
      </c>
      <c r="L107" s="33"/>
    </row>
    <row r="108" spans="1:13" x14ac:dyDescent="0.35">
      <c r="A108" s="33">
        <f t="shared" si="2"/>
        <v>29</v>
      </c>
      <c r="B108" s="38" t="s">
        <v>380</v>
      </c>
      <c r="G108" s="540">
        <f>G50</f>
        <v>7.6315463363733599E-2</v>
      </c>
      <c r="H108" s="291"/>
      <c r="I108" s="45" t="s">
        <v>543</v>
      </c>
      <c r="J108" s="33">
        <f t="shared" si="3"/>
        <v>29</v>
      </c>
      <c r="L108" s="33"/>
    </row>
    <row r="109" spans="1:13" x14ac:dyDescent="0.35">
      <c r="A109" s="33">
        <f t="shared" si="2"/>
        <v>30</v>
      </c>
      <c r="G109" s="108"/>
      <c r="H109" s="108"/>
      <c r="I109" s="45"/>
      <c r="J109" s="33">
        <f t="shared" si="3"/>
        <v>30</v>
      </c>
      <c r="L109" s="33"/>
    </row>
    <row r="110" spans="1:13" ht="18" thickBot="1" x14ac:dyDescent="0.4">
      <c r="A110" s="33">
        <f t="shared" si="2"/>
        <v>31</v>
      </c>
      <c r="B110" s="38" t="s">
        <v>381</v>
      </c>
      <c r="G110" s="141">
        <f>G106+G108</f>
        <v>0.10019139891656684</v>
      </c>
      <c r="H110" s="140"/>
      <c r="I110" s="45" t="s">
        <v>544</v>
      </c>
      <c r="J110" s="33">
        <f t="shared" si="3"/>
        <v>31</v>
      </c>
      <c r="L110" s="142"/>
      <c r="M110" s="130"/>
    </row>
    <row r="111" spans="1:13" ht="16" thickTop="1" x14ac:dyDescent="0.35">
      <c r="B111" s="38"/>
      <c r="G111" s="144"/>
      <c r="H111" s="144"/>
      <c r="I111" s="45"/>
      <c r="J111" s="33"/>
      <c r="L111" s="142"/>
      <c r="M111" s="130"/>
    </row>
    <row r="112" spans="1:13" x14ac:dyDescent="0.35">
      <c r="B112" s="38"/>
      <c r="G112" s="144"/>
      <c r="H112" s="144"/>
      <c r="I112" s="45"/>
      <c r="J112" s="33"/>
      <c r="L112" s="142"/>
      <c r="M112" s="130"/>
    </row>
    <row r="113" spans="1:13" x14ac:dyDescent="0.35">
      <c r="A113" s="23" t="s">
        <v>24</v>
      </c>
      <c r="B113" s="470" t="str">
        <f>'Pg2 App XII C5 Comparison'!B57</f>
        <v>Items in BOLD have changed to correct the over-allocation of "Duplicate Charges (Company Energy Use)" Credit in FERC Account no. 929.</v>
      </c>
      <c r="G113" s="144"/>
      <c r="H113" s="144"/>
      <c r="I113" s="45"/>
      <c r="J113" s="33"/>
      <c r="L113" s="142"/>
      <c r="M113" s="130"/>
    </row>
    <row r="114" spans="1:13" ht="18.5" x14ac:dyDescent="0.35">
      <c r="A114" s="287">
        <v>1</v>
      </c>
      <c r="B114" s="17" t="s">
        <v>382</v>
      </c>
      <c r="G114" s="144"/>
      <c r="H114" s="144"/>
      <c r="I114" s="45"/>
      <c r="J114" s="33"/>
      <c r="L114" s="142"/>
      <c r="M114" s="130"/>
    </row>
    <row r="115" spans="1:13" ht="18.5" x14ac:dyDescent="0.35">
      <c r="A115" s="287"/>
      <c r="B115" s="17"/>
      <c r="G115" s="144"/>
      <c r="H115" s="144"/>
      <c r="I115" s="45"/>
      <c r="J115" s="33"/>
      <c r="L115" s="142"/>
      <c r="M115" s="130"/>
    </row>
    <row r="116" spans="1:13" x14ac:dyDescent="0.35">
      <c r="A116" s="145"/>
      <c r="B116" s="470"/>
      <c r="C116" s="35"/>
      <c r="D116" s="35"/>
      <c r="E116" s="35"/>
      <c r="F116" s="35"/>
      <c r="G116" s="146"/>
      <c r="H116" s="146"/>
      <c r="I116" s="288"/>
      <c r="J116" s="33"/>
    </row>
    <row r="117" spans="1:13" x14ac:dyDescent="0.35">
      <c r="B117" s="812" t="s">
        <v>14</v>
      </c>
      <c r="C117" s="812"/>
      <c r="D117" s="812"/>
      <c r="E117" s="812"/>
      <c r="F117" s="812"/>
      <c r="G117" s="812"/>
      <c r="H117" s="812"/>
      <c r="I117" s="812"/>
    </row>
    <row r="118" spans="1:13" x14ac:dyDescent="0.35">
      <c r="B118" s="812" t="s">
        <v>308</v>
      </c>
      <c r="C118" s="812"/>
      <c r="D118" s="812"/>
      <c r="E118" s="812"/>
      <c r="F118" s="812"/>
      <c r="G118" s="812"/>
      <c r="H118" s="812"/>
      <c r="I118" s="812"/>
    </row>
    <row r="119" spans="1:13" x14ac:dyDescent="0.35">
      <c r="B119" s="812" t="s">
        <v>309</v>
      </c>
      <c r="C119" s="812"/>
      <c r="D119" s="812"/>
      <c r="E119" s="812"/>
      <c r="F119" s="812"/>
      <c r="G119" s="812"/>
      <c r="H119" s="812"/>
      <c r="I119" s="812"/>
    </row>
    <row r="120" spans="1:13" x14ac:dyDescent="0.35">
      <c r="B120" s="815" t="str">
        <f>B5</f>
        <v>Base Period &amp; True-Up Period 12 - Months Ending December 31, 2021</v>
      </c>
      <c r="C120" s="815"/>
      <c r="D120" s="815"/>
      <c r="E120" s="815"/>
      <c r="F120" s="815"/>
      <c r="G120" s="815"/>
      <c r="H120" s="815"/>
      <c r="I120" s="815"/>
    </row>
    <row r="121" spans="1:13" x14ac:dyDescent="0.35">
      <c r="B121" s="814" t="s">
        <v>1</v>
      </c>
      <c r="C121" s="816"/>
      <c r="D121" s="816"/>
      <c r="E121" s="816"/>
      <c r="F121" s="816"/>
      <c r="G121" s="816"/>
      <c r="H121" s="816"/>
      <c r="I121" s="816"/>
    </row>
    <row r="123" spans="1:13" x14ac:dyDescent="0.35">
      <c r="A123" s="33" t="s">
        <v>2</v>
      </c>
      <c r="B123" s="291"/>
      <c r="C123" s="291"/>
      <c r="D123" s="291"/>
      <c r="E123" s="291"/>
      <c r="F123" s="291"/>
      <c r="G123" s="291"/>
      <c r="H123" s="291"/>
      <c r="I123" s="45"/>
      <c r="J123" s="33" t="s">
        <v>2</v>
      </c>
    </row>
    <row r="124" spans="1:13" x14ac:dyDescent="0.35">
      <c r="A124" s="33" t="s">
        <v>3</v>
      </c>
      <c r="B124" s="33"/>
      <c r="C124" s="33"/>
      <c r="D124" s="33"/>
      <c r="E124" s="33"/>
      <c r="F124" s="33"/>
      <c r="G124" s="520" t="s">
        <v>5</v>
      </c>
      <c r="H124" s="291"/>
      <c r="I124" s="533" t="s">
        <v>6</v>
      </c>
      <c r="J124" s="33" t="s">
        <v>3</v>
      </c>
    </row>
    <row r="126" spans="1:13" ht="17.5" x14ac:dyDescent="0.35">
      <c r="A126" s="33">
        <v>1</v>
      </c>
      <c r="B126" s="38" t="s">
        <v>383</v>
      </c>
      <c r="J126" s="33">
        <v>1</v>
      </c>
    </row>
    <row r="127" spans="1:13" x14ac:dyDescent="0.35">
      <c r="A127" s="33">
        <f>A126+1</f>
        <v>2</v>
      </c>
      <c r="B127" s="120"/>
      <c r="J127" s="33">
        <f>J126+1</f>
        <v>2</v>
      </c>
    </row>
    <row r="128" spans="1:13" x14ac:dyDescent="0.35">
      <c r="A128" s="33">
        <f>A127+1</f>
        <v>3</v>
      </c>
      <c r="B128" s="38" t="s">
        <v>357</v>
      </c>
      <c r="J128" s="33">
        <f>J127+1</f>
        <v>3</v>
      </c>
    </row>
    <row r="129" spans="1:10" x14ac:dyDescent="0.35">
      <c r="A129" s="33">
        <f>A128+1</f>
        <v>4</v>
      </c>
      <c r="B129" s="291"/>
      <c r="J129" s="33">
        <f>J128+1</f>
        <v>4</v>
      </c>
    </row>
    <row r="130" spans="1:10" x14ac:dyDescent="0.35">
      <c r="A130" s="33">
        <f t="shared" ref="A130:A156" si="4">A129+1</f>
        <v>5</v>
      </c>
      <c r="B130" s="40" t="s">
        <v>358</v>
      </c>
      <c r="J130" s="33">
        <f t="shared" ref="J130:J156" si="5">J129+1</f>
        <v>5</v>
      </c>
    </row>
    <row r="131" spans="1:10" x14ac:dyDescent="0.35">
      <c r="A131" s="33">
        <f t="shared" si="4"/>
        <v>6</v>
      </c>
      <c r="B131" s="34" t="str">
        <f>B85</f>
        <v xml:space="preserve">     A = Sum of Preferred Stock and Return on Equity Component</v>
      </c>
      <c r="G131" s="122">
        <f>G65</f>
        <v>0</v>
      </c>
      <c r="I131" s="45" t="s">
        <v>545</v>
      </c>
      <c r="J131" s="33">
        <f t="shared" si="5"/>
        <v>6</v>
      </c>
    </row>
    <row r="132" spans="1:10" x14ac:dyDescent="0.35">
      <c r="A132" s="33">
        <f t="shared" si="4"/>
        <v>7</v>
      </c>
      <c r="B132" s="34" t="str">
        <f>B86</f>
        <v xml:space="preserve">     B = Transmission Total Federal Tax Adjustments</v>
      </c>
      <c r="G132" s="143">
        <v>0</v>
      </c>
      <c r="I132" s="117" t="s">
        <v>222</v>
      </c>
      <c r="J132" s="33">
        <f t="shared" si="5"/>
        <v>7</v>
      </c>
    </row>
    <row r="133" spans="1:10" x14ac:dyDescent="0.35">
      <c r="A133" s="33">
        <f t="shared" si="4"/>
        <v>8</v>
      </c>
      <c r="B133" s="34" t="s">
        <v>384</v>
      </c>
      <c r="G133" s="289">
        <v>0</v>
      </c>
      <c r="I133" s="117" t="s">
        <v>222</v>
      </c>
      <c r="J133" s="33">
        <f t="shared" si="5"/>
        <v>8</v>
      </c>
    </row>
    <row r="134" spans="1:10" x14ac:dyDescent="0.35">
      <c r="A134" s="33">
        <f t="shared" si="4"/>
        <v>9</v>
      </c>
      <c r="B134" s="34" t="s">
        <v>385</v>
      </c>
      <c r="G134" s="289">
        <v>0</v>
      </c>
      <c r="I134" s="117" t="s">
        <v>222</v>
      </c>
      <c r="J134" s="33">
        <f t="shared" si="5"/>
        <v>9</v>
      </c>
    </row>
    <row r="135" spans="1:10" x14ac:dyDescent="0.35">
      <c r="A135" s="33">
        <f t="shared" si="4"/>
        <v>10</v>
      </c>
      <c r="B135" s="34" t="str">
        <f>B89</f>
        <v xml:space="preserve">     FT = Federal Income Tax Rate for Rate Effective Period</v>
      </c>
      <c r="G135" s="541">
        <f>G89</f>
        <v>0.21</v>
      </c>
      <c r="I135" s="45" t="s">
        <v>546</v>
      </c>
      <c r="J135" s="33">
        <f t="shared" si="5"/>
        <v>10</v>
      </c>
    </row>
    <row r="136" spans="1:10" x14ac:dyDescent="0.35">
      <c r="A136" s="33">
        <f t="shared" si="4"/>
        <v>11</v>
      </c>
      <c r="G136" s="33"/>
      <c r="J136" s="33">
        <f t="shared" si="5"/>
        <v>11</v>
      </c>
    </row>
    <row r="137" spans="1:10" x14ac:dyDescent="0.35">
      <c r="A137" s="33">
        <f t="shared" si="4"/>
        <v>12</v>
      </c>
      <c r="B137" s="34" t="s">
        <v>386</v>
      </c>
      <c r="G137" s="129">
        <f>IFERROR((((G131)+(G133/G134))*G135-(G132/G134))/(1-G135),0)</f>
        <v>0</v>
      </c>
      <c r="I137" s="45" t="s">
        <v>387</v>
      </c>
      <c r="J137" s="33">
        <f t="shared" si="5"/>
        <v>12</v>
      </c>
    </row>
    <row r="138" spans="1:10" x14ac:dyDescent="0.35">
      <c r="A138" s="33">
        <f t="shared" si="4"/>
        <v>13</v>
      </c>
      <c r="B138" s="131" t="s">
        <v>369</v>
      </c>
      <c r="G138" s="116"/>
      <c r="J138" s="33">
        <f t="shared" si="5"/>
        <v>13</v>
      </c>
    </row>
    <row r="139" spans="1:10" x14ac:dyDescent="0.35">
      <c r="A139" s="33">
        <f t="shared" si="4"/>
        <v>14</v>
      </c>
      <c r="G139" s="33"/>
      <c r="J139" s="33">
        <f t="shared" si="5"/>
        <v>14</v>
      </c>
    </row>
    <row r="140" spans="1:10" x14ac:dyDescent="0.35">
      <c r="A140" s="33">
        <f t="shared" si="4"/>
        <v>15</v>
      </c>
      <c r="B140" s="38" t="s">
        <v>370</v>
      </c>
      <c r="G140" s="132"/>
      <c r="I140" s="133"/>
      <c r="J140" s="33">
        <f t="shared" si="5"/>
        <v>15</v>
      </c>
    </row>
    <row r="141" spans="1:10" x14ac:dyDescent="0.35">
      <c r="A141" s="33">
        <f t="shared" si="4"/>
        <v>16</v>
      </c>
      <c r="B141" s="50"/>
      <c r="G141" s="132"/>
      <c r="I141" s="121"/>
      <c r="J141" s="33">
        <f t="shared" si="5"/>
        <v>16</v>
      </c>
    </row>
    <row r="142" spans="1:10" x14ac:dyDescent="0.35">
      <c r="A142" s="33">
        <f t="shared" si="4"/>
        <v>17</v>
      </c>
      <c r="B142" s="40" t="s">
        <v>358</v>
      </c>
      <c r="G142" s="132"/>
      <c r="I142" s="121"/>
      <c r="J142" s="33">
        <f t="shared" si="5"/>
        <v>17</v>
      </c>
    </row>
    <row r="143" spans="1:10" x14ac:dyDescent="0.35">
      <c r="A143" s="33">
        <f t="shared" si="4"/>
        <v>18</v>
      </c>
      <c r="B143" s="34" t="str">
        <f>B97</f>
        <v xml:space="preserve">     A = Sum of Preferred Stock and Return on Equity Component</v>
      </c>
      <c r="G143" s="108">
        <f>G131</f>
        <v>0</v>
      </c>
      <c r="I143" s="45" t="s">
        <v>538</v>
      </c>
      <c r="J143" s="33">
        <f t="shared" si="5"/>
        <v>18</v>
      </c>
    </row>
    <row r="144" spans="1:10" x14ac:dyDescent="0.35">
      <c r="A144" s="33">
        <f t="shared" si="4"/>
        <v>19</v>
      </c>
      <c r="B144" s="34" t="str">
        <f>B98</f>
        <v xml:space="preserve">     B = Equity AFUDC Component of Transmission Depreciation Expense</v>
      </c>
      <c r="G144" s="136">
        <f>G133</f>
        <v>0</v>
      </c>
      <c r="I144" s="45" t="s">
        <v>539</v>
      </c>
      <c r="J144" s="33">
        <f t="shared" si="5"/>
        <v>19</v>
      </c>
    </row>
    <row r="145" spans="1:10" x14ac:dyDescent="0.35">
      <c r="A145" s="33">
        <f t="shared" si="4"/>
        <v>20</v>
      </c>
      <c r="B145" s="34" t="s">
        <v>388</v>
      </c>
      <c r="G145" s="136">
        <f>G134</f>
        <v>0</v>
      </c>
      <c r="I145" s="45" t="s">
        <v>540</v>
      </c>
      <c r="J145" s="33">
        <f t="shared" si="5"/>
        <v>20</v>
      </c>
    </row>
    <row r="146" spans="1:10" x14ac:dyDescent="0.35">
      <c r="A146" s="33">
        <f t="shared" si="4"/>
        <v>21</v>
      </c>
      <c r="B146" s="34" t="str">
        <f>B100</f>
        <v xml:space="preserve">     FT = Federal Income Tax Expense</v>
      </c>
      <c r="G146" s="138">
        <f>G137</f>
        <v>0</v>
      </c>
      <c r="I146" s="45" t="s">
        <v>541</v>
      </c>
      <c r="J146" s="33">
        <f t="shared" si="5"/>
        <v>21</v>
      </c>
    </row>
    <row r="147" spans="1:10" x14ac:dyDescent="0.35">
      <c r="A147" s="33">
        <f t="shared" si="4"/>
        <v>22</v>
      </c>
      <c r="B147" s="34" t="str">
        <f>B101</f>
        <v xml:space="preserve">     ST = State Income Tax Rate for Rate Effective Period</v>
      </c>
      <c r="G147" s="542">
        <f>G101</f>
        <v>8.8400000000000006E-2</v>
      </c>
      <c r="I147" s="45" t="s">
        <v>547</v>
      </c>
      <c r="J147" s="33">
        <f t="shared" si="5"/>
        <v>22</v>
      </c>
    </row>
    <row r="148" spans="1:10" x14ac:dyDescent="0.35">
      <c r="A148" s="33">
        <f t="shared" si="4"/>
        <v>23</v>
      </c>
      <c r="B148" s="470"/>
      <c r="G148" s="139"/>
      <c r="I148" s="135"/>
      <c r="J148" s="33">
        <f t="shared" si="5"/>
        <v>23</v>
      </c>
    </row>
    <row r="149" spans="1:10" x14ac:dyDescent="0.35">
      <c r="A149" s="33">
        <f t="shared" si="4"/>
        <v>24</v>
      </c>
      <c r="B149" s="34" t="s">
        <v>376</v>
      </c>
      <c r="G149" s="543">
        <f>IFERROR(((G143)+(G144/G145)+G137)*G147/(1-G147),0)</f>
        <v>0</v>
      </c>
      <c r="I149" s="45" t="s">
        <v>377</v>
      </c>
      <c r="J149" s="33">
        <f t="shared" si="5"/>
        <v>24</v>
      </c>
    </row>
    <row r="150" spans="1:10" x14ac:dyDescent="0.35">
      <c r="A150" s="33">
        <f t="shared" si="4"/>
        <v>25</v>
      </c>
      <c r="B150" s="131" t="s">
        <v>378</v>
      </c>
      <c r="G150" s="33"/>
      <c r="I150" s="45"/>
      <c r="J150" s="33">
        <f t="shared" si="5"/>
        <v>25</v>
      </c>
    </row>
    <row r="151" spans="1:10" x14ac:dyDescent="0.35">
      <c r="A151" s="33">
        <f t="shared" si="4"/>
        <v>26</v>
      </c>
      <c r="G151" s="33"/>
      <c r="I151" s="45"/>
      <c r="J151" s="33">
        <f t="shared" si="5"/>
        <v>26</v>
      </c>
    </row>
    <row r="152" spans="1:10" x14ac:dyDescent="0.35">
      <c r="A152" s="33">
        <f t="shared" si="4"/>
        <v>27</v>
      </c>
      <c r="B152" s="38" t="s">
        <v>379</v>
      </c>
      <c r="G152" s="129">
        <f>G149+G137</f>
        <v>0</v>
      </c>
      <c r="I152" s="45" t="s">
        <v>542</v>
      </c>
      <c r="J152" s="33">
        <f t="shared" si="5"/>
        <v>27</v>
      </c>
    </row>
    <row r="153" spans="1:10" x14ac:dyDescent="0.35">
      <c r="A153" s="33">
        <f t="shared" si="4"/>
        <v>28</v>
      </c>
      <c r="G153" s="33"/>
      <c r="I153" s="45"/>
      <c r="J153" s="33">
        <f t="shared" si="5"/>
        <v>28</v>
      </c>
    </row>
    <row r="154" spans="1:10" x14ac:dyDescent="0.35">
      <c r="A154" s="33">
        <f t="shared" si="4"/>
        <v>29</v>
      </c>
      <c r="B154" s="38" t="s">
        <v>389</v>
      </c>
      <c r="G154" s="544">
        <f>G63</f>
        <v>0</v>
      </c>
      <c r="I154" s="45" t="s">
        <v>548</v>
      </c>
      <c r="J154" s="33">
        <f t="shared" si="5"/>
        <v>29</v>
      </c>
    </row>
    <row r="155" spans="1:10" x14ac:dyDescent="0.35">
      <c r="A155" s="33">
        <f t="shared" si="4"/>
        <v>30</v>
      </c>
      <c r="G155" s="33"/>
      <c r="I155" s="45"/>
      <c r="J155" s="33">
        <f t="shared" si="5"/>
        <v>30</v>
      </c>
    </row>
    <row r="156" spans="1:10" ht="18" thickBot="1" x14ac:dyDescent="0.4">
      <c r="A156" s="33">
        <f t="shared" si="4"/>
        <v>31</v>
      </c>
      <c r="B156" s="38" t="s">
        <v>390</v>
      </c>
      <c r="G156" s="147">
        <f>G152+G154</f>
        <v>0</v>
      </c>
      <c r="I156" s="45" t="s">
        <v>544</v>
      </c>
      <c r="J156" s="33">
        <f t="shared" si="5"/>
        <v>31</v>
      </c>
    </row>
    <row r="157" spans="1:10" ht="16" thickTop="1" x14ac:dyDescent="0.35"/>
    <row r="159" spans="1:10" ht="18" x14ac:dyDescent="0.35">
      <c r="A159" s="64"/>
      <c r="B159" s="17"/>
    </row>
  </sheetData>
  <mergeCells count="15">
    <mergeCell ref="B71:I71"/>
    <mergeCell ref="B2:I2"/>
    <mergeCell ref="B3:I3"/>
    <mergeCell ref="B4:I4"/>
    <mergeCell ref="B5:I5"/>
    <mergeCell ref="B6:I6"/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5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="80" zoomScaleNormal="80" workbookViewId="0"/>
  </sheetViews>
  <sheetFormatPr defaultColWidth="8.81640625" defaultRowHeight="15.5" x14ac:dyDescent="0.35"/>
  <cols>
    <col min="1" max="1" width="5.453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38.54296875" style="93" customWidth="1"/>
    <col min="10" max="10" width="5.453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81640625" style="34"/>
  </cols>
  <sheetData>
    <row r="1" spans="1:10" x14ac:dyDescent="0.35">
      <c r="A1" s="519" t="s">
        <v>688</v>
      </c>
    </row>
    <row r="2" spans="1:10" x14ac:dyDescent="0.35">
      <c r="A2" s="279"/>
      <c r="G2" s="60"/>
      <c r="H2" s="60"/>
      <c r="I2" s="117"/>
      <c r="J2" s="33"/>
    </row>
    <row r="3" spans="1:10" x14ac:dyDescent="0.35">
      <c r="B3" s="812" t="s">
        <v>307</v>
      </c>
      <c r="C3" s="812"/>
      <c r="D3" s="812"/>
      <c r="E3" s="812"/>
      <c r="F3" s="812"/>
      <c r="G3" s="812"/>
      <c r="H3" s="812"/>
      <c r="I3" s="812"/>
      <c r="J3" s="33"/>
    </row>
    <row r="4" spans="1:10" x14ac:dyDescent="0.35">
      <c r="B4" s="812" t="s">
        <v>308</v>
      </c>
      <c r="C4" s="812"/>
      <c r="D4" s="812"/>
      <c r="E4" s="812"/>
      <c r="F4" s="812"/>
      <c r="G4" s="812"/>
      <c r="H4" s="812"/>
      <c r="I4" s="812"/>
      <c r="J4" s="33"/>
    </row>
    <row r="5" spans="1:10" x14ac:dyDescent="0.35">
      <c r="B5" s="812" t="s">
        <v>309</v>
      </c>
      <c r="C5" s="812"/>
      <c r="D5" s="812"/>
      <c r="E5" s="812"/>
      <c r="F5" s="812"/>
      <c r="G5" s="812"/>
      <c r="H5" s="812"/>
      <c r="I5" s="812"/>
      <c r="J5" s="33"/>
    </row>
    <row r="6" spans="1:10" x14ac:dyDescent="0.35">
      <c r="B6" s="815" t="s">
        <v>476</v>
      </c>
      <c r="C6" s="815"/>
      <c r="D6" s="815"/>
      <c r="E6" s="815"/>
      <c r="F6" s="815"/>
      <c r="G6" s="815"/>
      <c r="H6" s="815"/>
      <c r="I6" s="815"/>
      <c r="J6" s="33"/>
    </row>
    <row r="7" spans="1:10" x14ac:dyDescent="0.35">
      <c r="B7" s="814" t="s">
        <v>1</v>
      </c>
      <c r="C7" s="816"/>
      <c r="D7" s="816"/>
      <c r="E7" s="816"/>
      <c r="F7" s="816"/>
      <c r="G7" s="816"/>
      <c r="H7" s="816"/>
      <c r="I7" s="816"/>
      <c r="J7" s="33"/>
    </row>
    <row r="8" spans="1:10" x14ac:dyDescent="0.35">
      <c r="B8" s="33"/>
      <c r="C8" s="33"/>
      <c r="D8" s="33"/>
      <c r="E8" s="33"/>
      <c r="F8" s="33"/>
      <c r="G8" s="33"/>
      <c r="H8" s="33"/>
      <c r="I8" s="45"/>
      <c r="J8" s="33"/>
    </row>
    <row r="9" spans="1:10" x14ac:dyDescent="0.35">
      <c r="A9" s="33" t="s">
        <v>2</v>
      </c>
      <c r="B9" s="291"/>
      <c r="C9" s="291"/>
      <c r="D9" s="291"/>
      <c r="E9" s="33" t="s">
        <v>173</v>
      </c>
      <c r="F9" s="291"/>
      <c r="G9" s="291"/>
      <c r="H9" s="291"/>
      <c r="I9" s="45"/>
      <c r="J9" s="33" t="s">
        <v>2</v>
      </c>
    </row>
    <row r="10" spans="1:10" x14ac:dyDescent="0.35">
      <c r="A10" s="33" t="s">
        <v>3</v>
      </c>
      <c r="B10" s="33"/>
      <c r="C10" s="33"/>
      <c r="D10" s="33"/>
      <c r="E10" s="520" t="s">
        <v>174</v>
      </c>
      <c r="F10" s="33"/>
      <c r="G10" s="521" t="s">
        <v>5</v>
      </c>
      <c r="H10" s="291"/>
      <c r="I10" s="533" t="s">
        <v>6</v>
      </c>
      <c r="J10" s="33" t="s">
        <v>3</v>
      </c>
    </row>
    <row r="11" spans="1:10" x14ac:dyDescent="0.35">
      <c r="B11" s="33"/>
      <c r="C11" s="33"/>
      <c r="D11" s="33"/>
      <c r="E11" s="33"/>
      <c r="F11" s="33"/>
      <c r="G11" s="33"/>
      <c r="H11" s="33"/>
      <c r="I11" s="45"/>
      <c r="J11" s="33"/>
    </row>
    <row r="12" spans="1:10" x14ac:dyDescent="0.35">
      <c r="A12" s="33">
        <v>1</v>
      </c>
      <c r="B12" s="38" t="s">
        <v>310</v>
      </c>
      <c r="I12" s="45"/>
      <c r="J12" s="33">
        <f>A12</f>
        <v>1</v>
      </c>
    </row>
    <row r="13" spans="1:10" x14ac:dyDescent="0.35">
      <c r="A13" s="33">
        <f>A12+1</f>
        <v>2</v>
      </c>
      <c r="B13" s="34" t="s">
        <v>311</v>
      </c>
      <c r="E13" s="33" t="s">
        <v>509</v>
      </c>
      <c r="G13" s="94">
        <v>6417859</v>
      </c>
      <c r="H13" s="291"/>
      <c r="I13" s="97"/>
      <c r="J13" s="33">
        <f>J12+1</f>
        <v>2</v>
      </c>
    </row>
    <row r="14" spans="1:10" x14ac:dyDescent="0.35">
      <c r="A14" s="33">
        <f t="shared" ref="A14:A66" si="0">A13+1</f>
        <v>3</v>
      </c>
      <c r="B14" s="34" t="s">
        <v>312</v>
      </c>
      <c r="E14" s="33" t="s">
        <v>510</v>
      </c>
      <c r="G14" s="95">
        <v>0</v>
      </c>
      <c r="H14" s="291"/>
      <c r="I14" s="97"/>
      <c r="J14" s="33">
        <f t="shared" ref="J14:J66" si="1">J13+1</f>
        <v>3</v>
      </c>
    </row>
    <row r="15" spans="1:10" x14ac:dyDescent="0.35">
      <c r="A15" s="33">
        <f t="shared" si="0"/>
        <v>4</v>
      </c>
      <c r="B15" s="34" t="s">
        <v>313</v>
      </c>
      <c r="E15" s="33" t="s">
        <v>511</v>
      </c>
      <c r="G15" s="95">
        <v>0</v>
      </c>
      <c r="H15" s="291"/>
      <c r="I15" s="97"/>
      <c r="J15" s="33">
        <f t="shared" si="1"/>
        <v>4</v>
      </c>
    </row>
    <row r="16" spans="1:10" x14ac:dyDescent="0.35">
      <c r="A16" s="33">
        <f t="shared" si="0"/>
        <v>5</v>
      </c>
      <c r="B16" s="34" t="s">
        <v>314</v>
      </c>
      <c r="E16" s="33" t="s">
        <v>512</v>
      </c>
      <c r="G16" s="95">
        <v>0</v>
      </c>
      <c r="H16" s="291"/>
      <c r="I16" s="97"/>
      <c r="J16" s="33">
        <f t="shared" si="1"/>
        <v>5</v>
      </c>
    </row>
    <row r="17" spans="1:10" x14ac:dyDescent="0.35">
      <c r="A17" s="33">
        <f t="shared" si="0"/>
        <v>6</v>
      </c>
      <c r="B17" s="34" t="s">
        <v>315</v>
      </c>
      <c r="E17" s="33" t="s">
        <v>513</v>
      </c>
      <c r="G17" s="95">
        <v>-16893.71</v>
      </c>
      <c r="H17" s="291"/>
      <c r="I17" s="97"/>
      <c r="J17" s="33">
        <f t="shared" si="1"/>
        <v>6</v>
      </c>
    </row>
    <row r="18" spans="1:10" x14ac:dyDescent="0.35">
      <c r="A18" s="33">
        <f t="shared" si="0"/>
        <v>7</v>
      </c>
      <c r="B18" s="34" t="s">
        <v>316</v>
      </c>
      <c r="G18" s="96">
        <f>SUM(G13:G17)</f>
        <v>6400965.29</v>
      </c>
      <c r="H18" s="90"/>
      <c r="I18" s="45" t="s">
        <v>524</v>
      </c>
      <c r="J18" s="33">
        <f t="shared" si="1"/>
        <v>7</v>
      </c>
    </row>
    <row r="19" spans="1:10" x14ac:dyDescent="0.35">
      <c r="A19" s="33">
        <f t="shared" si="0"/>
        <v>8</v>
      </c>
      <c r="I19" s="45"/>
      <c r="J19" s="33">
        <f t="shared" si="1"/>
        <v>8</v>
      </c>
    </row>
    <row r="20" spans="1:10" x14ac:dyDescent="0.35">
      <c r="A20" s="33">
        <f t="shared" si="0"/>
        <v>9</v>
      </c>
      <c r="B20" s="38" t="s">
        <v>317</v>
      </c>
      <c r="G20" s="32"/>
      <c r="H20" s="32"/>
      <c r="I20" s="45"/>
      <c r="J20" s="33">
        <f t="shared" si="1"/>
        <v>9</v>
      </c>
    </row>
    <row r="21" spans="1:10" x14ac:dyDescent="0.35">
      <c r="A21" s="33">
        <f t="shared" si="0"/>
        <v>10</v>
      </c>
      <c r="B21" s="34" t="s">
        <v>318</v>
      </c>
      <c r="E21" s="33" t="s">
        <v>514</v>
      </c>
      <c r="G21" s="94">
        <v>237653.59599999999</v>
      </c>
      <c r="H21" s="291"/>
      <c r="I21" s="97"/>
      <c r="J21" s="33">
        <f t="shared" si="1"/>
        <v>10</v>
      </c>
    </row>
    <row r="22" spans="1:10" x14ac:dyDescent="0.35">
      <c r="A22" s="33">
        <f t="shared" si="0"/>
        <v>11</v>
      </c>
      <c r="B22" s="34" t="s">
        <v>319</v>
      </c>
      <c r="E22" s="33" t="s">
        <v>515</v>
      </c>
      <c r="G22" s="95">
        <v>4408.152</v>
      </c>
      <c r="H22" s="291"/>
      <c r="I22" s="97"/>
      <c r="J22" s="33">
        <f t="shared" si="1"/>
        <v>11</v>
      </c>
    </row>
    <row r="23" spans="1:10" x14ac:dyDescent="0.35">
      <c r="A23" s="33">
        <f t="shared" si="0"/>
        <v>12</v>
      </c>
      <c r="B23" s="34" t="s">
        <v>320</v>
      </c>
      <c r="E23" s="33" t="s">
        <v>516</v>
      </c>
      <c r="G23" s="95">
        <v>1275.181</v>
      </c>
      <c r="H23" s="291"/>
      <c r="I23" s="97"/>
      <c r="J23" s="33">
        <f t="shared" si="1"/>
        <v>12</v>
      </c>
    </row>
    <row r="24" spans="1:10" x14ac:dyDescent="0.35">
      <c r="A24" s="33">
        <f t="shared" si="0"/>
        <v>13</v>
      </c>
      <c r="B24" s="34" t="s">
        <v>321</v>
      </c>
      <c r="E24" s="33" t="s">
        <v>517</v>
      </c>
      <c r="G24" s="95">
        <v>0</v>
      </c>
      <c r="H24" s="291"/>
      <c r="I24" s="97"/>
      <c r="J24" s="33">
        <f t="shared" si="1"/>
        <v>13</v>
      </c>
    </row>
    <row r="25" spans="1:10" x14ac:dyDescent="0.35">
      <c r="A25" s="33">
        <f t="shared" si="0"/>
        <v>14</v>
      </c>
      <c r="B25" s="34" t="s">
        <v>322</v>
      </c>
      <c r="E25" s="33" t="s">
        <v>518</v>
      </c>
      <c r="G25" s="95">
        <v>0</v>
      </c>
      <c r="H25" s="291"/>
      <c r="I25" s="97"/>
      <c r="J25" s="33">
        <f t="shared" si="1"/>
        <v>14</v>
      </c>
    </row>
    <row r="26" spans="1:10" x14ac:dyDescent="0.35">
      <c r="A26" s="33">
        <f t="shared" si="0"/>
        <v>15</v>
      </c>
      <c r="B26" s="34" t="s">
        <v>323</v>
      </c>
      <c r="G26" s="98">
        <f>SUM(G21:G25)</f>
        <v>243336.929</v>
      </c>
      <c r="H26" s="99"/>
      <c r="I26" s="45" t="s">
        <v>525</v>
      </c>
      <c r="J26" s="33">
        <f t="shared" si="1"/>
        <v>15</v>
      </c>
    </row>
    <row r="27" spans="1:10" x14ac:dyDescent="0.35">
      <c r="A27" s="33">
        <f t="shared" si="0"/>
        <v>16</v>
      </c>
      <c r="I27" s="45"/>
      <c r="J27" s="33">
        <f t="shared" si="1"/>
        <v>16</v>
      </c>
    </row>
    <row r="28" spans="1:10" ht="16" thickBot="1" x14ac:dyDescent="0.4">
      <c r="A28" s="33">
        <f t="shared" si="0"/>
        <v>17</v>
      </c>
      <c r="B28" s="38" t="s">
        <v>324</v>
      </c>
      <c r="G28" s="100">
        <f>G26/G18</f>
        <v>3.8015661384722177E-2</v>
      </c>
      <c r="H28" s="101"/>
      <c r="I28" s="45" t="s">
        <v>526</v>
      </c>
      <c r="J28" s="33">
        <f t="shared" si="1"/>
        <v>17</v>
      </c>
    </row>
    <row r="29" spans="1:10" ht="16" thickTop="1" x14ac:dyDescent="0.35">
      <c r="A29" s="33">
        <f t="shared" si="0"/>
        <v>18</v>
      </c>
      <c r="I29" s="45"/>
      <c r="J29" s="33">
        <f t="shared" si="1"/>
        <v>18</v>
      </c>
    </row>
    <row r="30" spans="1:10" x14ac:dyDescent="0.35">
      <c r="A30" s="33">
        <f t="shared" si="0"/>
        <v>19</v>
      </c>
      <c r="B30" s="38" t="s">
        <v>325</v>
      </c>
      <c r="I30" s="45"/>
      <c r="J30" s="33">
        <f t="shared" si="1"/>
        <v>19</v>
      </c>
    </row>
    <row r="31" spans="1:10" x14ac:dyDescent="0.35">
      <c r="A31" s="33">
        <f t="shared" si="0"/>
        <v>20</v>
      </c>
      <c r="B31" s="34" t="s">
        <v>326</v>
      </c>
      <c r="E31" s="33" t="s">
        <v>519</v>
      </c>
      <c r="G31" s="94">
        <v>0</v>
      </c>
      <c r="H31" s="291"/>
      <c r="I31" s="97"/>
      <c r="J31" s="33">
        <f t="shared" si="1"/>
        <v>20</v>
      </c>
    </row>
    <row r="32" spans="1:10" x14ac:dyDescent="0.35">
      <c r="A32" s="33">
        <f t="shared" si="0"/>
        <v>21</v>
      </c>
      <c r="B32" s="34" t="s">
        <v>327</v>
      </c>
      <c r="E32" s="33" t="s">
        <v>520</v>
      </c>
      <c r="G32" s="534">
        <v>0</v>
      </c>
      <c r="H32" s="291"/>
      <c r="I32" s="97"/>
      <c r="J32" s="33">
        <f t="shared" si="1"/>
        <v>21</v>
      </c>
    </row>
    <row r="33" spans="1:12" ht="16" thickBot="1" x14ac:dyDescent="0.4">
      <c r="A33" s="33">
        <f t="shared" si="0"/>
        <v>22</v>
      </c>
      <c r="B33" s="34" t="s">
        <v>328</v>
      </c>
      <c r="G33" s="100">
        <f>IFERROR((G32/G31),0)</f>
        <v>0</v>
      </c>
      <c r="H33" s="101"/>
      <c r="I33" s="45" t="s">
        <v>527</v>
      </c>
      <c r="J33" s="33">
        <f t="shared" si="1"/>
        <v>22</v>
      </c>
    </row>
    <row r="34" spans="1:12" ht="16" thickTop="1" x14ac:dyDescent="0.35">
      <c r="A34" s="33">
        <f t="shared" si="0"/>
        <v>23</v>
      </c>
      <c r="I34" s="45"/>
      <c r="J34" s="33">
        <f t="shared" si="1"/>
        <v>23</v>
      </c>
    </row>
    <row r="35" spans="1:12" x14ac:dyDescent="0.35">
      <c r="A35" s="33">
        <f t="shared" si="0"/>
        <v>24</v>
      </c>
      <c r="B35" s="38" t="s">
        <v>329</v>
      </c>
      <c r="I35" s="45"/>
      <c r="J35" s="33">
        <f t="shared" si="1"/>
        <v>24</v>
      </c>
    </row>
    <row r="36" spans="1:12" x14ac:dyDescent="0.35">
      <c r="A36" s="33">
        <f t="shared" si="0"/>
        <v>25</v>
      </c>
      <c r="B36" s="34" t="s">
        <v>330</v>
      </c>
      <c r="E36" s="33" t="s">
        <v>521</v>
      </c>
      <c r="G36" s="94">
        <v>8248583.6459999997</v>
      </c>
      <c r="H36" s="291"/>
      <c r="I36" s="97"/>
      <c r="J36" s="33">
        <f t="shared" si="1"/>
        <v>25</v>
      </c>
      <c r="K36" s="41"/>
      <c r="L36" s="280"/>
    </row>
    <row r="37" spans="1:12" x14ac:dyDescent="0.35">
      <c r="A37" s="33">
        <f t="shared" si="0"/>
        <v>26</v>
      </c>
      <c r="B37" s="34" t="s">
        <v>331</v>
      </c>
      <c r="E37" s="33" t="s">
        <v>519</v>
      </c>
      <c r="G37" s="102">
        <v>0</v>
      </c>
      <c r="H37" s="102"/>
      <c r="I37" s="45" t="s">
        <v>528</v>
      </c>
      <c r="J37" s="33">
        <f t="shared" si="1"/>
        <v>26</v>
      </c>
    </row>
    <row r="38" spans="1:12" x14ac:dyDescent="0.35">
      <c r="A38" s="33">
        <f t="shared" si="0"/>
        <v>27</v>
      </c>
      <c r="B38" s="34" t="s">
        <v>332</v>
      </c>
      <c r="E38" s="33" t="s">
        <v>522</v>
      </c>
      <c r="G38" s="95">
        <v>0</v>
      </c>
      <c r="H38" s="291"/>
      <c r="I38" s="97"/>
      <c r="J38" s="33">
        <f t="shared" si="1"/>
        <v>27</v>
      </c>
    </row>
    <row r="39" spans="1:12" x14ac:dyDescent="0.35">
      <c r="A39" s="33">
        <f t="shared" si="0"/>
        <v>28</v>
      </c>
      <c r="B39" s="34" t="s">
        <v>333</v>
      </c>
      <c r="E39" s="33" t="s">
        <v>523</v>
      </c>
      <c r="G39" s="95">
        <v>10117.040000000001</v>
      </c>
      <c r="H39" s="291"/>
      <c r="I39" s="97"/>
      <c r="J39" s="33">
        <f t="shared" si="1"/>
        <v>28</v>
      </c>
    </row>
    <row r="40" spans="1:12" ht="16" thickBot="1" x14ac:dyDescent="0.4">
      <c r="A40" s="33">
        <f t="shared" si="0"/>
        <v>29</v>
      </c>
      <c r="B40" s="34" t="s">
        <v>334</v>
      </c>
      <c r="G40" s="103">
        <f>SUM(G36:G39)</f>
        <v>8258700.6859999998</v>
      </c>
      <c r="H40" s="104"/>
      <c r="I40" s="45" t="s">
        <v>529</v>
      </c>
      <c r="J40" s="33">
        <f t="shared" si="1"/>
        <v>29</v>
      </c>
    </row>
    <row r="41" spans="1:12" ht="16.5" thickTop="1" thickBot="1" x14ac:dyDescent="0.4">
      <c r="A41" s="105">
        <f t="shared" si="0"/>
        <v>30</v>
      </c>
      <c r="B41" s="79"/>
      <c r="C41" s="79"/>
      <c r="D41" s="79"/>
      <c r="E41" s="79"/>
      <c r="F41" s="79"/>
      <c r="G41" s="79"/>
      <c r="H41" s="79"/>
      <c r="I41" s="106"/>
      <c r="J41" s="105">
        <f t="shared" si="1"/>
        <v>30</v>
      </c>
    </row>
    <row r="42" spans="1:12" x14ac:dyDescent="0.35">
      <c r="A42" s="33">
        <f>A41+1</f>
        <v>31</v>
      </c>
      <c r="I42" s="45"/>
      <c r="J42" s="33">
        <f>J41+1</f>
        <v>31</v>
      </c>
    </row>
    <row r="43" spans="1:12" ht="16" thickBot="1" x14ac:dyDescent="0.4">
      <c r="A43" s="33">
        <f>A42+1</f>
        <v>32</v>
      </c>
      <c r="B43" s="38" t="s">
        <v>335</v>
      </c>
      <c r="G43" s="107">
        <v>0.106</v>
      </c>
      <c r="H43" s="291"/>
      <c r="I43" s="33" t="s">
        <v>336</v>
      </c>
      <c r="J43" s="33">
        <f>J42+1</f>
        <v>32</v>
      </c>
    </row>
    <row r="44" spans="1:12" ht="16" thickTop="1" x14ac:dyDescent="0.35">
      <c r="A44" s="33">
        <f t="shared" si="0"/>
        <v>33</v>
      </c>
      <c r="C44" s="65" t="s">
        <v>244</v>
      </c>
      <c r="D44" s="65" t="s">
        <v>245</v>
      </c>
      <c r="E44" s="65" t="s">
        <v>337</v>
      </c>
      <c r="F44" s="65"/>
      <c r="G44" s="65" t="s">
        <v>338</v>
      </c>
      <c r="H44" s="65"/>
      <c r="I44" s="45"/>
      <c r="J44" s="33">
        <f t="shared" si="1"/>
        <v>33</v>
      </c>
    </row>
    <row r="45" spans="1:12" x14ac:dyDescent="0.35">
      <c r="A45" s="33">
        <f t="shared" si="0"/>
        <v>34</v>
      </c>
      <c r="D45" s="33" t="s">
        <v>339</v>
      </c>
      <c r="E45" s="33" t="s">
        <v>340</v>
      </c>
      <c r="F45" s="33"/>
      <c r="G45" s="33" t="s">
        <v>341</v>
      </c>
      <c r="H45" s="33"/>
      <c r="I45" s="45"/>
      <c r="J45" s="33">
        <f t="shared" si="1"/>
        <v>34</v>
      </c>
    </row>
    <row r="46" spans="1:12" ht="18" x14ac:dyDescent="0.35">
      <c r="A46" s="33">
        <f t="shared" si="0"/>
        <v>35</v>
      </c>
      <c r="B46" s="38" t="s">
        <v>342</v>
      </c>
      <c r="C46" s="520" t="s">
        <v>343</v>
      </c>
      <c r="D46" s="520" t="s">
        <v>344</v>
      </c>
      <c r="E46" s="520" t="s">
        <v>345</v>
      </c>
      <c r="F46" s="520"/>
      <c r="G46" s="520" t="s">
        <v>346</v>
      </c>
      <c r="H46" s="33"/>
      <c r="I46" s="45"/>
      <c r="J46" s="33">
        <f t="shared" si="1"/>
        <v>35</v>
      </c>
    </row>
    <row r="47" spans="1:12" x14ac:dyDescent="0.35">
      <c r="A47" s="33">
        <f t="shared" si="0"/>
        <v>36</v>
      </c>
      <c r="I47" s="45"/>
      <c r="J47" s="33">
        <f t="shared" si="1"/>
        <v>36</v>
      </c>
    </row>
    <row r="48" spans="1:12" x14ac:dyDescent="0.35">
      <c r="A48" s="33">
        <f t="shared" si="0"/>
        <v>37</v>
      </c>
      <c r="B48" s="34" t="s">
        <v>347</v>
      </c>
      <c r="C48" s="57">
        <f>G18</f>
        <v>6400965.29</v>
      </c>
      <c r="D48" s="108">
        <f>C48/C$51</f>
        <v>0.43663786749843475</v>
      </c>
      <c r="E48" s="109">
        <f>G28</f>
        <v>3.8015661384722177E-2</v>
      </c>
      <c r="G48" s="110">
        <f>D48*E48</f>
        <v>1.6599077318567683E-2</v>
      </c>
      <c r="H48" s="110"/>
      <c r="I48" s="45" t="s">
        <v>530</v>
      </c>
      <c r="J48" s="33">
        <f t="shared" si="1"/>
        <v>37</v>
      </c>
    </row>
    <row r="49" spans="1:10" x14ac:dyDescent="0.35">
      <c r="A49" s="33">
        <f t="shared" si="0"/>
        <v>38</v>
      </c>
      <c r="B49" s="34" t="s">
        <v>348</v>
      </c>
      <c r="C49" s="111">
        <f>G31</f>
        <v>0</v>
      </c>
      <c r="D49" s="108">
        <f>C49/C$51</f>
        <v>0</v>
      </c>
      <c r="E49" s="109">
        <f>G33</f>
        <v>0</v>
      </c>
      <c r="G49" s="110">
        <f>D49*E49</f>
        <v>0</v>
      </c>
      <c r="H49" s="110"/>
      <c r="I49" s="45" t="s">
        <v>531</v>
      </c>
      <c r="J49" s="33">
        <f t="shared" si="1"/>
        <v>38</v>
      </c>
    </row>
    <row r="50" spans="1:10" x14ac:dyDescent="0.35">
      <c r="A50" s="33">
        <f t="shared" si="0"/>
        <v>39</v>
      </c>
      <c r="B50" s="34" t="s">
        <v>349</v>
      </c>
      <c r="C50" s="111">
        <f>G40</f>
        <v>8258700.6859999998</v>
      </c>
      <c r="D50" s="535">
        <f>C50/C$51</f>
        <v>0.5633621325015653</v>
      </c>
      <c r="E50" s="112">
        <f>G43</f>
        <v>0.106</v>
      </c>
      <c r="G50" s="536">
        <f>D50*E50</f>
        <v>5.9716386045165923E-2</v>
      </c>
      <c r="H50" s="101"/>
      <c r="I50" s="45" t="s">
        <v>532</v>
      </c>
      <c r="J50" s="33">
        <f t="shared" si="1"/>
        <v>39</v>
      </c>
    </row>
    <row r="51" spans="1:10" ht="16" thickBot="1" x14ac:dyDescent="0.4">
      <c r="A51" s="33">
        <f t="shared" si="0"/>
        <v>40</v>
      </c>
      <c r="B51" s="34" t="s">
        <v>350</v>
      </c>
      <c r="C51" s="113">
        <f>SUM(C48:C50)</f>
        <v>14659665.976</v>
      </c>
      <c r="D51" s="114">
        <f>SUM(D48:D50)</f>
        <v>1</v>
      </c>
      <c r="G51" s="100">
        <f>SUM(G48:G50)</f>
        <v>7.6315463363733599E-2</v>
      </c>
      <c r="H51" s="101"/>
      <c r="I51" s="45" t="s">
        <v>533</v>
      </c>
      <c r="J51" s="33">
        <f t="shared" si="1"/>
        <v>40</v>
      </c>
    </row>
    <row r="52" spans="1:10" ht="16" thickTop="1" x14ac:dyDescent="0.35">
      <c r="A52" s="33">
        <f t="shared" si="0"/>
        <v>41</v>
      </c>
      <c r="I52" s="45"/>
      <c r="J52" s="33">
        <f t="shared" si="1"/>
        <v>41</v>
      </c>
    </row>
    <row r="53" spans="1:10" ht="16" thickBot="1" x14ac:dyDescent="0.4">
      <c r="A53" s="33">
        <f t="shared" si="0"/>
        <v>42</v>
      </c>
      <c r="B53" s="38" t="s">
        <v>351</v>
      </c>
      <c r="G53" s="100">
        <f>G49+G50</f>
        <v>5.9716386045165923E-2</v>
      </c>
      <c r="H53" s="101"/>
      <c r="I53" s="45" t="s">
        <v>534</v>
      </c>
      <c r="J53" s="33">
        <f t="shared" si="1"/>
        <v>42</v>
      </c>
    </row>
    <row r="54" spans="1:10" ht="16.5" thickTop="1" thickBot="1" x14ac:dyDescent="0.4">
      <c r="A54" s="105">
        <f t="shared" si="0"/>
        <v>43</v>
      </c>
      <c r="B54" s="118"/>
      <c r="C54" s="79"/>
      <c r="D54" s="79"/>
      <c r="E54" s="79"/>
      <c r="F54" s="79"/>
      <c r="G54" s="281"/>
      <c r="H54" s="281"/>
      <c r="I54" s="106"/>
      <c r="J54" s="105">
        <f t="shared" si="1"/>
        <v>43</v>
      </c>
    </row>
    <row r="55" spans="1:10" x14ac:dyDescent="0.35">
      <c r="A55" s="33">
        <f t="shared" si="0"/>
        <v>44</v>
      </c>
      <c r="B55" s="38"/>
      <c r="G55" s="112"/>
      <c r="H55" s="112"/>
      <c r="I55" s="45"/>
      <c r="J55" s="33">
        <f t="shared" si="1"/>
        <v>44</v>
      </c>
    </row>
    <row r="56" spans="1:10" ht="16" thickBot="1" x14ac:dyDescent="0.4">
      <c r="A56" s="33">
        <f t="shared" si="0"/>
        <v>45</v>
      </c>
      <c r="B56" s="38" t="s">
        <v>352</v>
      </c>
      <c r="G56" s="282">
        <v>0</v>
      </c>
      <c r="H56" s="112"/>
      <c r="I56" s="45" t="s">
        <v>222</v>
      </c>
      <c r="J56" s="33">
        <f t="shared" si="1"/>
        <v>45</v>
      </c>
    </row>
    <row r="57" spans="1:10" ht="16" thickTop="1" x14ac:dyDescent="0.35">
      <c r="A57" s="33">
        <f t="shared" si="0"/>
        <v>46</v>
      </c>
      <c r="C57" s="65" t="s">
        <v>244</v>
      </c>
      <c r="D57" s="65" t="s">
        <v>245</v>
      </c>
      <c r="E57" s="65" t="s">
        <v>337</v>
      </c>
      <c r="F57" s="65"/>
      <c r="G57" s="65" t="s">
        <v>338</v>
      </c>
      <c r="H57" s="112"/>
      <c r="I57" s="45"/>
      <c r="J57" s="33">
        <f t="shared" si="1"/>
        <v>46</v>
      </c>
    </row>
    <row r="58" spans="1:10" x14ac:dyDescent="0.35">
      <c r="A58" s="33">
        <f t="shared" si="0"/>
        <v>47</v>
      </c>
      <c r="D58" s="33" t="s">
        <v>339</v>
      </c>
      <c r="E58" s="33" t="s">
        <v>340</v>
      </c>
      <c r="F58" s="33"/>
      <c r="G58" s="33" t="s">
        <v>341</v>
      </c>
      <c r="H58" s="112"/>
      <c r="I58" s="45"/>
      <c r="J58" s="33">
        <f t="shared" si="1"/>
        <v>47</v>
      </c>
    </row>
    <row r="59" spans="1:10" ht="18" x14ac:dyDescent="0.35">
      <c r="A59" s="33">
        <f t="shared" si="0"/>
        <v>48</v>
      </c>
      <c r="B59" s="38" t="s">
        <v>353</v>
      </c>
      <c r="C59" s="520" t="s">
        <v>343</v>
      </c>
      <c r="D59" s="520" t="s">
        <v>344</v>
      </c>
      <c r="E59" s="520" t="s">
        <v>345</v>
      </c>
      <c r="F59" s="520"/>
      <c r="G59" s="520" t="s">
        <v>346</v>
      </c>
      <c r="H59" s="112"/>
      <c r="I59" s="45"/>
      <c r="J59" s="33">
        <f t="shared" si="1"/>
        <v>48</v>
      </c>
    </row>
    <row r="60" spans="1:10" x14ac:dyDescent="0.35">
      <c r="A60" s="33">
        <f t="shared" si="0"/>
        <v>49</v>
      </c>
      <c r="G60" s="112"/>
      <c r="H60" s="112"/>
      <c r="I60" s="45"/>
      <c r="J60" s="33">
        <f t="shared" si="1"/>
        <v>49</v>
      </c>
    </row>
    <row r="61" spans="1:10" x14ac:dyDescent="0.35">
      <c r="A61" s="33">
        <f t="shared" si="0"/>
        <v>50</v>
      </c>
      <c r="B61" s="34" t="s">
        <v>347</v>
      </c>
      <c r="C61" s="283">
        <v>0</v>
      </c>
      <c r="D61" s="284">
        <v>0</v>
      </c>
      <c r="E61" s="115">
        <v>0</v>
      </c>
      <c r="G61" s="110">
        <f>D61*E61</f>
        <v>0</v>
      </c>
      <c r="H61" s="112"/>
      <c r="I61" s="45" t="s">
        <v>222</v>
      </c>
      <c r="J61" s="33">
        <f t="shared" si="1"/>
        <v>50</v>
      </c>
    </row>
    <row r="62" spans="1:10" x14ac:dyDescent="0.35">
      <c r="A62" s="33">
        <f t="shared" si="0"/>
        <v>51</v>
      </c>
      <c r="B62" s="34" t="s">
        <v>348</v>
      </c>
      <c r="C62" s="285">
        <v>0</v>
      </c>
      <c r="D62" s="284">
        <v>0</v>
      </c>
      <c r="E62" s="115">
        <v>0</v>
      </c>
      <c r="G62" s="110">
        <f>D62*E62</f>
        <v>0</v>
      </c>
      <c r="H62" s="112"/>
      <c r="I62" s="45" t="s">
        <v>222</v>
      </c>
      <c r="J62" s="33">
        <f t="shared" si="1"/>
        <v>51</v>
      </c>
    </row>
    <row r="63" spans="1:10" x14ac:dyDescent="0.35">
      <c r="A63" s="33">
        <f t="shared" si="0"/>
        <v>52</v>
      </c>
      <c r="B63" s="34" t="s">
        <v>349</v>
      </c>
      <c r="C63" s="285">
        <v>0</v>
      </c>
      <c r="D63" s="537">
        <v>0</v>
      </c>
      <c r="E63" s="286">
        <v>0</v>
      </c>
      <c r="G63" s="536">
        <f>D63*E63</f>
        <v>0</v>
      </c>
      <c r="H63" s="112"/>
      <c r="I63" s="45" t="s">
        <v>222</v>
      </c>
      <c r="J63" s="33">
        <f t="shared" si="1"/>
        <v>52</v>
      </c>
    </row>
    <row r="64" spans="1:10" ht="16" thickBot="1" x14ac:dyDescent="0.4">
      <c r="A64" s="33">
        <f t="shared" si="0"/>
        <v>53</v>
      </c>
      <c r="B64" s="34" t="s">
        <v>350</v>
      </c>
      <c r="C64" s="113">
        <f>SUM(C61:C63)</f>
        <v>0</v>
      </c>
      <c r="D64" s="100">
        <f>SUM(D61:D63)</f>
        <v>0</v>
      </c>
      <c r="G64" s="100">
        <f>SUM(G61:G63)</f>
        <v>0</v>
      </c>
      <c r="H64" s="112"/>
      <c r="I64" s="45" t="s">
        <v>535</v>
      </c>
      <c r="J64" s="33">
        <f t="shared" si="1"/>
        <v>53</v>
      </c>
    </row>
    <row r="65" spans="1:10" ht="16" thickTop="1" x14ac:dyDescent="0.35">
      <c r="A65" s="33">
        <f t="shared" si="0"/>
        <v>54</v>
      </c>
      <c r="H65" s="112"/>
      <c r="I65" s="45"/>
      <c r="J65" s="33">
        <f t="shared" si="1"/>
        <v>54</v>
      </c>
    </row>
    <row r="66" spans="1:10" ht="16" thickBot="1" x14ac:dyDescent="0.4">
      <c r="A66" s="33">
        <f t="shared" si="0"/>
        <v>55</v>
      </c>
      <c r="B66" s="38" t="s">
        <v>354</v>
      </c>
      <c r="G66" s="100">
        <f>G62+G63</f>
        <v>0</v>
      </c>
      <c r="H66" s="112"/>
      <c r="I66" s="45" t="s">
        <v>536</v>
      </c>
      <c r="J66" s="33">
        <f t="shared" si="1"/>
        <v>55</v>
      </c>
    </row>
    <row r="67" spans="1:10" ht="16" thickTop="1" x14ac:dyDescent="0.35">
      <c r="B67" s="38"/>
      <c r="G67" s="112"/>
      <c r="H67" s="112"/>
      <c r="I67" s="45"/>
      <c r="J67" s="33"/>
    </row>
    <row r="68" spans="1:10" x14ac:dyDescent="0.35">
      <c r="B68" s="38"/>
      <c r="G68" s="112"/>
      <c r="H68" s="112"/>
      <c r="I68" s="45"/>
      <c r="J68" s="33"/>
    </row>
    <row r="69" spans="1:10" ht="18" x14ac:dyDescent="0.35">
      <c r="A69" s="64">
        <v>1</v>
      </c>
      <c r="B69" s="17" t="s">
        <v>355</v>
      </c>
      <c r="G69" s="60"/>
      <c r="H69" s="60"/>
      <c r="J69" s="33" t="s">
        <v>197</v>
      </c>
    </row>
    <row r="70" spans="1:10" ht="18" x14ac:dyDescent="0.35">
      <c r="A70" s="64"/>
      <c r="B70" s="17"/>
      <c r="G70" s="60"/>
      <c r="H70" s="60"/>
      <c r="J70" s="33"/>
    </row>
    <row r="71" spans="1:10" ht="18" x14ac:dyDescent="0.35">
      <c r="A71" s="64"/>
      <c r="B71" s="17"/>
      <c r="D71" s="33"/>
      <c r="G71" s="60"/>
      <c r="H71" s="60"/>
      <c r="J71" s="33"/>
    </row>
    <row r="72" spans="1:10" x14ac:dyDescent="0.35">
      <c r="B72" s="812" t="s">
        <v>307</v>
      </c>
      <c r="C72" s="812"/>
      <c r="D72" s="812"/>
      <c r="E72" s="812"/>
      <c r="F72" s="812"/>
      <c r="G72" s="812"/>
      <c r="H72" s="812"/>
      <c r="I72" s="812"/>
      <c r="J72" s="33"/>
    </row>
    <row r="73" spans="1:10" x14ac:dyDescent="0.35">
      <c r="B73" s="812" t="s">
        <v>308</v>
      </c>
      <c r="C73" s="812"/>
      <c r="D73" s="812"/>
      <c r="E73" s="812"/>
      <c r="F73" s="812"/>
      <c r="G73" s="812"/>
      <c r="H73" s="812"/>
      <c r="I73" s="812"/>
      <c r="J73" s="33"/>
    </row>
    <row r="74" spans="1:10" x14ac:dyDescent="0.35">
      <c r="B74" s="812" t="s">
        <v>309</v>
      </c>
      <c r="C74" s="812"/>
      <c r="D74" s="812"/>
      <c r="E74" s="812"/>
      <c r="F74" s="812"/>
      <c r="G74" s="812"/>
      <c r="H74" s="812"/>
      <c r="I74" s="812"/>
      <c r="J74" s="33"/>
    </row>
    <row r="75" spans="1:10" x14ac:dyDescent="0.35">
      <c r="B75" s="815" t="str">
        <f>B6</f>
        <v>Base Period &amp; True-Up Period 12 - Months Ending December 31, 2021</v>
      </c>
      <c r="C75" s="815"/>
      <c r="D75" s="815"/>
      <c r="E75" s="815"/>
      <c r="F75" s="815"/>
      <c r="G75" s="815"/>
      <c r="H75" s="815"/>
      <c r="I75" s="815"/>
      <c r="J75" s="33"/>
    </row>
    <row r="76" spans="1:10" x14ac:dyDescent="0.35">
      <c r="B76" s="814" t="s">
        <v>1</v>
      </c>
      <c r="C76" s="816"/>
      <c r="D76" s="816"/>
      <c r="E76" s="816"/>
      <c r="F76" s="816"/>
      <c r="G76" s="816"/>
      <c r="H76" s="816"/>
      <c r="I76" s="816"/>
      <c r="J76" s="33"/>
    </row>
    <row r="77" spans="1:10" x14ac:dyDescent="0.35">
      <c r="B77" s="33"/>
      <c r="C77" s="33"/>
      <c r="D77" s="33"/>
      <c r="E77" s="33"/>
      <c r="F77" s="33"/>
      <c r="G77" s="33"/>
      <c r="H77" s="33"/>
      <c r="I77" s="45"/>
      <c r="J77" s="33"/>
    </row>
    <row r="78" spans="1:10" x14ac:dyDescent="0.35">
      <c r="A78" s="33" t="s">
        <v>2</v>
      </c>
      <c r="B78" s="291"/>
      <c r="C78" s="291"/>
      <c r="D78" s="291"/>
      <c r="E78" s="291"/>
      <c r="F78" s="291"/>
      <c r="G78" s="291"/>
      <c r="H78" s="291"/>
      <c r="I78" s="45"/>
      <c r="J78" s="33" t="s">
        <v>2</v>
      </c>
    </row>
    <row r="79" spans="1:10" x14ac:dyDescent="0.35">
      <c r="A79" s="33" t="s">
        <v>3</v>
      </c>
      <c r="B79" s="33"/>
      <c r="C79" s="33"/>
      <c r="D79" s="33"/>
      <c r="E79" s="33"/>
      <c r="F79" s="33"/>
      <c r="G79" s="520" t="s">
        <v>5</v>
      </c>
      <c r="H79" s="291"/>
      <c r="I79" s="533" t="s">
        <v>6</v>
      </c>
      <c r="J79" s="33" t="s">
        <v>3</v>
      </c>
    </row>
    <row r="80" spans="1:10" x14ac:dyDescent="0.35">
      <c r="G80" s="33"/>
      <c r="H80" s="33"/>
      <c r="I80" s="45"/>
      <c r="J80" s="33"/>
    </row>
    <row r="81" spans="1:13" ht="17.5" x14ac:dyDescent="0.35">
      <c r="A81" s="33">
        <v>1</v>
      </c>
      <c r="B81" s="38" t="s">
        <v>356</v>
      </c>
      <c r="E81" s="291"/>
      <c r="F81" s="291"/>
      <c r="G81" s="119"/>
      <c r="H81" s="119"/>
      <c r="I81" s="45"/>
      <c r="J81" s="33">
        <v>1</v>
      </c>
    </row>
    <row r="82" spans="1:13" x14ac:dyDescent="0.35">
      <c r="A82" s="33">
        <f>A81+1</f>
        <v>2</v>
      </c>
      <c r="B82" s="120"/>
      <c r="E82" s="291"/>
      <c r="F82" s="291"/>
      <c r="G82" s="119"/>
      <c r="H82" s="119"/>
      <c r="I82" s="45"/>
      <c r="J82" s="33">
        <f>J81+1</f>
        <v>2</v>
      </c>
    </row>
    <row r="83" spans="1:13" x14ac:dyDescent="0.35">
      <c r="A83" s="33">
        <f>A82+1</f>
        <v>3</v>
      </c>
      <c r="B83" s="38" t="s">
        <v>357</v>
      </c>
      <c r="E83" s="291"/>
      <c r="F83" s="291"/>
      <c r="G83" s="119"/>
      <c r="H83" s="119"/>
      <c r="I83" s="45"/>
      <c r="J83" s="33">
        <f>J82+1</f>
        <v>3</v>
      </c>
    </row>
    <row r="84" spans="1:13" x14ac:dyDescent="0.35">
      <c r="A84" s="33">
        <f>A83+1</f>
        <v>4</v>
      </c>
      <c r="B84" s="291"/>
      <c r="C84" s="291"/>
      <c r="D84" s="291"/>
      <c r="E84" s="291"/>
      <c r="F84" s="291"/>
      <c r="G84" s="119"/>
      <c r="H84" s="119"/>
      <c r="I84" s="45"/>
      <c r="J84" s="33">
        <f>J83+1</f>
        <v>4</v>
      </c>
    </row>
    <row r="85" spans="1:13" x14ac:dyDescent="0.35">
      <c r="A85" s="33">
        <f t="shared" ref="A85:A111" si="2">A84+1</f>
        <v>5</v>
      </c>
      <c r="B85" s="40" t="s">
        <v>358</v>
      </c>
      <c r="C85" s="291"/>
      <c r="D85" s="291"/>
      <c r="E85" s="291"/>
      <c r="F85" s="291"/>
      <c r="G85" s="119"/>
      <c r="H85" s="119"/>
      <c r="I85" s="121"/>
      <c r="J85" s="33">
        <f t="shared" ref="J85:J111" si="3">J84+1</f>
        <v>5</v>
      </c>
    </row>
    <row r="86" spans="1:13" x14ac:dyDescent="0.35">
      <c r="A86" s="33">
        <f t="shared" si="2"/>
        <v>6</v>
      </c>
      <c r="B86" s="34" t="s">
        <v>359</v>
      </c>
      <c r="D86" s="291"/>
      <c r="E86" s="291"/>
      <c r="F86" s="291"/>
      <c r="G86" s="122">
        <f>G53</f>
        <v>5.9716386045165923E-2</v>
      </c>
      <c r="H86" s="291"/>
      <c r="I86" s="45" t="s">
        <v>360</v>
      </c>
      <c r="J86" s="33">
        <f t="shared" si="3"/>
        <v>6</v>
      </c>
      <c r="L86" s="33"/>
    </row>
    <row r="87" spans="1:13" x14ac:dyDescent="0.35">
      <c r="A87" s="33">
        <f t="shared" si="2"/>
        <v>7</v>
      </c>
      <c r="B87" s="34" t="s">
        <v>361</v>
      </c>
      <c r="D87" s="291"/>
      <c r="E87" s="291"/>
      <c r="F87" s="291"/>
      <c r="G87" s="123">
        <v>264.76299999999998</v>
      </c>
      <c r="H87" s="291"/>
      <c r="I87" s="45" t="s">
        <v>362</v>
      </c>
      <c r="J87" s="33">
        <f t="shared" si="3"/>
        <v>7</v>
      </c>
      <c r="L87" s="33"/>
    </row>
    <row r="88" spans="1:13" ht="18" x14ac:dyDescent="0.35">
      <c r="A88" s="33">
        <f t="shared" si="2"/>
        <v>8</v>
      </c>
      <c r="B88" s="34" t="s">
        <v>363</v>
      </c>
      <c r="D88" s="291"/>
      <c r="E88" s="291"/>
      <c r="F88" s="291"/>
      <c r="G88" s="124">
        <v>9230.8399599999993</v>
      </c>
      <c r="H88" s="291"/>
      <c r="I88" s="117" t="s">
        <v>537</v>
      </c>
      <c r="J88" s="33">
        <f t="shared" si="3"/>
        <v>8</v>
      </c>
      <c r="L88" s="291"/>
    </row>
    <row r="89" spans="1:13" x14ac:dyDescent="0.35">
      <c r="A89" s="33">
        <f t="shared" si="2"/>
        <v>9</v>
      </c>
      <c r="B89" s="34" t="s">
        <v>364</v>
      </c>
      <c r="D89" s="291"/>
      <c r="E89" s="125"/>
      <c r="F89" s="291"/>
      <c r="G89" s="126">
        <v>4791987.7553300774</v>
      </c>
      <c r="H89" s="23" t="s">
        <v>24</v>
      </c>
      <c r="I89" s="117" t="s">
        <v>681</v>
      </c>
      <c r="J89" s="33">
        <f t="shared" si="3"/>
        <v>9</v>
      </c>
      <c r="K89" s="47"/>
    </row>
    <row r="90" spans="1:13" x14ac:dyDescent="0.35">
      <c r="A90" s="33">
        <f t="shared" si="2"/>
        <v>10</v>
      </c>
      <c r="B90" s="34" t="s">
        <v>365</v>
      </c>
      <c r="D90" s="127"/>
      <c r="E90" s="291"/>
      <c r="F90" s="291"/>
      <c r="G90" s="538">
        <v>0.21</v>
      </c>
      <c r="H90" s="291"/>
      <c r="I90" s="45" t="s">
        <v>366</v>
      </c>
      <c r="J90" s="33">
        <f t="shared" si="3"/>
        <v>10</v>
      </c>
      <c r="M90" s="128"/>
    </row>
    <row r="91" spans="1:13" x14ac:dyDescent="0.35">
      <c r="A91" s="33">
        <f t="shared" si="2"/>
        <v>11</v>
      </c>
      <c r="G91" s="33"/>
      <c r="H91" s="33"/>
      <c r="J91" s="33">
        <f t="shared" si="3"/>
        <v>11</v>
      </c>
    </row>
    <row r="92" spans="1:13" x14ac:dyDescent="0.35">
      <c r="A92" s="33">
        <f t="shared" si="2"/>
        <v>12</v>
      </c>
      <c r="B92" s="34" t="s">
        <v>367</v>
      </c>
      <c r="D92" s="291"/>
      <c r="E92" s="291"/>
      <c r="F92" s="291"/>
      <c r="G92" s="129">
        <f>(((G86)+(G88/G89))*G90-(G87/G89))/(1-G90)</f>
        <v>1.6316094142481051E-2</v>
      </c>
      <c r="H92" s="129"/>
      <c r="I92" s="45" t="s">
        <v>368</v>
      </c>
      <c r="J92" s="33">
        <f t="shared" si="3"/>
        <v>12</v>
      </c>
      <c r="M92" s="130"/>
    </row>
    <row r="93" spans="1:13" x14ac:dyDescent="0.35">
      <c r="A93" s="33">
        <f t="shared" si="2"/>
        <v>13</v>
      </c>
      <c r="B93" s="131" t="s">
        <v>369</v>
      </c>
      <c r="G93" s="33"/>
      <c r="H93" s="33"/>
      <c r="J93" s="33">
        <f t="shared" si="3"/>
        <v>13</v>
      </c>
    </row>
    <row r="94" spans="1:13" x14ac:dyDescent="0.35">
      <c r="A94" s="33">
        <f t="shared" si="2"/>
        <v>14</v>
      </c>
      <c r="G94" s="33"/>
      <c r="H94" s="33"/>
      <c r="J94" s="33">
        <f t="shared" si="3"/>
        <v>14</v>
      </c>
    </row>
    <row r="95" spans="1:13" x14ac:dyDescent="0.35">
      <c r="A95" s="33">
        <f t="shared" si="2"/>
        <v>15</v>
      </c>
      <c r="B95" s="38" t="s">
        <v>370</v>
      </c>
      <c r="C95" s="291"/>
      <c r="D95" s="291"/>
      <c r="E95" s="291"/>
      <c r="F95" s="291"/>
      <c r="G95" s="132"/>
      <c r="H95" s="132"/>
      <c r="I95" s="133"/>
      <c r="J95" s="33">
        <f t="shared" si="3"/>
        <v>15</v>
      </c>
      <c r="L95" s="134"/>
    </row>
    <row r="96" spans="1:13" x14ac:dyDescent="0.35">
      <c r="A96" s="33">
        <f t="shared" si="2"/>
        <v>16</v>
      </c>
      <c r="B96" s="50"/>
      <c r="C96" s="291"/>
      <c r="D96" s="291"/>
      <c r="E96" s="291"/>
      <c r="F96" s="291"/>
      <c r="G96" s="132"/>
      <c r="H96" s="132"/>
      <c r="I96" s="135"/>
      <c r="J96" s="33">
        <f t="shared" si="3"/>
        <v>16</v>
      </c>
      <c r="L96" s="291"/>
    </row>
    <row r="97" spans="1:13" x14ac:dyDescent="0.35">
      <c r="A97" s="33">
        <f t="shared" si="2"/>
        <v>17</v>
      </c>
      <c r="B97" s="40" t="s">
        <v>358</v>
      </c>
      <c r="C97" s="291"/>
      <c r="D97" s="291"/>
      <c r="E97" s="291"/>
      <c r="F97" s="291"/>
      <c r="G97" s="132"/>
      <c r="H97" s="132"/>
      <c r="I97" s="135"/>
      <c r="J97" s="33">
        <f t="shared" si="3"/>
        <v>17</v>
      </c>
      <c r="L97" s="291"/>
    </row>
    <row r="98" spans="1:13" x14ac:dyDescent="0.35">
      <c r="A98" s="33">
        <f t="shared" si="2"/>
        <v>18</v>
      </c>
      <c r="B98" s="34" t="s">
        <v>359</v>
      </c>
      <c r="D98" s="291"/>
      <c r="E98" s="291"/>
      <c r="F98" s="291"/>
      <c r="G98" s="108">
        <f>G86</f>
        <v>5.9716386045165923E-2</v>
      </c>
      <c r="H98" s="108"/>
      <c r="I98" s="45" t="s">
        <v>538</v>
      </c>
      <c r="J98" s="33">
        <f t="shared" si="3"/>
        <v>18</v>
      </c>
      <c r="L98" s="33"/>
    </row>
    <row r="99" spans="1:13" x14ac:dyDescent="0.35">
      <c r="A99" s="33">
        <f t="shared" si="2"/>
        <v>19</v>
      </c>
      <c r="B99" s="34" t="s">
        <v>371</v>
      </c>
      <c r="D99" s="291"/>
      <c r="E99" s="291"/>
      <c r="F99" s="291"/>
      <c r="G99" s="136">
        <f>G88</f>
        <v>9230.8399599999993</v>
      </c>
      <c r="H99" s="136"/>
      <c r="I99" s="45" t="s">
        <v>539</v>
      </c>
      <c r="J99" s="33">
        <f t="shared" si="3"/>
        <v>19</v>
      </c>
      <c r="L99" s="33"/>
    </row>
    <row r="100" spans="1:13" x14ac:dyDescent="0.35">
      <c r="A100" s="33">
        <f t="shared" si="2"/>
        <v>20</v>
      </c>
      <c r="B100" s="34" t="s">
        <v>372</v>
      </c>
      <c r="D100" s="291"/>
      <c r="E100" s="291"/>
      <c r="F100" s="291"/>
      <c r="G100" s="137">
        <f>G89</f>
        <v>4791987.7553300774</v>
      </c>
      <c r="H100" s="23" t="s">
        <v>24</v>
      </c>
      <c r="I100" s="45" t="s">
        <v>540</v>
      </c>
      <c r="J100" s="33">
        <f t="shared" si="3"/>
        <v>20</v>
      </c>
      <c r="L100" s="33"/>
    </row>
    <row r="101" spans="1:13" x14ac:dyDescent="0.35">
      <c r="A101" s="33">
        <f t="shared" si="2"/>
        <v>21</v>
      </c>
      <c r="B101" s="34" t="s">
        <v>373</v>
      </c>
      <c r="D101" s="291"/>
      <c r="E101" s="291"/>
      <c r="F101" s="291"/>
      <c r="G101" s="138">
        <f>G92</f>
        <v>1.6316094142481051E-2</v>
      </c>
      <c r="H101" s="138"/>
      <c r="I101" s="45" t="s">
        <v>541</v>
      </c>
      <c r="J101" s="33">
        <f t="shared" si="3"/>
        <v>21</v>
      </c>
    </row>
    <row r="102" spans="1:13" x14ac:dyDescent="0.35">
      <c r="A102" s="33">
        <f t="shared" si="2"/>
        <v>22</v>
      </c>
      <c r="B102" s="34" t="s">
        <v>374</v>
      </c>
      <c r="D102" s="291"/>
      <c r="E102" s="291"/>
      <c r="F102" s="291"/>
      <c r="G102" s="539">
        <v>8.8400000000000006E-2</v>
      </c>
      <c r="H102" s="291"/>
      <c r="I102" s="45" t="s">
        <v>375</v>
      </c>
      <c r="J102" s="33">
        <f t="shared" si="3"/>
        <v>22</v>
      </c>
    </row>
    <row r="103" spans="1:13" x14ac:dyDescent="0.35">
      <c r="A103" s="33">
        <f t="shared" si="2"/>
        <v>23</v>
      </c>
      <c r="B103" s="470"/>
      <c r="D103" s="291"/>
      <c r="E103" s="291"/>
      <c r="F103" s="291"/>
      <c r="G103" s="139"/>
      <c r="H103" s="139"/>
      <c r="I103" s="135"/>
      <c r="J103" s="33">
        <f t="shared" si="3"/>
        <v>23</v>
      </c>
    </row>
    <row r="104" spans="1:13" x14ac:dyDescent="0.35">
      <c r="A104" s="33">
        <f t="shared" si="2"/>
        <v>24</v>
      </c>
      <c r="B104" s="34" t="s">
        <v>376</v>
      </c>
      <c r="C104" s="33"/>
      <c r="D104" s="33"/>
      <c r="E104" s="291"/>
      <c r="F104" s="291"/>
      <c r="G104" s="543">
        <f>((G98)+(G99/G100)+G92)*G102/(1-G102)</f>
        <v>7.5598472957680955E-3</v>
      </c>
      <c r="H104" s="140"/>
      <c r="I104" s="45" t="s">
        <v>377</v>
      </c>
      <c r="J104" s="33">
        <f t="shared" si="3"/>
        <v>24</v>
      </c>
    </row>
    <row r="105" spans="1:13" x14ac:dyDescent="0.35">
      <c r="A105" s="33">
        <f t="shared" si="2"/>
        <v>25</v>
      </c>
      <c r="B105" s="131" t="s">
        <v>378</v>
      </c>
      <c r="G105" s="33"/>
      <c r="H105" s="33"/>
      <c r="I105" s="45"/>
      <c r="J105" s="33">
        <f t="shared" si="3"/>
        <v>25</v>
      </c>
      <c r="L105" s="33"/>
    </row>
    <row r="106" spans="1:13" x14ac:dyDescent="0.35">
      <c r="A106" s="33">
        <f t="shared" si="2"/>
        <v>26</v>
      </c>
      <c r="G106" s="33"/>
      <c r="H106" s="33"/>
      <c r="I106" s="45"/>
      <c r="J106" s="33">
        <f t="shared" si="3"/>
        <v>26</v>
      </c>
      <c r="L106" s="33"/>
    </row>
    <row r="107" spans="1:13" x14ac:dyDescent="0.35">
      <c r="A107" s="33">
        <f t="shared" si="2"/>
        <v>27</v>
      </c>
      <c r="B107" s="38" t="s">
        <v>379</v>
      </c>
      <c r="G107" s="129">
        <f>G104+G92</f>
        <v>2.3875941438249147E-2</v>
      </c>
      <c r="H107" s="129"/>
      <c r="I107" s="45" t="s">
        <v>542</v>
      </c>
      <c r="J107" s="33">
        <f t="shared" si="3"/>
        <v>27</v>
      </c>
      <c r="L107" s="33"/>
    </row>
    <row r="108" spans="1:13" x14ac:dyDescent="0.35">
      <c r="A108" s="33">
        <f t="shared" si="2"/>
        <v>28</v>
      </c>
      <c r="G108" s="33"/>
      <c r="H108" s="33"/>
      <c r="I108" s="45"/>
      <c r="J108" s="33">
        <f t="shared" si="3"/>
        <v>28</v>
      </c>
      <c r="L108" s="33"/>
    </row>
    <row r="109" spans="1:13" x14ac:dyDescent="0.35">
      <c r="A109" s="33">
        <f t="shared" si="2"/>
        <v>29</v>
      </c>
      <c r="B109" s="38" t="s">
        <v>380</v>
      </c>
      <c r="G109" s="540">
        <f>G51</f>
        <v>7.6315463363733599E-2</v>
      </c>
      <c r="H109" s="291"/>
      <c r="I109" s="45" t="s">
        <v>543</v>
      </c>
      <c r="J109" s="33">
        <f t="shared" si="3"/>
        <v>29</v>
      </c>
      <c r="L109" s="33"/>
    </row>
    <row r="110" spans="1:13" x14ac:dyDescent="0.35">
      <c r="A110" s="33">
        <f t="shared" si="2"/>
        <v>30</v>
      </c>
      <c r="G110" s="108"/>
      <c r="H110" s="108"/>
      <c r="I110" s="45"/>
      <c r="J110" s="33">
        <f t="shared" si="3"/>
        <v>30</v>
      </c>
      <c r="L110" s="33"/>
    </row>
    <row r="111" spans="1:13" ht="18" thickBot="1" x14ac:dyDescent="0.4">
      <c r="A111" s="33">
        <f t="shared" si="2"/>
        <v>31</v>
      </c>
      <c r="B111" s="38" t="s">
        <v>381</v>
      </c>
      <c r="G111" s="141">
        <f>G107+G109</f>
        <v>0.10019140480198274</v>
      </c>
      <c r="H111" s="140"/>
      <c r="I111" s="45" t="s">
        <v>544</v>
      </c>
      <c r="J111" s="33">
        <f t="shared" si="3"/>
        <v>31</v>
      </c>
      <c r="L111" s="142"/>
      <c r="M111" s="130"/>
    </row>
    <row r="112" spans="1:13" ht="16" thickTop="1" x14ac:dyDescent="0.35">
      <c r="B112" s="38"/>
      <c r="G112" s="144"/>
      <c r="H112" s="144"/>
      <c r="I112" s="45"/>
      <c r="J112" s="33"/>
      <c r="L112" s="142"/>
      <c r="M112" s="130"/>
    </row>
    <row r="113" spans="1:13" x14ac:dyDescent="0.35">
      <c r="B113" s="38"/>
      <c r="G113" s="144"/>
      <c r="H113" s="144"/>
      <c r="I113" s="45"/>
      <c r="J113" s="33"/>
      <c r="L113" s="142"/>
      <c r="M113" s="130"/>
    </row>
    <row r="114" spans="1:13" x14ac:dyDescent="0.35">
      <c r="A114" s="23" t="s">
        <v>24</v>
      </c>
      <c r="B114" s="21" t="s">
        <v>649</v>
      </c>
      <c r="G114" s="144"/>
      <c r="H114" s="144"/>
      <c r="I114" s="45"/>
      <c r="J114" s="33"/>
      <c r="L114" s="142"/>
      <c r="M114" s="130"/>
    </row>
    <row r="115" spans="1:13" ht="18.5" x14ac:dyDescent="0.35">
      <c r="A115" s="287">
        <v>1</v>
      </c>
      <c r="B115" s="17" t="s">
        <v>382</v>
      </c>
      <c r="G115" s="144"/>
      <c r="H115" s="144"/>
      <c r="I115" s="45"/>
      <c r="J115" s="33"/>
      <c r="L115" s="142"/>
      <c r="M115" s="130"/>
    </row>
    <row r="116" spans="1:13" ht="18.5" x14ac:dyDescent="0.35">
      <c r="A116" s="287"/>
      <c r="B116" s="17"/>
      <c r="G116" s="144"/>
      <c r="H116" s="144"/>
      <c r="I116" s="45"/>
      <c r="J116" s="33"/>
      <c r="L116" s="142"/>
      <c r="M116" s="130"/>
    </row>
    <row r="117" spans="1:13" x14ac:dyDescent="0.35">
      <c r="A117" s="145"/>
      <c r="B117" s="470"/>
      <c r="C117" s="35"/>
      <c r="D117" s="35"/>
      <c r="E117" s="35"/>
      <c r="F117" s="35"/>
      <c r="G117" s="146"/>
      <c r="H117" s="146"/>
      <c r="I117" s="288"/>
      <c r="J117" s="33"/>
    </row>
    <row r="118" spans="1:13" x14ac:dyDescent="0.35">
      <c r="B118" s="812" t="s">
        <v>14</v>
      </c>
      <c r="C118" s="812"/>
      <c r="D118" s="812"/>
      <c r="E118" s="812"/>
      <c r="F118" s="812"/>
      <c r="G118" s="812"/>
      <c r="H118" s="812"/>
      <c r="I118" s="812"/>
    </row>
    <row r="119" spans="1:13" x14ac:dyDescent="0.35">
      <c r="B119" s="812" t="s">
        <v>308</v>
      </c>
      <c r="C119" s="812"/>
      <c r="D119" s="812"/>
      <c r="E119" s="812"/>
      <c r="F119" s="812"/>
      <c r="G119" s="812"/>
      <c r="H119" s="812"/>
      <c r="I119" s="812"/>
    </row>
    <row r="120" spans="1:13" x14ac:dyDescent="0.35">
      <c r="B120" s="812" t="s">
        <v>309</v>
      </c>
      <c r="C120" s="812"/>
      <c r="D120" s="812"/>
      <c r="E120" s="812"/>
      <c r="F120" s="812"/>
      <c r="G120" s="812"/>
      <c r="H120" s="812"/>
      <c r="I120" s="812"/>
    </row>
    <row r="121" spans="1:13" x14ac:dyDescent="0.35">
      <c r="B121" s="815" t="str">
        <f>B6</f>
        <v>Base Period &amp; True-Up Period 12 - Months Ending December 31, 2021</v>
      </c>
      <c r="C121" s="815"/>
      <c r="D121" s="815"/>
      <c r="E121" s="815"/>
      <c r="F121" s="815"/>
      <c r="G121" s="815"/>
      <c r="H121" s="815"/>
      <c r="I121" s="815"/>
    </row>
    <row r="122" spans="1:13" x14ac:dyDescent="0.35">
      <c r="B122" s="814" t="s">
        <v>1</v>
      </c>
      <c r="C122" s="816"/>
      <c r="D122" s="816"/>
      <c r="E122" s="816"/>
      <c r="F122" s="816"/>
      <c r="G122" s="816"/>
      <c r="H122" s="816"/>
      <c r="I122" s="816"/>
    </row>
    <row r="124" spans="1:13" x14ac:dyDescent="0.35">
      <c r="A124" s="33" t="s">
        <v>2</v>
      </c>
      <c r="B124" s="291"/>
      <c r="C124" s="291"/>
      <c r="D124" s="291"/>
      <c r="E124" s="291"/>
      <c r="F124" s="291"/>
      <c r="G124" s="291"/>
      <c r="H124" s="291"/>
      <c r="I124" s="45"/>
      <c r="J124" s="33" t="s">
        <v>2</v>
      </c>
    </row>
    <row r="125" spans="1:13" x14ac:dyDescent="0.35">
      <c r="A125" s="33" t="s">
        <v>3</v>
      </c>
      <c r="B125" s="33"/>
      <c r="C125" s="33"/>
      <c r="D125" s="33"/>
      <c r="E125" s="33"/>
      <c r="F125" s="33"/>
      <c r="G125" s="520" t="s">
        <v>5</v>
      </c>
      <c r="H125" s="291"/>
      <c r="I125" s="533" t="s">
        <v>6</v>
      </c>
      <c r="J125" s="33" t="s">
        <v>3</v>
      </c>
    </row>
    <row r="127" spans="1:13" ht="17.5" x14ac:dyDescent="0.35">
      <c r="A127" s="33">
        <v>1</v>
      </c>
      <c r="B127" s="38" t="s">
        <v>383</v>
      </c>
      <c r="J127" s="33">
        <v>1</v>
      </c>
    </row>
    <row r="128" spans="1:13" x14ac:dyDescent="0.35">
      <c r="A128" s="33">
        <f>A127+1</f>
        <v>2</v>
      </c>
      <c r="B128" s="120"/>
      <c r="J128" s="33">
        <f>J127+1</f>
        <v>2</v>
      </c>
    </row>
    <row r="129" spans="1:10" x14ac:dyDescent="0.35">
      <c r="A129" s="33">
        <f>A128+1</f>
        <v>3</v>
      </c>
      <c r="B129" s="38" t="s">
        <v>357</v>
      </c>
      <c r="J129" s="33">
        <f>J128+1</f>
        <v>3</v>
      </c>
    </row>
    <row r="130" spans="1:10" x14ac:dyDescent="0.35">
      <c r="A130" s="33">
        <f>A129+1</f>
        <v>4</v>
      </c>
      <c r="B130" s="291"/>
      <c r="J130" s="33">
        <f>J129+1</f>
        <v>4</v>
      </c>
    </row>
    <row r="131" spans="1:10" x14ac:dyDescent="0.35">
      <c r="A131" s="33">
        <f t="shared" ref="A131:A157" si="4">A130+1</f>
        <v>5</v>
      </c>
      <c r="B131" s="40" t="s">
        <v>358</v>
      </c>
      <c r="J131" s="33">
        <f t="shared" ref="J131:J157" si="5">J130+1</f>
        <v>5</v>
      </c>
    </row>
    <row r="132" spans="1:10" x14ac:dyDescent="0.35">
      <c r="A132" s="33">
        <f t="shared" si="4"/>
        <v>6</v>
      </c>
      <c r="B132" s="34" t="str">
        <f>B86</f>
        <v xml:space="preserve">     A = Sum of Preferred Stock and Return on Equity Component</v>
      </c>
      <c r="G132" s="122">
        <f>G66</f>
        <v>0</v>
      </c>
      <c r="I132" s="45" t="s">
        <v>545</v>
      </c>
      <c r="J132" s="33">
        <f t="shared" si="5"/>
        <v>6</v>
      </c>
    </row>
    <row r="133" spans="1:10" x14ac:dyDescent="0.35">
      <c r="A133" s="33">
        <f t="shared" si="4"/>
        <v>7</v>
      </c>
      <c r="B133" s="34" t="str">
        <f>B87</f>
        <v xml:space="preserve">     B = Transmission Total Federal Tax Adjustments</v>
      </c>
      <c r="G133" s="143">
        <v>0</v>
      </c>
      <c r="I133" s="117" t="s">
        <v>222</v>
      </c>
      <c r="J133" s="33">
        <f t="shared" si="5"/>
        <v>7</v>
      </c>
    </row>
    <row r="134" spans="1:10" x14ac:dyDescent="0.35">
      <c r="A134" s="33">
        <f t="shared" si="4"/>
        <v>8</v>
      </c>
      <c r="B134" s="34" t="s">
        <v>384</v>
      </c>
      <c r="G134" s="289">
        <v>0</v>
      </c>
      <c r="I134" s="117" t="s">
        <v>222</v>
      </c>
      <c r="J134" s="33">
        <f t="shared" si="5"/>
        <v>8</v>
      </c>
    </row>
    <row r="135" spans="1:10" x14ac:dyDescent="0.35">
      <c r="A135" s="33">
        <f t="shared" si="4"/>
        <v>9</v>
      </c>
      <c r="B135" s="34" t="s">
        <v>385</v>
      </c>
      <c r="G135" s="289">
        <v>0</v>
      </c>
      <c r="I135" s="117" t="s">
        <v>222</v>
      </c>
      <c r="J135" s="33">
        <f t="shared" si="5"/>
        <v>9</v>
      </c>
    </row>
    <row r="136" spans="1:10" x14ac:dyDescent="0.35">
      <c r="A136" s="33">
        <f t="shared" si="4"/>
        <v>10</v>
      </c>
      <c r="B136" s="34" t="str">
        <f>B90</f>
        <v xml:space="preserve">     FT = Federal Income Tax Rate for Rate Effective Period</v>
      </c>
      <c r="G136" s="541">
        <f>G90</f>
        <v>0.21</v>
      </c>
      <c r="I136" s="45" t="s">
        <v>546</v>
      </c>
      <c r="J136" s="33">
        <f t="shared" si="5"/>
        <v>10</v>
      </c>
    </row>
    <row r="137" spans="1:10" x14ac:dyDescent="0.35">
      <c r="A137" s="33">
        <f t="shared" si="4"/>
        <v>11</v>
      </c>
      <c r="G137" s="33"/>
      <c r="J137" s="33">
        <f t="shared" si="5"/>
        <v>11</v>
      </c>
    </row>
    <row r="138" spans="1:10" x14ac:dyDescent="0.35">
      <c r="A138" s="33">
        <f t="shared" si="4"/>
        <v>12</v>
      </c>
      <c r="B138" s="34" t="s">
        <v>386</v>
      </c>
      <c r="G138" s="129">
        <f>IFERROR((((G132)+(G134/G135))*G136-(G133/G135))/(1-G136),0)</f>
        <v>0</v>
      </c>
      <c r="I138" s="45" t="s">
        <v>387</v>
      </c>
      <c r="J138" s="33">
        <f t="shared" si="5"/>
        <v>12</v>
      </c>
    </row>
    <row r="139" spans="1:10" x14ac:dyDescent="0.35">
      <c r="A139" s="33">
        <f t="shared" si="4"/>
        <v>13</v>
      </c>
      <c r="B139" s="131" t="s">
        <v>369</v>
      </c>
      <c r="G139" s="116"/>
      <c r="J139" s="33">
        <f t="shared" si="5"/>
        <v>13</v>
      </c>
    </row>
    <row r="140" spans="1:10" x14ac:dyDescent="0.35">
      <c r="A140" s="33">
        <f t="shared" si="4"/>
        <v>14</v>
      </c>
      <c r="G140" s="33"/>
      <c r="J140" s="33">
        <f t="shared" si="5"/>
        <v>14</v>
      </c>
    </row>
    <row r="141" spans="1:10" x14ac:dyDescent="0.35">
      <c r="A141" s="33">
        <f t="shared" si="4"/>
        <v>15</v>
      </c>
      <c r="B141" s="38" t="s">
        <v>370</v>
      </c>
      <c r="G141" s="132"/>
      <c r="I141" s="133"/>
      <c r="J141" s="33">
        <f t="shared" si="5"/>
        <v>15</v>
      </c>
    </row>
    <row r="142" spans="1:10" x14ac:dyDescent="0.35">
      <c r="A142" s="33">
        <f t="shared" si="4"/>
        <v>16</v>
      </c>
      <c r="B142" s="50"/>
      <c r="G142" s="132"/>
      <c r="I142" s="121"/>
      <c r="J142" s="33">
        <f t="shared" si="5"/>
        <v>16</v>
      </c>
    </row>
    <row r="143" spans="1:10" x14ac:dyDescent="0.35">
      <c r="A143" s="33">
        <f t="shared" si="4"/>
        <v>17</v>
      </c>
      <c r="B143" s="40" t="s">
        <v>358</v>
      </c>
      <c r="G143" s="132"/>
      <c r="I143" s="121"/>
      <c r="J143" s="33">
        <f t="shared" si="5"/>
        <v>17</v>
      </c>
    </row>
    <row r="144" spans="1:10" x14ac:dyDescent="0.35">
      <c r="A144" s="33">
        <f t="shared" si="4"/>
        <v>18</v>
      </c>
      <c r="B144" s="34" t="str">
        <f>B98</f>
        <v xml:space="preserve">     A = Sum of Preferred Stock and Return on Equity Component</v>
      </c>
      <c r="G144" s="108">
        <f>G132</f>
        <v>0</v>
      </c>
      <c r="I144" s="45" t="s">
        <v>538</v>
      </c>
      <c r="J144" s="33">
        <f t="shared" si="5"/>
        <v>18</v>
      </c>
    </row>
    <row r="145" spans="1:10" x14ac:dyDescent="0.35">
      <c r="A145" s="33">
        <f t="shared" si="4"/>
        <v>19</v>
      </c>
      <c r="B145" s="34" t="str">
        <f>B99</f>
        <v xml:space="preserve">     B = Equity AFUDC Component of Transmission Depreciation Expense</v>
      </c>
      <c r="G145" s="136">
        <f>G134</f>
        <v>0</v>
      </c>
      <c r="I145" s="45" t="s">
        <v>539</v>
      </c>
      <c r="J145" s="33">
        <f t="shared" si="5"/>
        <v>19</v>
      </c>
    </row>
    <row r="146" spans="1:10" x14ac:dyDescent="0.35">
      <c r="A146" s="33">
        <f t="shared" si="4"/>
        <v>20</v>
      </c>
      <c r="B146" s="34" t="s">
        <v>388</v>
      </c>
      <c r="G146" s="136">
        <f>G135</f>
        <v>0</v>
      </c>
      <c r="I146" s="45" t="s">
        <v>540</v>
      </c>
      <c r="J146" s="33">
        <f t="shared" si="5"/>
        <v>20</v>
      </c>
    </row>
    <row r="147" spans="1:10" x14ac:dyDescent="0.35">
      <c r="A147" s="33">
        <f t="shared" si="4"/>
        <v>21</v>
      </c>
      <c r="B147" s="34" t="str">
        <f>B101</f>
        <v xml:space="preserve">     FT = Federal Income Tax Expense</v>
      </c>
      <c r="G147" s="138">
        <f>G138</f>
        <v>0</v>
      </c>
      <c r="I147" s="45" t="s">
        <v>541</v>
      </c>
      <c r="J147" s="33">
        <f t="shared" si="5"/>
        <v>21</v>
      </c>
    </row>
    <row r="148" spans="1:10" x14ac:dyDescent="0.35">
      <c r="A148" s="33">
        <f t="shared" si="4"/>
        <v>22</v>
      </c>
      <c r="B148" s="34" t="str">
        <f>B102</f>
        <v xml:space="preserve">     ST = State Income Tax Rate for Rate Effective Period</v>
      </c>
      <c r="G148" s="542">
        <f>G102</f>
        <v>8.8400000000000006E-2</v>
      </c>
      <c r="I148" s="45" t="s">
        <v>547</v>
      </c>
      <c r="J148" s="33">
        <f t="shared" si="5"/>
        <v>22</v>
      </c>
    </row>
    <row r="149" spans="1:10" x14ac:dyDescent="0.35">
      <c r="A149" s="33">
        <f t="shared" si="4"/>
        <v>23</v>
      </c>
      <c r="B149" s="470"/>
      <c r="G149" s="139"/>
      <c r="I149" s="135"/>
      <c r="J149" s="33">
        <f t="shared" si="5"/>
        <v>23</v>
      </c>
    </row>
    <row r="150" spans="1:10" x14ac:dyDescent="0.35">
      <c r="A150" s="33">
        <f t="shared" si="4"/>
        <v>24</v>
      </c>
      <c r="B150" s="34" t="s">
        <v>376</v>
      </c>
      <c r="G150" s="543">
        <f>IFERROR(((G144)+(G145/G146)+G138)*G148/(1-G148),0)</f>
        <v>0</v>
      </c>
      <c r="I150" s="45" t="s">
        <v>377</v>
      </c>
      <c r="J150" s="33">
        <f t="shared" si="5"/>
        <v>24</v>
      </c>
    </row>
    <row r="151" spans="1:10" x14ac:dyDescent="0.35">
      <c r="A151" s="33">
        <f t="shared" si="4"/>
        <v>25</v>
      </c>
      <c r="B151" s="131" t="s">
        <v>378</v>
      </c>
      <c r="G151" s="33"/>
      <c r="I151" s="45"/>
      <c r="J151" s="33">
        <f t="shared" si="5"/>
        <v>25</v>
      </c>
    </row>
    <row r="152" spans="1:10" x14ac:dyDescent="0.35">
      <c r="A152" s="33">
        <f t="shared" si="4"/>
        <v>26</v>
      </c>
      <c r="G152" s="33"/>
      <c r="I152" s="45"/>
      <c r="J152" s="33">
        <f t="shared" si="5"/>
        <v>26</v>
      </c>
    </row>
    <row r="153" spans="1:10" x14ac:dyDescent="0.35">
      <c r="A153" s="33">
        <f t="shared" si="4"/>
        <v>27</v>
      </c>
      <c r="B153" s="38" t="s">
        <v>379</v>
      </c>
      <c r="G153" s="129">
        <f>G150+G138</f>
        <v>0</v>
      </c>
      <c r="I153" s="45" t="s">
        <v>542</v>
      </c>
      <c r="J153" s="33">
        <f t="shared" si="5"/>
        <v>27</v>
      </c>
    </row>
    <row r="154" spans="1:10" x14ac:dyDescent="0.35">
      <c r="A154" s="33">
        <f t="shared" si="4"/>
        <v>28</v>
      </c>
      <c r="G154" s="33"/>
      <c r="I154" s="45"/>
      <c r="J154" s="33">
        <f t="shared" si="5"/>
        <v>28</v>
      </c>
    </row>
    <row r="155" spans="1:10" x14ac:dyDescent="0.35">
      <c r="A155" s="33">
        <f t="shared" si="4"/>
        <v>29</v>
      </c>
      <c r="B155" s="38" t="s">
        <v>389</v>
      </c>
      <c r="G155" s="544">
        <f>G64</f>
        <v>0</v>
      </c>
      <c r="I155" s="45" t="s">
        <v>548</v>
      </c>
      <c r="J155" s="33">
        <f t="shared" si="5"/>
        <v>29</v>
      </c>
    </row>
    <row r="156" spans="1:10" x14ac:dyDescent="0.35">
      <c r="A156" s="33">
        <f t="shared" si="4"/>
        <v>30</v>
      </c>
      <c r="G156" s="33"/>
      <c r="I156" s="45"/>
      <c r="J156" s="33">
        <f t="shared" si="5"/>
        <v>30</v>
      </c>
    </row>
    <row r="157" spans="1:10" ht="18" thickBot="1" x14ac:dyDescent="0.4">
      <c r="A157" s="33">
        <f t="shared" si="4"/>
        <v>31</v>
      </c>
      <c r="B157" s="38" t="s">
        <v>390</v>
      </c>
      <c r="G157" s="147">
        <f>G153+G155</f>
        <v>0</v>
      </c>
      <c r="I157" s="45" t="s">
        <v>544</v>
      </c>
      <c r="J157" s="33">
        <f t="shared" si="5"/>
        <v>31</v>
      </c>
    </row>
    <row r="158" spans="1:10" ht="16" thickTop="1" x14ac:dyDescent="0.35"/>
    <row r="160" spans="1:10" ht="18" x14ac:dyDescent="0.35">
      <c r="A160" s="64"/>
      <c r="B160" s="17"/>
    </row>
  </sheetData>
  <mergeCells count="15">
    <mergeCell ref="B3:I3"/>
    <mergeCell ref="B4:I4"/>
    <mergeCell ref="B5:I5"/>
    <mergeCell ref="B6:I6"/>
    <mergeCell ref="B7:I7"/>
    <mergeCell ref="B120:I120"/>
    <mergeCell ref="B121:I121"/>
    <mergeCell ref="B122:I122"/>
    <mergeCell ref="B72:I72"/>
    <mergeCell ref="B73:I73"/>
    <mergeCell ref="B74:I74"/>
    <mergeCell ref="B76:I76"/>
    <mergeCell ref="B118:I118"/>
    <mergeCell ref="B119:I119"/>
    <mergeCell ref="B75:I75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 STMT AV WITH COST ADJ INCL. IN  APPENDIX XII CYCLE 6 (ER24-175)</oddHeader>
    <oddFooter>&amp;L&amp;F&amp;CPage 11.&amp;P&amp;R&amp;A</oddFooter>
  </headerFooter>
  <rowBreaks count="2" manualBreakCount="2">
    <brk id="70" max="16383" man="1"/>
    <brk id="11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CDC6-A107-467F-AB02-C75D09EFBA26}">
  <dimension ref="A1:H91"/>
  <sheetViews>
    <sheetView zoomScale="80" zoomScaleNormal="80" workbookViewId="0"/>
  </sheetViews>
  <sheetFormatPr defaultColWidth="8.54296875" defaultRowHeight="15.5" x14ac:dyDescent="0.35"/>
  <cols>
    <col min="1" max="1" width="5.1796875" style="410" customWidth="1"/>
    <col min="2" max="2" width="83" style="373" customWidth="1"/>
    <col min="3" max="3" width="18.1796875" style="373" customWidth="1"/>
    <col min="4" max="4" width="1.54296875" style="373" customWidth="1"/>
    <col min="5" max="5" width="38.54296875" style="373" customWidth="1"/>
    <col min="6" max="6" width="5.1796875" style="410" customWidth="1"/>
    <col min="7" max="16384" width="8.54296875" style="373"/>
  </cols>
  <sheetData>
    <row r="1" spans="1:8" x14ac:dyDescent="0.35">
      <c r="A1" s="154"/>
      <c r="B1" s="158"/>
      <c r="C1" s="372"/>
      <c r="D1" s="372"/>
      <c r="E1" s="157"/>
      <c r="F1" s="154"/>
    </row>
    <row r="2" spans="1:8" x14ac:dyDescent="0.35">
      <c r="A2" s="154"/>
      <c r="B2" s="805" t="s">
        <v>14</v>
      </c>
      <c r="C2" s="826"/>
      <c r="D2" s="826"/>
      <c r="E2" s="826"/>
      <c r="F2" s="154"/>
    </row>
    <row r="3" spans="1:8" x14ac:dyDescent="0.35">
      <c r="A3" s="154" t="s">
        <v>197</v>
      </c>
      <c r="B3" s="805" t="s">
        <v>391</v>
      </c>
      <c r="C3" s="826"/>
      <c r="D3" s="826"/>
      <c r="E3" s="826"/>
      <c r="F3" s="154" t="s">
        <v>197</v>
      </c>
    </row>
    <row r="4" spans="1:8" x14ac:dyDescent="0.35">
      <c r="A4" s="154"/>
      <c r="B4" s="823" t="s">
        <v>476</v>
      </c>
      <c r="C4" s="824"/>
      <c r="D4" s="824"/>
      <c r="E4" s="824"/>
      <c r="F4" s="154"/>
      <c r="H4" s="357"/>
    </row>
    <row r="5" spans="1:8" x14ac:dyDescent="0.35">
      <c r="A5" s="154"/>
      <c r="B5" s="825" t="s">
        <v>1</v>
      </c>
      <c r="C5" s="826"/>
      <c r="D5" s="826"/>
      <c r="E5" s="826"/>
      <c r="F5" s="154"/>
    </row>
    <row r="6" spans="1:8" x14ac:dyDescent="0.35">
      <c r="A6" s="154"/>
      <c r="B6" s="471"/>
      <c r="C6" s="158"/>
      <c r="D6" s="158"/>
      <c r="E6" s="158"/>
      <c r="F6" s="154"/>
    </row>
    <row r="7" spans="1:8" x14ac:dyDescent="0.35">
      <c r="A7" s="154" t="s">
        <v>2</v>
      </c>
      <c r="B7" s="158"/>
      <c r="C7" s="374"/>
      <c r="D7" s="374"/>
      <c r="E7" s="157"/>
      <c r="F7" s="154" t="s">
        <v>2</v>
      </c>
    </row>
    <row r="8" spans="1:8" x14ac:dyDescent="0.35">
      <c r="A8" s="154" t="s">
        <v>3</v>
      </c>
      <c r="B8" s="158" t="s">
        <v>197</v>
      </c>
      <c r="C8" s="545" t="s">
        <v>5</v>
      </c>
      <c r="D8" s="374"/>
      <c r="E8" s="546" t="s">
        <v>6</v>
      </c>
      <c r="F8" s="154" t="s">
        <v>3</v>
      </c>
    </row>
    <row r="9" spans="1:8" x14ac:dyDescent="0.35">
      <c r="A9" s="154"/>
      <c r="B9" s="260" t="s">
        <v>392</v>
      </c>
      <c r="C9" s="375"/>
      <c r="D9" s="374"/>
      <c r="E9" s="157"/>
      <c r="F9" s="154"/>
    </row>
    <row r="10" spans="1:8" x14ac:dyDescent="0.35">
      <c r="A10" s="154"/>
      <c r="B10" s="376"/>
      <c r="C10" s="375"/>
      <c r="D10" s="374"/>
      <c r="E10" s="157"/>
      <c r="F10" s="154"/>
    </row>
    <row r="11" spans="1:8" x14ac:dyDescent="0.35">
      <c r="A11" s="154">
        <v>1</v>
      </c>
      <c r="B11" s="260" t="s">
        <v>393</v>
      </c>
      <c r="C11" s="375"/>
      <c r="D11" s="375"/>
      <c r="E11" s="157"/>
      <c r="F11" s="154">
        <f>A11</f>
        <v>1</v>
      </c>
    </row>
    <row r="12" spans="1:8" x14ac:dyDescent="0.35">
      <c r="A12" s="154">
        <f>A11+1</f>
        <v>2</v>
      </c>
      <c r="B12" s="173" t="s">
        <v>394</v>
      </c>
      <c r="C12" s="377">
        <f>C78</f>
        <v>5572353.5701546166</v>
      </c>
      <c r="D12" s="23"/>
      <c r="E12" s="195" t="s">
        <v>395</v>
      </c>
      <c r="F12" s="154">
        <f>F11+1</f>
        <v>2</v>
      </c>
    </row>
    <row r="13" spans="1:8" x14ac:dyDescent="0.35">
      <c r="A13" s="154">
        <f t="shared" ref="A13:A48" si="0">A12+1</f>
        <v>3</v>
      </c>
      <c r="B13" s="173" t="s">
        <v>221</v>
      </c>
      <c r="C13" s="378">
        <f>C79</f>
        <v>2763.4676971519366</v>
      </c>
      <c r="D13" s="23"/>
      <c r="E13" s="195" t="s">
        <v>396</v>
      </c>
      <c r="F13" s="154">
        <f t="shared" ref="F13:F48" si="1">F12+1</f>
        <v>3</v>
      </c>
    </row>
    <row r="14" spans="1:8" x14ac:dyDescent="0.35">
      <c r="A14" s="154">
        <f t="shared" si="0"/>
        <v>4</v>
      </c>
      <c r="B14" s="173" t="s">
        <v>223</v>
      </c>
      <c r="C14" s="378">
        <f>C80</f>
        <v>32319.855416885912</v>
      </c>
      <c r="D14" s="23"/>
      <c r="E14" s="195" t="s">
        <v>397</v>
      </c>
      <c r="F14" s="154">
        <f t="shared" si="1"/>
        <v>4</v>
      </c>
    </row>
    <row r="15" spans="1:8" x14ac:dyDescent="0.35">
      <c r="A15" s="154">
        <f t="shared" si="0"/>
        <v>5</v>
      </c>
      <c r="B15" s="173" t="s">
        <v>398</v>
      </c>
      <c r="C15" s="547">
        <f>C81</f>
        <v>81059.121812139405</v>
      </c>
      <c r="D15" s="23"/>
      <c r="E15" s="195" t="s">
        <v>399</v>
      </c>
      <c r="F15" s="154">
        <f t="shared" si="1"/>
        <v>5</v>
      </c>
    </row>
    <row r="16" spans="1:8" x14ac:dyDescent="0.35">
      <c r="A16" s="154">
        <f t="shared" si="0"/>
        <v>6</v>
      </c>
      <c r="B16" s="173" t="s">
        <v>400</v>
      </c>
      <c r="C16" s="379">
        <f>SUM(C12:C15)</f>
        <v>5688496.0150807938</v>
      </c>
      <c r="D16" s="23"/>
      <c r="E16" s="195" t="s">
        <v>401</v>
      </c>
      <c r="F16" s="154">
        <f t="shared" si="1"/>
        <v>6</v>
      </c>
    </row>
    <row r="17" spans="1:8" x14ac:dyDescent="0.35">
      <c r="A17" s="154">
        <f t="shared" si="0"/>
        <v>7</v>
      </c>
      <c r="B17" s="221"/>
      <c r="C17" s="381"/>
      <c r="D17" s="382"/>
      <c r="E17" s="157"/>
      <c r="F17" s="154">
        <f t="shared" si="1"/>
        <v>7</v>
      </c>
    </row>
    <row r="18" spans="1:8" x14ac:dyDescent="0.35">
      <c r="A18" s="154">
        <f t="shared" si="0"/>
        <v>8</v>
      </c>
      <c r="B18" s="260" t="s">
        <v>402</v>
      </c>
      <c r="C18" s="381"/>
      <c r="D18" s="382"/>
      <c r="E18" s="157"/>
      <c r="F18" s="154">
        <f t="shared" si="1"/>
        <v>8</v>
      </c>
    </row>
    <row r="19" spans="1:8" x14ac:dyDescent="0.35">
      <c r="A19" s="154">
        <f t="shared" si="0"/>
        <v>9</v>
      </c>
      <c r="B19" s="173" t="s">
        <v>403</v>
      </c>
      <c r="C19" s="383">
        <v>0</v>
      </c>
      <c r="D19" s="374"/>
      <c r="E19" s="195" t="s">
        <v>404</v>
      </c>
      <c r="F19" s="154">
        <f t="shared" si="1"/>
        <v>9</v>
      </c>
    </row>
    <row r="20" spans="1:8" x14ac:dyDescent="0.35">
      <c r="A20" s="154">
        <f t="shared" si="0"/>
        <v>10</v>
      </c>
      <c r="B20" s="173" t="s">
        <v>405</v>
      </c>
      <c r="C20" s="384">
        <v>0</v>
      </c>
      <c r="D20" s="374"/>
      <c r="E20" s="195" t="s">
        <v>406</v>
      </c>
      <c r="F20" s="154">
        <f t="shared" si="1"/>
        <v>10</v>
      </c>
    </row>
    <row r="21" spans="1:8" x14ac:dyDescent="0.35">
      <c r="A21" s="154">
        <f t="shared" si="0"/>
        <v>11</v>
      </c>
      <c r="B21" s="173" t="s">
        <v>407</v>
      </c>
      <c r="C21" s="385">
        <f>C19+C20</f>
        <v>0</v>
      </c>
      <c r="D21" s="386"/>
      <c r="E21" s="195" t="s">
        <v>408</v>
      </c>
      <c r="F21" s="154">
        <f t="shared" si="1"/>
        <v>11</v>
      </c>
    </row>
    <row r="22" spans="1:8" x14ac:dyDescent="0.35">
      <c r="A22" s="154">
        <f t="shared" si="0"/>
        <v>12</v>
      </c>
      <c r="B22" s="173"/>
      <c r="C22" s="387"/>
      <c r="D22" s="372"/>
      <c r="E22" s="157"/>
      <c r="F22" s="154">
        <f t="shared" si="1"/>
        <v>12</v>
      </c>
    </row>
    <row r="23" spans="1:8" x14ac:dyDescent="0.35">
      <c r="A23" s="154">
        <f t="shared" si="0"/>
        <v>13</v>
      </c>
      <c r="B23" s="260" t="s">
        <v>409</v>
      </c>
      <c r="C23" s="381"/>
      <c r="D23" s="382"/>
      <c r="E23" s="157"/>
      <c r="F23" s="154">
        <f t="shared" si="1"/>
        <v>13</v>
      </c>
    </row>
    <row r="24" spans="1:8" x14ac:dyDescent="0.35">
      <c r="A24" s="154">
        <f t="shared" si="0"/>
        <v>14</v>
      </c>
      <c r="B24" s="221" t="s">
        <v>410</v>
      </c>
      <c r="C24" s="388">
        <v>-996605.21077340224</v>
      </c>
      <c r="D24" s="23"/>
      <c r="E24" s="195" t="s">
        <v>667</v>
      </c>
      <c r="F24" s="154">
        <f t="shared" si="1"/>
        <v>14</v>
      </c>
    </row>
    <row r="25" spans="1:8" x14ac:dyDescent="0.35">
      <c r="A25" s="154">
        <f t="shared" si="0"/>
        <v>15</v>
      </c>
      <c r="B25" s="221" t="s">
        <v>411</v>
      </c>
      <c r="C25" s="389">
        <v>0</v>
      </c>
      <c r="D25" s="374"/>
      <c r="E25" s="195" t="s">
        <v>412</v>
      </c>
      <c r="F25" s="154">
        <f t="shared" si="1"/>
        <v>15</v>
      </c>
    </row>
    <row r="26" spans="1:8" x14ac:dyDescent="0.35">
      <c r="A26" s="154">
        <f t="shared" si="0"/>
        <v>16</v>
      </c>
      <c r="B26" s="173" t="s">
        <v>413</v>
      </c>
      <c r="C26" s="379">
        <f>SUM(C24:C25)</f>
        <v>-996605.21077340224</v>
      </c>
      <c r="D26" s="23"/>
      <c r="E26" s="195" t="s">
        <v>414</v>
      </c>
      <c r="F26" s="154">
        <f t="shared" si="1"/>
        <v>16</v>
      </c>
    </row>
    <row r="27" spans="1:8" x14ac:dyDescent="0.35">
      <c r="A27" s="154">
        <f t="shared" si="0"/>
        <v>17</v>
      </c>
      <c r="B27" s="158"/>
      <c r="C27" s="408"/>
      <c r="D27" s="391"/>
      <c r="E27" s="157"/>
      <c r="F27" s="154">
        <f t="shared" si="1"/>
        <v>17</v>
      </c>
    </row>
    <row r="28" spans="1:8" x14ac:dyDescent="0.35">
      <c r="A28" s="154">
        <f t="shared" si="0"/>
        <v>18</v>
      </c>
      <c r="B28" s="260" t="s">
        <v>415</v>
      </c>
      <c r="C28" s="408"/>
      <c r="D28" s="391"/>
      <c r="E28" s="157"/>
      <c r="F28" s="154">
        <f t="shared" si="1"/>
        <v>18</v>
      </c>
    </row>
    <row r="29" spans="1:8" x14ac:dyDescent="0.35">
      <c r="A29" s="154">
        <f t="shared" si="0"/>
        <v>19</v>
      </c>
      <c r="B29" s="173" t="s">
        <v>416</v>
      </c>
      <c r="C29" s="377">
        <v>47442.662369609825</v>
      </c>
      <c r="D29" s="23"/>
      <c r="E29" s="195" t="s">
        <v>679</v>
      </c>
      <c r="F29" s="154">
        <f t="shared" si="1"/>
        <v>19</v>
      </c>
    </row>
    <row r="30" spans="1:8" x14ac:dyDescent="0.35">
      <c r="A30" s="154">
        <f t="shared" si="0"/>
        <v>20</v>
      </c>
      <c r="B30" s="173" t="s">
        <v>417</v>
      </c>
      <c r="C30" s="378">
        <v>40928.96333129039</v>
      </c>
      <c r="D30" s="23"/>
      <c r="E30" s="195" t="s">
        <v>680</v>
      </c>
      <c r="F30" s="154">
        <f t="shared" si="1"/>
        <v>20</v>
      </c>
    </row>
    <row r="31" spans="1:8" x14ac:dyDescent="0.35">
      <c r="A31" s="154">
        <f t="shared" si="0"/>
        <v>21</v>
      </c>
      <c r="B31" s="173" t="s">
        <v>418</v>
      </c>
      <c r="C31" s="548">
        <f>'Pg9 Rev Stmt AL '!E29</f>
        <v>11767.307329996353</v>
      </c>
      <c r="D31" s="23" t="s">
        <v>24</v>
      </c>
      <c r="E31" s="195" t="s">
        <v>624</v>
      </c>
      <c r="F31" s="154">
        <f t="shared" si="1"/>
        <v>21</v>
      </c>
      <c r="H31" s="660"/>
    </row>
    <row r="32" spans="1:8" x14ac:dyDescent="0.35">
      <c r="A32" s="154">
        <f t="shared" si="0"/>
        <v>22</v>
      </c>
      <c r="B32" s="173" t="s">
        <v>419</v>
      </c>
      <c r="C32" s="392">
        <f>SUM(C29:C31)</f>
        <v>100138.93303089657</v>
      </c>
      <c r="D32" s="23" t="s">
        <v>24</v>
      </c>
      <c r="E32" s="195" t="s">
        <v>420</v>
      </c>
      <c r="F32" s="154">
        <f t="shared" si="1"/>
        <v>22</v>
      </c>
    </row>
    <row r="33" spans="1:8" x14ac:dyDescent="0.35">
      <c r="A33" s="154">
        <f t="shared" si="0"/>
        <v>23</v>
      </c>
      <c r="B33" s="175"/>
      <c r="C33" s="393"/>
      <c r="D33" s="394"/>
      <c r="E33" s="157"/>
      <c r="F33" s="154">
        <f t="shared" si="1"/>
        <v>23</v>
      </c>
    </row>
    <row r="34" spans="1:8" x14ac:dyDescent="0.35">
      <c r="A34" s="154">
        <f t="shared" si="0"/>
        <v>24</v>
      </c>
      <c r="B34" s="173" t="s">
        <v>421</v>
      </c>
      <c r="C34" s="549">
        <v>0</v>
      </c>
      <c r="D34" s="374"/>
      <c r="E34" s="195" t="s">
        <v>422</v>
      </c>
      <c r="F34" s="154">
        <f t="shared" si="1"/>
        <v>24</v>
      </c>
    </row>
    <row r="35" spans="1:8" x14ac:dyDescent="0.35">
      <c r="A35" s="154">
        <f t="shared" si="0"/>
        <v>25</v>
      </c>
      <c r="B35" s="173"/>
      <c r="C35" s="393"/>
      <c r="D35" s="394"/>
      <c r="E35" s="157"/>
      <c r="F35" s="154">
        <f t="shared" si="1"/>
        <v>25</v>
      </c>
    </row>
    <row r="36" spans="1:8" ht="16" thickBot="1" x14ac:dyDescent="0.4">
      <c r="A36" s="154">
        <f t="shared" si="0"/>
        <v>26</v>
      </c>
      <c r="B36" s="173" t="s">
        <v>423</v>
      </c>
      <c r="C36" s="395">
        <f>C16+C21+C26+C32+C34</f>
        <v>4792029.7373382887</v>
      </c>
      <c r="D36" s="23" t="s">
        <v>24</v>
      </c>
      <c r="E36" s="195" t="s">
        <v>424</v>
      </c>
      <c r="F36" s="154">
        <f t="shared" si="1"/>
        <v>26</v>
      </c>
      <c r="H36" s="659"/>
    </row>
    <row r="37" spans="1:8" ht="16" thickTop="1" x14ac:dyDescent="0.35">
      <c r="A37" s="154">
        <f t="shared" si="0"/>
        <v>27</v>
      </c>
      <c r="B37" s="175"/>
      <c r="C37" s="396"/>
      <c r="D37" s="380"/>
      <c r="E37" s="157"/>
      <c r="F37" s="154">
        <f t="shared" si="1"/>
        <v>27</v>
      </c>
    </row>
    <row r="38" spans="1:8" x14ac:dyDescent="0.35">
      <c r="A38" s="154">
        <f t="shared" si="0"/>
        <v>28</v>
      </c>
      <c r="B38" s="260" t="s">
        <v>425</v>
      </c>
      <c r="C38" s="396"/>
      <c r="D38" s="380"/>
      <c r="E38" s="157"/>
      <c r="F38" s="154">
        <f t="shared" si="1"/>
        <v>28</v>
      </c>
    </row>
    <row r="39" spans="1:8" x14ac:dyDescent="0.35">
      <c r="A39" s="154">
        <f t="shared" si="0"/>
        <v>29</v>
      </c>
      <c r="B39" s="173" t="s">
        <v>426</v>
      </c>
      <c r="C39" s="397">
        <v>0</v>
      </c>
      <c r="D39" s="398"/>
      <c r="E39" s="195" t="s">
        <v>222</v>
      </c>
      <c r="F39" s="154">
        <f t="shared" si="1"/>
        <v>29</v>
      </c>
    </row>
    <row r="40" spans="1:8" x14ac:dyDescent="0.35">
      <c r="A40" s="154">
        <f t="shared" si="0"/>
        <v>30</v>
      </c>
      <c r="B40" s="173" t="s">
        <v>427</v>
      </c>
      <c r="C40" s="399">
        <v>0</v>
      </c>
      <c r="D40" s="374"/>
      <c r="E40" s="195" t="s">
        <v>222</v>
      </c>
      <c r="F40" s="154">
        <f t="shared" si="1"/>
        <v>30</v>
      </c>
    </row>
    <row r="41" spans="1:8" x14ac:dyDescent="0.35">
      <c r="A41" s="154">
        <f t="shared" si="0"/>
        <v>31</v>
      </c>
      <c r="B41" s="221" t="s">
        <v>428</v>
      </c>
      <c r="C41" s="392">
        <f>C39+C40</f>
        <v>0</v>
      </c>
      <c r="D41" s="380"/>
      <c r="E41" s="195" t="s">
        <v>429</v>
      </c>
      <c r="F41" s="154">
        <f t="shared" si="1"/>
        <v>31</v>
      </c>
    </row>
    <row r="42" spans="1:8" x14ac:dyDescent="0.35">
      <c r="A42" s="154">
        <f t="shared" si="0"/>
        <v>32</v>
      </c>
      <c r="B42" s="175"/>
      <c r="C42" s="396"/>
      <c r="D42" s="380"/>
      <c r="E42" s="157"/>
      <c r="F42" s="154">
        <f t="shared" si="1"/>
        <v>32</v>
      </c>
    </row>
    <row r="43" spans="1:8" x14ac:dyDescent="0.35">
      <c r="A43" s="154">
        <f t="shared" si="0"/>
        <v>33</v>
      </c>
      <c r="B43" s="260" t="s">
        <v>430</v>
      </c>
      <c r="C43" s="396"/>
      <c r="D43" s="380"/>
      <c r="E43" s="157"/>
      <c r="F43" s="154">
        <f t="shared" si="1"/>
        <v>33</v>
      </c>
    </row>
    <row r="44" spans="1:8" x14ac:dyDescent="0.35">
      <c r="A44" s="154">
        <f t="shared" si="0"/>
        <v>34</v>
      </c>
      <c r="B44" s="173" t="s">
        <v>431</v>
      </c>
      <c r="C44" s="397">
        <v>0</v>
      </c>
      <c r="D44" s="374"/>
      <c r="E44" s="195" t="s">
        <v>222</v>
      </c>
      <c r="F44" s="154">
        <f t="shared" si="1"/>
        <v>34</v>
      </c>
    </row>
    <row r="45" spans="1:8" x14ac:dyDescent="0.35">
      <c r="A45" s="154">
        <f t="shared" si="0"/>
        <v>35</v>
      </c>
      <c r="B45" s="221" t="s">
        <v>432</v>
      </c>
      <c r="C45" s="550">
        <v>0</v>
      </c>
      <c r="D45" s="374"/>
      <c r="E45" s="195" t="s">
        <v>222</v>
      </c>
      <c r="F45" s="154">
        <f t="shared" si="1"/>
        <v>35</v>
      </c>
    </row>
    <row r="46" spans="1:8" x14ac:dyDescent="0.35">
      <c r="A46" s="154">
        <f t="shared" si="0"/>
        <v>36</v>
      </c>
      <c r="B46" s="221" t="s">
        <v>433</v>
      </c>
      <c r="C46" s="392">
        <f>C44+C45</f>
        <v>0</v>
      </c>
      <c r="D46" s="380"/>
      <c r="E46" s="195" t="s">
        <v>434</v>
      </c>
      <c r="F46" s="154">
        <f t="shared" si="1"/>
        <v>36</v>
      </c>
    </row>
    <row r="47" spans="1:8" x14ac:dyDescent="0.35">
      <c r="A47" s="154">
        <f t="shared" si="0"/>
        <v>37</v>
      </c>
      <c r="B47" s="175"/>
      <c r="C47" s="396"/>
      <c r="D47" s="380"/>
      <c r="E47" s="157"/>
      <c r="F47" s="154">
        <f t="shared" si="1"/>
        <v>37</v>
      </c>
    </row>
    <row r="48" spans="1:8" ht="16" thickBot="1" x14ac:dyDescent="0.4">
      <c r="A48" s="154">
        <f t="shared" si="0"/>
        <v>38</v>
      </c>
      <c r="B48" s="260" t="s">
        <v>435</v>
      </c>
      <c r="C48" s="400">
        <v>0</v>
      </c>
      <c r="D48" s="374"/>
      <c r="E48" s="195" t="s">
        <v>222</v>
      </c>
      <c r="F48" s="154">
        <f t="shared" si="1"/>
        <v>38</v>
      </c>
    </row>
    <row r="49" spans="1:8" ht="16" thickTop="1" x14ac:dyDescent="0.35">
      <c r="A49" s="154"/>
      <c r="B49" s="175"/>
      <c r="C49" s="396"/>
      <c r="D49" s="380"/>
      <c r="E49" s="157"/>
      <c r="F49" s="154"/>
    </row>
    <row r="50" spans="1:8" x14ac:dyDescent="0.35">
      <c r="A50" s="154"/>
      <c r="B50" s="175"/>
      <c r="C50" s="396"/>
      <c r="D50" s="380"/>
      <c r="E50" s="157"/>
      <c r="F50" s="154"/>
    </row>
    <row r="51" spans="1:8" x14ac:dyDescent="0.35">
      <c r="A51" s="23" t="s">
        <v>24</v>
      </c>
      <c r="B51" s="21" t="str">
        <f>'Pg10 Rev Stmt AV'!B113</f>
        <v>Items in BOLD have changed to correct the over-allocation of "Duplicate Charges (Company Energy Use)" Credit in FERC Account no. 929.</v>
      </c>
      <c r="C51" s="396"/>
      <c r="D51" s="380"/>
      <c r="E51" s="157"/>
      <c r="F51" s="154"/>
    </row>
    <row r="52" spans="1:8" x14ac:dyDescent="0.35">
      <c r="A52" s="23"/>
      <c r="B52" s="175"/>
      <c r="C52" s="396"/>
      <c r="D52" s="380"/>
      <c r="E52" s="157"/>
      <c r="F52" s="154"/>
    </row>
    <row r="53" spans="1:8" x14ac:dyDescent="0.35">
      <c r="A53" s="154"/>
      <c r="B53" s="157"/>
      <c r="C53" s="158"/>
      <c r="D53" s="158"/>
      <c r="E53" s="158"/>
      <c r="F53" s="154"/>
    </row>
    <row r="54" spans="1:8" x14ac:dyDescent="0.35">
      <c r="A54" s="154"/>
      <c r="B54" s="805" t="str">
        <f>B2</f>
        <v>SAN DIEGO GAS &amp; ELECTRIC COMPANY</v>
      </c>
      <c r="C54" s="826"/>
      <c r="D54" s="826"/>
      <c r="E54" s="826"/>
      <c r="F54" s="154"/>
    </row>
    <row r="55" spans="1:8" x14ac:dyDescent="0.35">
      <c r="A55" s="154"/>
      <c r="B55" s="805" t="str">
        <f>B3</f>
        <v xml:space="preserve">Derivation of End Use Transmission Rate Base </v>
      </c>
      <c r="C55" s="826"/>
      <c r="D55" s="826"/>
      <c r="E55" s="826"/>
      <c r="F55" s="154"/>
    </row>
    <row r="56" spans="1:8" x14ac:dyDescent="0.35">
      <c r="A56" s="154"/>
      <c r="B56" s="823" t="str">
        <f>B4</f>
        <v>Base Period &amp; True-Up Period 12 - Months Ending December 31, 2021</v>
      </c>
      <c r="C56" s="824"/>
      <c r="D56" s="824"/>
      <c r="E56" s="824"/>
      <c r="F56" s="154"/>
    </row>
    <row r="57" spans="1:8" x14ac:dyDescent="0.35">
      <c r="A57" s="154"/>
      <c r="B57" s="825" t="s">
        <v>1</v>
      </c>
      <c r="C57" s="826"/>
      <c r="D57" s="826"/>
      <c r="E57" s="826"/>
      <c r="F57" s="154"/>
    </row>
    <row r="58" spans="1:8" x14ac:dyDescent="0.35">
      <c r="A58" s="154"/>
      <c r="B58" s="471"/>
      <c r="C58" s="158"/>
      <c r="D58" s="158"/>
      <c r="E58" s="158"/>
      <c r="F58" s="154"/>
    </row>
    <row r="59" spans="1:8" x14ac:dyDescent="0.35">
      <c r="A59" s="154" t="s">
        <v>2</v>
      </c>
      <c r="B59" s="471"/>
      <c r="C59" s="158"/>
      <c r="D59" s="158"/>
      <c r="E59" s="158"/>
      <c r="F59" s="154"/>
    </row>
    <row r="60" spans="1:8" x14ac:dyDescent="0.35">
      <c r="A60" s="154" t="s">
        <v>3</v>
      </c>
      <c r="B60" s="471"/>
      <c r="C60" s="158"/>
      <c r="D60" s="158"/>
      <c r="E60" s="158"/>
      <c r="F60" s="154"/>
    </row>
    <row r="61" spans="1:8" x14ac:dyDescent="0.35">
      <c r="A61" s="154"/>
      <c r="B61" s="260" t="s">
        <v>436</v>
      </c>
      <c r="C61" s="158"/>
      <c r="D61" s="158"/>
      <c r="E61" s="158"/>
      <c r="F61" s="154"/>
    </row>
    <row r="62" spans="1:8" x14ac:dyDescent="0.35">
      <c r="A62" s="154"/>
      <c r="B62" s="376"/>
      <c r="C62" s="374"/>
      <c r="D62" s="374"/>
      <c r="E62" s="157"/>
      <c r="F62" s="154"/>
    </row>
    <row r="63" spans="1:8" x14ac:dyDescent="0.35">
      <c r="A63" s="154">
        <v>1</v>
      </c>
      <c r="B63" s="260" t="s">
        <v>437</v>
      </c>
      <c r="C63" s="374"/>
      <c r="D63" s="374"/>
      <c r="E63" s="157"/>
      <c r="F63" s="154">
        <f t="shared" ref="F63:F87" si="2">A63</f>
        <v>1</v>
      </c>
    </row>
    <row r="64" spans="1:8" x14ac:dyDescent="0.35">
      <c r="A64" s="154">
        <v>2</v>
      </c>
      <c r="B64" s="173" t="s">
        <v>394</v>
      </c>
      <c r="C64" s="401">
        <v>7118163.5102730775</v>
      </c>
      <c r="D64" s="23"/>
      <c r="E64" s="195" t="s">
        <v>673</v>
      </c>
      <c r="F64" s="154">
        <f t="shared" si="2"/>
        <v>2</v>
      </c>
      <c r="G64" s="402"/>
      <c r="H64" s="403"/>
    </row>
    <row r="65" spans="1:8" x14ac:dyDescent="0.35">
      <c r="A65" s="154">
        <v>3</v>
      </c>
      <c r="B65" s="173" t="s">
        <v>438</v>
      </c>
      <c r="C65" s="404">
        <v>21036.071004135727</v>
      </c>
      <c r="D65" s="23"/>
      <c r="E65" s="195" t="s">
        <v>674</v>
      </c>
      <c r="F65" s="154">
        <f t="shared" si="2"/>
        <v>3</v>
      </c>
      <c r="G65" s="402"/>
      <c r="H65" s="403"/>
    </row>
    <row r="66" spans="1:8" x14ac:dyDescent="0.35">
      <c r="A66" s="154">
        <v>4</v>
      </c>
      <c r="B66" s="173" t="s">
        <v>223</v>
      </c>
      <c r="C66" s="404">
        <v>55216.642539430133</v>
      </c>
      <c r="D66" s="23"/>
      <c r="E66" s="195" t="s">
        <v>642</v>
      </c>
      <c r="F66" s="154">
        <f t="shared" si="2"/>
        <v>4</v>
      </c>
      <c r="G66" s="402"/>
      <c r="H66" s="405"/>
    </row>
    <row r="67" spans="1:8" x14ac:dyDescent="0.35">
      <c r="A67" s="154">
        <v>5</v>
      </c>
      <c r="B67" s="173" t="s">
        <v>398</v>
      </c>
      <c r="C67" s="551">
        <v>149891.84237701603</v>
      </c>
      <c r="D67" s="23"/>
      <c r="E67" s="195" t="s">
        <v>643</v>
      </c>
      <c r="F67" s="154">
        <f t="shared" si="2"/>
        <v>5</v>
      </c>
      <c r="G67" s="403"/>
      <c r="H67" s="403"/>
    </row>
    <row r="68" spans="1:8" x14ac:dyDescent="0.35">
      <c r="A68" s="154">
        <v>6</v>
      </c>
      <c r="B68" s="173" t="s">
        <v>439</v>
      </c>
      <c r="C68" s="379">
        <f>SUM(C64:C67)</f>
        <v>7344308.0661936598</v>
      </c>
      <c r="D68" s="23"/>
      <c r="E68" s="195" t="s">
        <v>401</v>
      </c>
      <c r="F68" s="154">
        <f t="shared" si="2"/>
        <v>6</v>
      </c>
      <c r="G68" s="402"/>
      <c r="H68" s="403"/>
    </row>
    <row r="69" spans="1:8" x14ac:dyDescent="0.35">
      <c r="A69" s="154">
        <v>7</v>
      </c>
      <c r="B69" s="221"/>
      <c r="C69" s="720"/>
      <c r="D69" s="374"/>
      <c r="E69" s="157"/>
      <c r="F69" s="154">
        <f t="shared" si="2"/>
        <v>7</v>
      </c>
      <c r="G69" s="403"/>
      <c r="H69" s="403"/>
    </row>
    <row r="70" spans="1:8" x14ac:dyDescent="0.35">
      <c r="A70" s="154">
        <v>8</v>
      </c>
      <c r="B70" s="259" t="s">
        <v>440</v>
      </c>
      <c r="C70" s="720"/>
      <c r="D70" s="374"/>
      <c r="E70" s="157"/>
      <c r="F70" s="154">
        <f t="shared" si="2"/>
        <v>8</v>
      </c>
      <c r="G70" s="403"/>
      <c r="H70" s="403"/>
    </row>
    <row r="71" spans="1:8" x14ac:dyDescent="0.35">
      <c r="A71" s="154">
        <v>9</v>
      </c>
      <c r="B71" s="221" t="s">
        <v>441</v>
      </c>
      <c r="C71" s="401">
        <v>1545809.9401184614</v>
      </c>
      <c r="D71" s="23"/>
      <c r="E71" s="195" t="s">
        <v>675</v>
      </c>
      <c r="F71" s="154">
        <f t="shared" si="2"/>
        <v>9</v>
      </c>
      <c r="G71" s="403"/>
      <c r="H71" s="403"/>
    </row>
    <row r="72" spans="1:8" x14ac:dyDescent="0.35">
      <c r="A72" s="154">
        <v>10</v>
      </c>
      <c r="B72" s="221" t="s">
        <v>442</v>
      </c>
      <c r="C72" s="404">
        <v>18272.60330698379</v>
      </c>
      <c r="D72" s="23"/>
      <c r="E72" s="195" t="s">
        <v>676</v>
      </c>
      <c r="F72" s="154">
        <f t="shared" si="2"/>
        <v>10</v>
      </c>
      <c r="G72" s="403"/>
      <c r="H72" s="403"/>
    </row>
    <row r="73" spans="1:8" x14ac:dyDescent="0.35">
      <c r="A73" s="154">
        <v>11</v>
      </c>
      <c r="B73" s="221" t="s">
        <v>443</v>
      </c>
      <c r="C73" s="404">
        <v>22896.787122544221</v>
      </c>
      <c r="D73" s="23"/>
      <c r="E73" s="195" t="s">
        <v>677</v>
      </c>
      <c r="F73" s="154">
        <f t="shared" si="2"/>
        <v>11</v>
      </c>
      <c r="G73" s="403"/>
      <c r="H73" s="403"/>
    </row>
    <row r="74" spans="1:8" x14ac:dyDescent="0.35">
      <c r="A74" s="154">
        <v>12</v>
      </c>
      <c r="B74" s="221" t="s">
        <v>444</v>
      </c>
      <c r="C74" s="551">
        <v>68832.720564876625</v>
      </c>
      <c r="D74" s="23"/>
      <c r="E74" s="195" t="s">
        <v>678</v>
      </c>
      <c r="F74" s="154">
        <f t="shared" si="2"/>
        <v>12</v>
      </c>
      <c r="G74" s="403"/>
      <c r="H74" s="403"/>
    </row>
    <row r="75" spans="1:8" x14ac:dyDescent="0.35">
      <c r="A75" s="154">
        <v>13</v>
      </c>
      <c r="B75" s="407" t="s">
        <v>445</v>
      </c>
      <c r="C75" s="379">
        <f>SUM(C71:C74)</f>
        <v>1655812.051112866</v>
      </c>
      <c r="D75" s="23"/>
      <c r="E75" s="195" t="s">
        <v>446</v>
      </c>
      <c r="F75" s="154">
        <f t="shared" si="2"/>
        <v>13</v>
      </c>
      <c r="G75" s="403"/>
      <c r="H75" s="403"/>
    </row>
    <row r="76" spans="1:8" x14ac:dyDescent="0.35">
      <c r="A76" s="154">
        <v>14</v>
      </c>
      <c r="B76" s="407"/>
      <c r="C76" s="408"/>
      <c r="D76" s="391"/>
      <c r="E76" s="157"/>
      <c r="F76" s="154">
        <f t="shared" si="2"/>
        <v>14</v>
      </c>
      <c r="G76" s="403"/>
      <c r="H76" s="403"/>
    </row>
    <row r="77" spans="1:8" x14ac:dyDescent="0.35">
      <c r="A77" s="154">
        <v>15</v>
      </c>
      <c r="B77" s="260" t="s">
        <v>393</v>
      </c>
      <c r="C77" s="408"/>
      <c r="D77" s="391"/>
      <c r="E77" s="157"/>
      <c r="F77" s="154">
        <f t="shared" si="2"/>
        <v>15</v>
      </c>
      <c r="G77" s="403"/>
      <c r="H77" s="403"/>
    </row>
    <row r="78" spans="1:8" x14ac:dyDescent="0.35">
      <c r="A78" s="154">
        <v>16</v>
      </c>
      <c r="B78" s="173" t="s">
        <v>394</v>
      </c>
      <c r="C78" s="494">
        <f>C64-C71</f>
        <v>5572353.5701546166</v>
      </c>
      <c r="D78" s="23"/>
      <c r="E78" s="195" t="s">
        <v>447</v>
      </c>
      <c r="F78" s="154">
        <f t="shared" si="2"/>
        <v>16</v>
      </c>
      <c r="G78" s="403"/>
      <c r="H78" s="403"/>
    </row>
    <row r="79" spans="1:8" x14ac:dyDescent="0.35">
      <c r="A79" s="154">
        <v>17</v>
      </c>
      <c r="B79" s="173" t="s">
        <v>221</v>
      </c>
      <c r="C79" s="408">
        <f>C65-C72</f>
        <v>2763.4676971519366</v>
      </c>
      <c r="D79" s="23"/>
      <c r="E79" s="195" t="s">
        <v>448</v>
      </c>
      <c r="F79" s="154">
        <f t="shared" si="2"/>
        <v>17</v>
      </c>
      <c r="G79" s="403"/>
      <c r="H79" s="403"/>
    </row>
    <row r="80" spans="1:8" x14ac:dyDescent="0.35">
      <c r="A80" s="154">
        <v>18</v>
      </c>
      <c r="B80" s="173" t="s">
        <v>223</v>
      </c>
      <c r="C80" s="408">
        <f>C66-C73</f>
        <v>32319.855416885912</v>
      </c>
      <c r="D80" s="23"/>
      <c r="E80" s="195" t="s">
        <v>449</v>
      </c>
      <c r="F80" s="154">
        <f t="shared" si="2"/>
        <v>18</v>
      </c>
    </row>
    <row r="81" spans="1:6" x14ac:dyDescent="0.35">
      <c r="A81" s="154">
        <v>19</v>
      </c>
      <c r="B81" s="173" t="s">
        <v>398</v>
      </c>
      <c r="C81" s="552">
        <f>C67-C74</f>
        <v>81059.121812139405</v>
      </c>
      <c r="D81" s="23"/>
      <c r="E81" s="195" t="s">
        <v>450</v>
      </c>
      <c r="F81" s="154">
        <f t="shared" si="2"/>
        <v>19</v>
      </c>
    </row>
    <row r="82" spans="1:6" ht="16" thickBot="1" x14ac:dyDescent="0.4">
      <c r="A82" s="154">
        <v>20</v>
      </c>
      <c r="B82" s="221" t="s">
        <v>400</v>
      </c>
      <c r="C82" s="495">
        <f>SUM(C78:C81)</f>
        <v>5688496.0150807938</v>
      </c>
      <c r="D82" s="23"/>
      <c r="E82" s="195" t="s">
        <v>451</v>
      </c>
      <c r="F82" s="154">
        <f t="shared" si="2"/>
        <v>20</v>
      </c>
    </row>
    <row r="83" spans="1:6" ht="16" thickTop="1" x14ac:dyDescent="0.35">
      <c r="A83" s="154">
        <v>21</v>
      </c>
      <c r="B83" s="175"/>
      <c r="C83" s="380"/>
      <c r="D83" s="380"/>
      <c r="E83" s="157"/>
      <c r="F83" s="154">
        <f t="shared" si="2"/>
        <v>21</v>
      </c>
    </row>
    <row r="84" spans="1:6" x14ac:dyDescent="0.35">
      <c r="A84" s="154">
        <v>22</v>
      </c>
      <c r="B84" s="260" t="s">
        <v>452</v>
      </c>
      <c r="C84" s="380"/>
      <c r="D84" s="380"/>
      <c r="E84" s="157"/>
      <c r="F84" s="154">
        <f t="shared" si="2"/>
        <v>22</v>
      </c>
    </row>
    <row r="85" spans="1:6" x14ac:dyDescent="0.35">
      <c r="A85" s="154">
        <v>23</v>
      </c>
      <c r="B85" s="173" t="s">
        <v>453</v>
      </c>
      <c r="C85" s="397">
        <v>0</v>
      </c>
      <c r="D85" s="380"/>
      <c r="E85" s="195" t="s">
        <v>222</v>
      </c>
      <c r="F85" s="154">
        <f t="shared" si="2"/>
        <v>23</v>
      </c>
    </row>
    <row r="86" spans="1:6" x14ac:dyDescent="0.35">
      <c r="A86" s="154">
        <v>24</v>
      </c>
      <c r="B86" s="221" t="s">
        <v>454</v>
      </c>
      <c r="C86" s="550">
        <v>0</v>
      </c>
      <c r="D86" s="380"/>
      <c r="E86" s="195" t="s">
        <v>222</v>
      </c>
      <c r="F86" s="154">
        <f t="shared" si="2"/>
        <v>24</v>
      </c>
    </row>
    <row r="87" spans="1:6" ht="16" thickBot="1" x14ac:dyDescent="0.4">
      <c r="A87" s="154">
        <v>25</v>
      </c>
      <c r="B87" s="173" t="s">
        <v>455</v>
      </c>
      <c r="C87" s="409">
        <f>C85-C86</f>
        <v>0</v>
      </c>
      <c r="D87" s="380"/>
      <c r="E87" s="195" t="s">
        <v>456</v>
      </c>
      <c r="F87" s="154">
        <f t="shared" si="2"/>
        <v>25</v>
      </c>
    </row>
    <row r="88" spans="1:6" ht="16" thickTop="1" x14ac:dyDescent="0.35">
      <c r="A88" s="154"/>
    </row>
    <row r="89" spans="1:6" x14ac:dyDescent="0.35">
      <c r="C89" s="659"/>
    </row>
    <row r="90" spans="1:6" x14ac:dyDescent="0.35">
      <c r="A90" s="23"/>
      <c r="B90" s="21"/>
    </row>
    <row r="91" spans="1:6" x14ac:dyDescent="0.35">
      <c r="A91" s="23"/>
      <c r="B91" s="21"/>
    </row>
  </sheetData>
  <mergeCells count="8">
    <mergeCell ref="B56:E56"/>
    <mergeCell ref="B57:E57"/>
    <mergeCell ref="B54:E54"/>
    <mergeCell ref="B55:E55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12.&amp;P&amp;R&amp;A</oddFooter>
  </headerFooter>
  <rowBreaks count="1" manualBreakCount="1">
    <brk id="5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93"/>
  <sheetViews>
    <sheetView zoomScale="80" zoomScaleNormal="80" workbookViewId="0"/>
  </sheetViews>
  <sheetFormatPr defaultColWidth="8.54296875" defaultRowHeight="15.5" x14ac:dyDescent="0.35"/>
  <cols>
    <col min="1" max="1" width="5.1796875" style="410" customWidth="1"/>
    <col min="2" max="2" width="83" style="373" customWidth="1"/>
    <col min="3" max="3" width="18.1796875" style="373" customWidth="1"/>
    <col min="4" max="4" width="1.54296875" style="373" customWidth="1"/>
    <col min="5" max="5" width="38.54296875" style="373" customWidth="1"/>
    <col min="6" max="6" width="5.1796875" style="410" customWidth="1"/>
    <col min="7" max="16384" width="8.54296875" style="373"/>
  </cols>
  <sheetData>
    <row r="1" spans="1:8" x14ac:dyDescent="0.35">
      <c r="A1" s="519" t="s">
        <v>689</v>
      </c>
    </row>
    <row r="2" spans="1:8" x14ac:dyDescent="0.35">
      <c r="A2" s="154"/>
      <c r="B2" s="158"/>
      <c r="C2" s="372"/>
      <c r="D2" s="372"/>
      <c r="E2" s="157"/>
      <c r="F2" s="154"/>
    </row>
    <row r="3" spans="1:8" x14ac:dyDescent="0.35">
      <c r="A3" s="154"/>
      <c r="B3" s="805" t="s">
        <v>14</v>
      </c>
      <c r="C3" s="826"/>
      <c r="D3" s="826"/>
      <c r="E3" s="826"/>
      <c r="F3" s="154"/>
    </row>
    <row r="4" spans="1:8" x14ac:dyDescent="0.35">
      <c r="A4" s="154" t="s">
        <v>197</v>
      </c>
      <c r="B4" s="805" t="s">
        <v>391</v>
      </c>
      <c r="C4" s="826"/>
      <c r="D4" s="826"/>
      <c r="E4" s="826"/>
      <c r="F4" s="154" t="s">
        <v>197</v>
      </c>
    </row>
    <row r="5" spans="1:8" x14ac:dyDescent="0.35">
      <c r="A5" s="154"/>
      <c r="B5" s="823" t="s">
        <v>476</v>
      </c>
      <c r="C5" s="824"/>
      <c r="D5" s="824"/>
      <c r="E5" s="824"/>
      <c r="F5" s="154"/>
      <c r="H5" s="357"/>
    </row>
    <row r="6" spans="1:8" x14ac:dyDescent="0.35">
      <c r="A6" s="154"/>
      <c r="B6" s="825" t="s">
        <v>1</v>
      </c>
      <c r="C6" s="826"/>
      <c r="D6" s="826"/>
      <c r="E6" s="826"/>
      <c r="F6" s="154"/>
    </row>
    <row r="7" spans="1:8" x14ac:dyDescent="0.35">
      <c r="A7" s="154"/>
      <c r="B7" s="471"/>
      <c r="C7" s="158"/>
      <c r="D7" s="158"/>
      <c r="E7" s="158"/>
      <c r="F7" s="154"/>
    </row>
    <row r="8" spans="1:8" x14ac:dyDescent="0.35">
      <c r="A8" s="154" t="s">
        <v>2</v>
      </c>
      <c r="B8" s="158"/>
      <c r="C8" s="374"/>
      <c r="D8" s="374"/>
      <c r="E8" s="157"/>
      <c r="F8" s="154" t="s">
        <v>2</v>
      </c>
    </row>
    <row r="9" spans="1:8" x14ac:dyDescent="0.35">
      <c r="A9" s="154" t="s">
        <v>3</v>
      </c>
      <c r="B9" s="158" t="s">
        <v>197</v>
      </c>
      <c r="C9" s="545" t="s">
        <v>5</v>
      </c>
      <c r="D9" s="374"/>
      <c r="E9" s="546" t="s">
        <v>6</v>
      </c>
      <c r="F9" s="154" t="s">
        <v>3</v>
      </c>
    </row>
    <row r="10" spans="1:8" x14ac:dyDescent="0.35">
      <c r="A10" s="154"/>
      <c r="B10" s="260" t="s">
        <v>392</v>
      </c>
      <c r="C10" s="375"/>
      <c r="D10" s="374"/>
      <c r="E10" s="157"/>
      <c r="F10" s="154"/>
    </row>
    <row r="11" spans="1:8" x14ac:dyDescent="0.35">
      <c r="A11" s="154"/>
      <c r="B11" s="376"/>
      <c r="C11" s="375"/>
      <c r="D11" s="374"/>
      <c r="E11" s="157"/>
      <c r="F11" s="154"/>
    </row>
    <row r="12" spans="1:8" x14ac:dyDescent="0.35">
      <c r="A12" s="154">
        <v>1</v>
      </c>
      <c r="B12" s="260" t="s">
        <v>393</v>
      </c>
      <c r="C12" s="375"/>
      <c r="D12" s="375"/>
      <c r="E12" s="157"/>
      <c r="F12" s="154">
        <f>A12</f>
        <v>1</v>
      </c>
    </row>
    <row r="13" spans="1:8" x14ac:dyDescent="0.35">
      <c r="A13" s="154">
        <f>A12+1</f>
        <v>2</v>
      </c>
      <c r="B13" s="173" t="s">
        <v>394</v>
      </c>
      <c r="C13" s="711">
        <f>C80</f>
        <v>5572353.5701546166</v>
      </c>
      <c r="D13" s="23" t="s">
        <v>24</v>
      </c>
      <c r="E13" s="195" t="s">
        <v>395</v>
      </c>
      <c r="F13" s="154">
        <f>F12+1</f>
        <v>2</v>
      </c>
    </row>
    <row r="14" spans="1:8" x14ac:dyDescent="0.35">
      <c r="A14" s="154">
        <f t="shared" ref="A14:A49" si="0">A13+1</f>
        <v>3</v>
      </c>
      <c r="B14" s="173" t="s">
        <v>221</v>
      </c>
      <c r="C14" s="273">
        <f>C81</f>
        <v>2763.4676971519366</v>
      </c>
      <c r="D14" s="23" t="s">
        <v>24</v>
      </c>
      <c r="E14" s="195" t="s">
        <v>396</v>
      </c>
      <c r="F14" s="154">
        <f t="shared" ref="F14:F49" si="1">F13+1</f>
        <v>3</v>
      </c>
    </row>
    <row r="15" spans="1:8" x14ac:dyDescent="0.35">
      <c r="A15" s="154">
        <f t="shared" si="0"/>
        <v>4</v>
      </c>
      <c r="B15" s="173" t="s">
        <v>223</v>
      </c>
      <c r="C15" s="273">
        <f>C82</f>
        <v>32319.855416885912</v>
      </c>
      <c r="D15" s="23" t="s">
        <v>24</v>
      </c>
      <c r="E15" s="195" t="s">
        <v>397</v>
      </c>
      <c r="F15" s="154">
        <f t="shared" si="1"/>
        <v>4</v>
      </c>
    </row>
    <row r="16" spans="1:8" x14ac:dyDescent="0.35">
      <c r="A16" s="154">
        <f t="shared" si="0"/>
        <v>5</v>
      </c>
      <c r="B16" s="173" t="s">
        <v>398</v>
      </c>
      <c r="C16" s="548">
        <f>C83</f>
        <v>81059.121812139405</v>
      </c>
      <c r="D16" s="23" t="s">
        <v>24</v>
      </c>
      <c r="E16" s="195" t="s">
        <v>399</v>
      </c>
      <c r="F16" s="154">
        <f t="shared" si="1"/>
        <v>5</v>
      </c>
    </row>
    <row r="17" spans="1:8" x14ac:dyDescent="0.35">
      <c r="A17" s="154">
        <f t="shared" si="0"/>
        <v>6</v>
      </c>
      <c r="B17" s="173" t="s">
        <v>400</v>
      </c>
      <c r="C17" s="392">
        <f>SUM(C13:C16)</f>
        <v>5688496.0150807938</v>
      </c>
      <c r="D17" s="23" t="s">
        <v>24</v>
      </c>
      <c r="E17" s="195" t="s">
        <v>401</v>
      </c>
      <c r="F17" s="154">
        <f t="shared" si="1"/>
        <v>6</v>
      </c>
    </row>
    <row r="18" spans="1:8" x14ac:dyDescent="0.35">
      <c r="A18" s="154">
        <f t="shared" si="0"/>
        <v>7</v>
      </c>
      <c r="B18" s="221"/>
      <c r="C18" s="381"/>
      <c r="D18" s="382"/>
      <c r="E18" s="157"/>
      <c r="F18" s="154">
        <f t="shared" si="1"/>
        <v>7</v>
      </c>
    </row>
    <row r="19" spans="1:8" x14ac:dyDescent="0.35">
      <c r="A19" s="154">
        <f t="shared" si="0"/>
        <v>8</v>
      </c>
      <c r="B19" s="260" t="s">
        <v>402</v>
      </c>
      <c r="C19" s="381"/>
      <c r="D19" s="382"/>
      <c r="E19" s="157"/>
      <c r="F19" s="154">
        <f t="shared" si="1"/>
        <v>8</v>
      </c>
    </row>
    <row r="20" spans="1:8" x14ac:dyDescent="0.35">
      <c r="A20" s="154">
        <f t="shared" si="0"/>
        <v>9</v>
      </c>
      <c r="B20" s="173" t="s">
        <v>403</v>
      </c>
      <c r="C20" s="383">
        <v>0</v>
      </c>
      <c r="D20" s="374"/>
      <c r="E20" s="195" t="s">
        <v>404</v>
      </c>
      <c r="F20" s="154">
        <f t="shared" si="1"/>
        <v>9</v>
      </c>
    </row>
    <row r="21" spans="1:8" x14ac:dyDescent="0.35">
      <c r="A21" s="154">
        <f t="shared" si="0"/>
        <v>10</v>
      </c>
      <c r="B21" s="173" t="s">
        <v>405</v>
      </c>
      <c r="C21" s="384">
        <v>0</v>
      </c>
      <c r="D21" s="374"/>
      <c r="E21" s="195" t="s">
        <v>406</v>
      </c>
      <c r="F21" s="154">
        <f t="shared" si="1"/>
        <v>10</v>
      </c>
    </row>
    <row r="22" spans="1:8" x14ac:dyDescent="0.35">
      <c r="A22" s="154">
        <f t="shared" si="0"/>
        <v>11</v>
      </c>
      <c r="B22" s="173" t="s">
        <v>407</v>
      </c>
      <c r="C22" s="385">
        <f>C20+C21</f>
        <v>0</v>
      </c>
      <c r="D22" s="386"/>
      <c r="E22" s="195" t="s">
        <v>408</v>
      </c>
      <c r="F22" s="154">
        <f t="shared" si="1"/>
        <v>11</v>
      </c>
    </row>
    <row r="23" spans="1:8" x14ac:dyDescent="0.35">
      <c r="A23" s="154">
        <f t="shared" si="0"/>
        <v>12</v>
      </c>
      <c r="B23" s="173"/>
      <c r="C23" s="387"/>
      <c r="D23" s="372"/>
      <c r="E23" s="157"/>
      <c r="F23" s="154">
        <f t="shared" si="1"/>
        <v>12</v>
      </c>
    </row>
    <row r="24" spans="1:8" x14ac:dyDescent="0.35">
      <c r="A24" s="154">
        <f t="shared" si="0"/>
        <v>13</v>
      </c>
      <c r="B24" s="260" t="s">
        <v>409</v>
      </c>
      <c r="C24" s="381"/>
      <c r="D24" s="382"/>
      <c r="E24" s="157"/>
      <c r="F24" s="154">
        <f t="shared" si="1"/>
        <v>13</v>
      </c>
    </row>
    <row r="25" spans="1:8" x14ac:dyDescent="0.35">
      <c r="A25" s="154">
        <f t="shared" si="0"/>
        <v>14</v>
      </c>
      <c r="B25" s="221" t="s">
        <v>410</v>
      </c>
      <c r="C25" s="712">
        <v>-996605.21077340224</v>
      </c>
      <c r="D25" s="23" t="s">
        <v>24</v>
      </c>
      <c r="E25" s="195" t="s">
        <v>667</v>
      </c>
      <c r="F25" s="154">
        <f t="shared" si="1"/>
        <v>14</v>
      </c>
    </row>
    <row r="26" spans="1:8" x14ac:dyDescent="0.35">
      <c r="A26" s="154">
        <f t="shared" si="0"/>
        <v>15</v>
      </c>
      <c r="B26" s="221" t="s">
        <v>411</v>
      </c>
      <c r="C26" s="713">
        <v>0</v>
      </c>
      <c r="D26" s="374"/>
      <c r="E26" s="195" t="s">
        <v>412</v>
      </c>
      <c r="F26" s="154">
        <f t="shared" si="1"/>
        <v>15</v>
      </c>
    </row>
    <row r="27" spans="1:8" x14ac:dyDescent="0.35">
      <c r="A27" s="154">
        <f t="shared" si="0"/>
        <v>16</v>
      </c>
      <c r="B27" s="173" t="s">
        <v>413</v>
      </c>
      <c r="C27" s="392">
        <f>SUM(C25:C26)</f>
        <v>-996605.21077340224</v>
      </c>
      <c r="D27" s="23" t="s">
        <v>24</v>
      </c>
      <c r="E27" s="195" t="s">
        <v>414</v>
      </c>
      <c r="F27" s="154">
        <f t="shared" si="1"/>
        <v>16</v>
      </c>
    </row>
    <row r="28" spans="1:8" x14ac:dyDescent="0.35">
      <c r="A28" s="154">
        <f t="shared" si="0"/>
        <v>17</v>
      </c>
      <c r="B28" s="158"/>
      <c r="C28" s="390"/>
      <c r="D28" s="391"/>
      <c r="E28" s="157"/>
      <c r="F28" s="154">
        <f t="shared" si="1"/>
        <v>17</v>
      </c>
    </row>
    <row r="29" spans="1:8" x14ac:dyDescent="0.35">
      <c r="A29" s="154">
        <f t="shared" si="0"/>
        <v>18</v>
      </c>
      <c r="B29" s="260" t="s">
        <v>415</v>
      </c>
      <c r="C29" s="390"/>
      <c r="D29" s="391"/>
      <c r="E29" s="157"/>
      <c r="F29" s="154">
        <f t="shared" si="1"/>
        <v>18</v>
      </c>
    </row>
    <row r="30" spans="1:8" x14ac:dyDescent="0.35">
      <c r="A30" s="154">
        <f t="shared" si="0"/>
        <v>19</v>
      </c>
      <c r="B30" s="173" t="s">
        <v>416</v>
      </c>
      <c r="C30" s="711">
        <v>47442.662369609825</v>
      </c>
      <c r="D30" s="23" t="s">
        <v>24</v>
      </c>
      <c r="E30" s="195" t="s">
        <v>668</v>
      </c>
      <c r="F30" s="154">
        <f t="shared" si="1"/>
        <v>19</v>
      </c>
    </row>
    <row r="31" spans="1:8" x14ac:dyDescent="0.35">
      <c r="A31" s="154">
        <f t="shared" si="0"/>
        <v>20</v>
      </c>
      <c r="B31" s="173" t="s">
        <v>417</v>
      </c>
      <c r="C31" s="273">
        <v>40928.96333129039</v>
      </c>
      <c r="D31" s="23" t="s">
        <v>24</v>
      </c>
      <c r="E31" s="195" t="s">
        <v>669</v>
      </c>
      <c r="F31" s="154">
        <f t="shared" si="1"/>
        <v>20</v>
      </c>
    </row>
    <row r="32" spans="1:8" x14ac:dyDescent="0.35">
      <c r="A32" s="154">
        <f t="shared" si="0"/>
        <v>21</v>
      </c>
      <c r="B32" s="173" t="s">
        <v>418</v>
      </c>
      <c r="C32" s="548">
        <v>11725.325321785682</v>
      </c>
      <c r="D32" s="23" t="s">
        <v>24</v>
      </c>
      <c r="E32" s="195" t="s">
        <v>670</v>
      </c>
      <c r="F32" s="154">
        <f t="shared" si="1"/>
        <v>21</v>
      </c>
      <c r="H32" s="660"/>
    </row>
    <row r="33" spans="1:8" x14ac:dyDescent="0.35">
      <c r="A33" s="154">
        <f t="shared" si="0"/>
        <v>22</v>
      </c>
      <c r="B33" s="173" t="s">
        <v>419</v>
      </c>
      <c r="C33" s="392">
        <f>SUM(C30:C32)</f>
        <v>100096.9510226859</v>
      </c>
      <c r="D33" s="23" t="s">
        <v>24</v>
      </c>
      <c r="E33" s="195" t="s">
        <v>420</v>
      </c>
      <c r="F33" s="154">
        <f t="shared" si="1"/>
        <v>22</v>
      </c>
    </row>
    <row r="34" spans="1:8" x14ac:dyDescent="0.35">
      <c r="A34" s="154">
        <f t="shared" si="0"/>
        <v>23</v>
      </c>
      <c r="B34" s="175"/>
      <c r="C34" s="393"/>
      <c r="D34" s="394"/>
      <c r="E34" s="157"/>
      <c r="F34" s="154">
        <f t="shared" si="1"/>
        <v>23</v>
      </c>
    </row>
    <row r="35" spans="1:8" x14ac:dyDescent="0.35">
      <c r="A35" s="154">
        <f t="shared" si="0"/>
        <v>24</v>
      </c>
      <c r="B35" s="173" t="s">
        <v>421</v>
      </c>
      <c r="C35" s="549">
        <v>0</v>
      </c>
      <c r="D35" s="374"/>
      <c r="E35" s="195" t="s">
        <v>422</v>
      </c>
      <c r="F35" s="154">
        <f t="shared" si="1"/>
        <v>24</v>
      </c>
    </row>
    <row r="36" spans="1:8" x14ac:dyDescent="0.35">
      <c r="A36" s="154">
        <f t="shared" si="0"/>
        <v>25</v>
      </c>
      <c r="B36" s="173"/>
      <c r="C36" s="393"/>
      <c r="D36" s="394"/>
      <c r="E36" s="157"/>
      <c r="F36" s="154">
        <f t="shared" si="1"/>
        <v>25</v>
      </c>
    </row>
    <row r="37" spans="1:8" ht="16" thickBot="1" x14ac:dyDescent="0.4">
      <c r="A37" s="154">
        <f t="shared" si="0"/>
        <v>26</v>
      </c>
      <c r="B37" s="173" t="s">
        <v>423</v>
      </c>
      <c r="C37" s="395">
        <f>C17+C22+C27+C33+C35</f>
        <v>4791987.7553300774</v>
      </c>
      <c r="D37" s="23" t="s">
        <v>24</v>
      </c>
      <c r="E37" s="195" t="s">
        <v>424</v>
      </c>
      <c r="F37" s="154">
        <f t="shared" si="1"/>
        <v>26</v>
      </c>
      <c r="H37" s="659"/>
    </row>
    <row r="38" spans="1:8" ht="16" thickTop="1" x14ac:dyDescent="0.35">
      <c r="A38" s="154">
        <f t="shared" si="0"/>
        <v>27</v>
      </c>
      <c r="B38" s="175"/>
      <c r="C38" s="396"/>
      <c r="D38" s="380"/>
      <c r="E38" s="157"/>
      <c r="F38" s="154">
        <f t="shared" si="1"/>
        <v>27</v>
      </c>
    </row>
    <row r="39" spans="1:8" x14ac:dyDescent="0.35">
      <c r="A39" s="154">
        <f t="shared" si="0"/>
        <v>28</v>
      </c>
      <c r="B39" s="260" t="s">
        <v>425</v>
      </c>
      <c r="C39" s="396"/>
      <c r="D39" s="380"/>
      <c r="E39" s="157"/>
      <c r="F39" s="154">
        <f t="shared" si="1"/>
        <v>28</v>
      </c>
    </row>
    <row r="40" spans="1:8" x14ac:dyDescent="0.35">
      <c r="A40" s="154">
        <f t="shared" si="0"/>
        <v>29</v>
      </c>
      <c r="B40" s="173" t="s">
        <v>426</v>
      </c>
      <c r="C40" s="397">
        <v>0</v>
      </c>
      <c r="D40" s="398"/>
      <c r="E40" s="195" t="s">
        <v>222</v>
      </c>
      <c r="F40" s="154">
        <f t="shared" si="1"/>
        <v>29</v>
      </c>
    </row>
    <row r="41" spans="1:8" x14ac:dyDescent="0.35">
      <c r="A41" s="154">
        <f t="shared" si="0"/>
        <v>30</v>
      </c>
      <c r="B41" s="173" t="s">
        <v>427</v>
      </c>
      <c r="C41" s="399">
        <v>0</v>
      </c>
      <c r="D41" s="374"/>
      <c r="E41" s="195" t="s">
        <v>222</v>
      </c>
      <c r="F41" s="154">
        <f t="shared" si="1"/>
        <v>30</v>
      </c>
    </row>
    <row r="42" spans="1:8" x14ac:dyDescent="0.35">
      <c r="A42" s="154">
        <f t="shared" si="0"/>
        <v>31</v>
      </c>
      <c r="B42" s="221" t="s">
        <v>428</v>
      </c>
      <c r="C42" s="392">
        <f>C40+C41</f>
        <v>0</v>
      </c>
      <c r="D42" s="380"/>
      <c r="E42" s="195" t="s">
        <v>429</v>
      </c>
      <c r="F42" s="154">
        <f t="shared" si="1"/>
        <v>31</v>
      </c>
    </row>
    <row r="43" spans="1:8" x14ac:dyDescent="0.35">
      <c r="A43" s="154">
        <f t="shared" si="0"/>
        <v>32</v>
      </c>
      <c r="B43" s="175"/>
      <c r="C43" s="396"/>
      <c r="D43" s="380"/>
      <c r="E43" s="157"/>
      <c r="F43" s="154">
        <f t="shared" si="1"/>
        <v>32</v>
      </c>
    </row>
    <row r="44" spans="1:8" x14ac:dyDescent="0.35">
      <c r="A44" s="154">
        <f t="shared" si="0"/>
        <v>33</v>
      </c>
      <c r="B44" s="260" t="s">
        <v>430</v>
      </c>
      <c r="C44" s="396"/>
      <c r="D44" s="380"/>
      <c r="E44" s="157"/>
      <c r="F44" s="154">
        <f t="shared" si="1"/>
        <v>33</v>
      </c>
    </row>
    <row r="45" spans="1:8" x14ac:dyDescent="0.35">
      <c r="A45" s="154">
        <f t="shared" si="0"/>
        <v>34</v>
      </c>
      <c r="B45" s="173" t="s">
        <v>431</v>
      </c>
      <c r="C45" s="397">
        <v>0</v>
      </c>
      <c r="D45" s="374"/>
      <c r="E45" s="195" t="s">
        <v>222</v>
      </c>
      <c r="F45" s="154">
        <f t="shared" si="1"/>
        <v>34</v>
      </c>
    </row>
    <row r="46" spans="1:8" x14ac:dyDescent="0.35">
      <c r="A46" s="154">
        <f t="shared" si="0"/>
        <v>35</v>
      </c>
      <c r="B46" s="221" t="s">
        <v>432</v>
      </c>
      <c r="C46" s="550">
        <v>0</v>
      </c>
      <c r="D46" s="374"/>
      <c r="E46" s="195" t="s">
        <v>222</v>
      </c>
      <c r="F46" s="154">
        <f t="shared" si="1"/>
        <v>35</v>
      </c>
    </row>
    <row r="47" spans="1:8" x14ac:dyDescent="0.35">
      <c r="A47" s="154">
        <f t="shared" si="0"/>
        <v>36</v>
      </c>
      <c r="B47" s="221" t="s">
        <v>433</v>
      </c>
      <c r="C47" s="392">
        <f>C45+C46</f>
        <v>0</v>
      </c>
      <c r="D47" s="380"/>
      <c r="E47" s="195" t="s">
        <v>434</v>
      </c>
      <c r="F47" s="154">
        <f t="shared" si="1"/>
        <v>36</v>
      </c>
    </row>
    <row r="48" spans="1:8" x14ac:dyDescent="0.35">
      <c r="A48" s="154">
        <f t="shared" si="0"/>
        <v>37</v>
      </c>
      <c r="B48" s="175"/>
      <c r="C48" s="396"/>
      <c r="D48" s="380"/>
      <c r="E48" s="157"/>
      <c r="F48" s="154">
        <f t="shared" si="1"/>
        <v>37</v>
      </c>
    </row>
    <row r="49" spans="1:6" ht="16" thickBot="1" x14ac:dyDescent="0.4">
      <c r="A49" s="154">
        <f t="shared" si="0"/>
        <v>38</v>
      </c>
      <c r="B49" s="260" t="s">
        <v>435</v>
      </c>
      <c r="C49" s="400">
        <v>0</v>
      </c>
      <c r="D49" s="374"/>
      <c r="E49" s="195" t="s">
        <v>222</v>
      </c>
      <c r="F49" s="154">
        <f t="shared" si="1"/>
        <v>38</v>
      </c>
    </row>
    <row r="50" spans="1:6" ht="16" thickTop="1" x14ac:dyDescent="0.35">
      <c r="A50" s="154"/>
      <c r="B50" s="175"/>
      <c r="C50" s="396"/>
      <c r="D50" s="380"/>
      <c r="E50" s="157"/>
      <c r="F50" s="154"/>
    </row>
    <row r="51" spans="1:6" x14ac:dyDescent="0.35">
      <c r="A51" s="154"/>
      <c r="B51" s="175"/>
      <c r="C51" s="396"/>
      <c r="D51" s="380"/>
      <c r="E51" s="157"/>
      <c r="F51" s="154"/>
    </row>
    <row r="52" spans="1:6" x14ac:dyDescent="0.35">
      <c r="A52" s="23" t="s">
        <v>24</v>
      </c>
      <c r="B52" s="21" t="s">
        <v>671</v>
      </c>
      <c r="C52" s="396"/>
      <c r="D52" s="380"/>
      <c r="E52" s="157"/>
      <c r="F52" s="154"/>
    </row>
    <row r="53" spans="1:6" x14ac:dyDescent="0.35">
      <c r="A53" s="23"/>
      <c r="B53" s="21" t="s">
        <v>672</v>
      </c>
      <c r="C53" s="396"/>
      <c r="D53" s="380"/>
      <c r="E53" s="157"/>
      <c r="F53" s="154"/>
    </row>
    <row r="54" spans="1:6" x14ac:dyDescent="0.35">
      <c r="A54" s="23"/>
      <c r="B54" s="175"/>
      <c r="C54" s="396"/>
      <c r="D54" s="380"/>
      <c r="E54" s="157"/>
      <c r="F54" s="154"/>
    </row>
    <row r="55" spans="1:6" x14ac:dyDescent="0.35">
      <c r="A55" s="154"/>
      <c r="B55" s="157"/>
      <c r="C55" s="158"/>
      <c r="D55" s="158"/>
      <c r="E55" s="158"/>
      <c r="F55" s="154"/>
    </row>
    <row r="56" spans="1:6" x14ac:dyDescent="0.35">
      <c r="A56" s="154"/>
      <c r="B56" s="805" t="str">
        <f>B3</f>
        <v>SAN DIEGO GAS &amp; ELECTRIC COMPANY</v>
      </c>
      <c r="C56" s="826"/>
      <c r="D56" s="826"/>
      <c r="E56" s="826"/>
      <c r="F56" s="154"/>
    </row>
    <row r="57" spans="1:6" x14ac:dyDescent="0.35">
      <c r="A57" s="154"/>
      <c r="B57" s="805" t="str">
        <f>B4</f>
        <v xml:space="preserve">Derivation of End Use Transmission Rate Base </v>
      </c>
      <c r="C57" s="826"/>
      <c r="D57" s="826"/>
      <c r="E57" s="826"/>
      <c r="F57" s="154"/>
    </row>
    <row r="58" spans="1:6" x14ac:dyDescent="0.35">
      <c r="A58" s="154"/>
      <c r="B58" s="823" t="str">
        <f>B5</f>
        <v>Base Period &amp; True-Up Period 12 - Months Ending December 31, 2021</v>
      </c>
      <c r="C58" s="824"/>
      <c r="D58" s="824"/>
      <c r="E58" s="824"/>
      <c r="F58" s="154"/>
    </row>
    <row r="59" spans="1:6" x14ac:dyDescent="0.35">
      <c r="A59" s="154"/>
      <c r="B59" s="825" t="s">
        <v>1</v>
      </c>
      <c r="C59" s="826"/>
      <c r="D59" s="826"/>
      <c r="E59" s="826"/>
      <c r="F59" s="154"/>
    </row>
    <row r="60" spans="1:6" x14ac:dyDescent="0.35">
      <c r="A60" s="154"/>
      <c r="B60" s="471"/>
      <c r="C60" s="158"/>
      <c r="D60" s="158"/>
      <c r="E60" s="158"/>
      <c r="F60" s="154"/>
    </row>
    <row r="61" spans="1:6" x14ac:dyDescent="0.35">
      <c r="A61" s="154" t="s">
        <v>2</v>
      </c>
      <c r="B61" s="471"/>
      <c r="C61" s="158"/>
      <c r="D61" s="158"/>
      <c r="E61" s="158"/>
      <c r="F61" s="154"/>
    </row>
    <row r="62" spans="1:6" x14ac:dyDescent="0.35">
      <c r="A62" s="154" t="s">
        <v>3</v>
      </c>
      <c r="B62" s="471"/>
      <c r="C62" s="158"/>
      <c r="D62" s="158"/>
      <c r="E62" s="158"/>
      <c r="F62" s="154"/>
    </row>
    <row r="63" spans="1:6" x14ac:dyDescent="0.35">
      <c r="A63" s="154"/>
      <c r="B63" s="260" t="s">
        <v>436</v>
      </c>
      <c r="C63" s="158"/>
      <c r="D63" s="158"/>
      <c r="E63" s="158"/>
      <c r="F63" s="154"/>
    </row>
    <row r="64" spans="1:6" x14ac:dyDescent="0.35">
      <c r="A64" s="154"/>
      <c r="B64" s="376"/>
      <c r="C64" s="374"/>
      <c r="D64" s="374"/>
      <c r="E64" s="157"/>
      <c r="F64" s="154"/>
    </row>
    <row r="65" spans="1:8" x14ac:dyDescent="0.35">
      <c r="A65" s="154">
        <v>1</v>
      </c>
      <c r="B65" s="260" t="s">
        <v>437</v>
      </c>
      <c r="C65" s="374"/>
      <c r="D65" s="374"/>
      <c r="E65" s="157"/>
      <c r="F65" s="154">
        <f t="shared" ref="F65:F89" si="2">A65</f>
        <v>1</v>
      </c>
    </row>
    <row r="66" spans="1:8" x14ac:dyDescent="0.35">
      <c r="A66" s="154">
        <v>2</v>
      </c>
      <c r="B66" s="173" t="s">
        <v>394</v>
      </c>
      <c r="C66" s="714">
        <v>7118163.5102730775</v>
      </c>
      <c r="D66" s="23" t="s">
        <v>24</v>
      </c>
      <c r="E66" s="195" t="s">
        <v>673</v>
      </c>
      <c r="F66" s="154">
        <f t="shared" si="2"/>
        <v>2</v>
      </c>
      <c r="G66" s="402"/>
      <c r="H66" s="403"/>
    </row>
    <row r="67" spans="1:8" x14ac:dyDescent="0.35">
      <c r="A67" s="154">
        <v>3</v>
      </c>
      <c r="B67" s="173" t="s">
        <v>438</v>
      </c>
      <c r="C67" s="715">
        <v>21036.071004135727</v>
      </c>
      <c r="D67" s="23" t="s">
        <v>24</v>
      </c>
      <c r="E67" s="195" t="s">
        <v>674</v>
      </c>
      <c r="F67" s="154">
        <f t="shared" si="2"/>
        <v>3</v>
      </c>
      <c r="G67" s="402"/>
      <c r="H67" s="403"/>
    </row>
    <row r="68" spans="1:8" x14ac:dyDescent="0.35">
      <c r="A68" s="154">
        <v>4</v>
      </c>
      <c r="B68" s="173" t="s">
        <v>223</v>
      </c>
      <c r="C68" s="715">
        <v>55216.642539430133</v>
      </c>
      <c r="D68" s="23" t="s">
        <v>24</v>
      </c>
      <c r="E68" s="195" t="s">
        <v>642</v>
      </c>
      <c r="F68" s="154">
        <f t="shared" si="2"/>
        <v>4</v>
      </c>
      <c r="G68" s="402"/>
      <c r="H68" s="405"/>
    </row>
    <row r="69" spans="1:8" x14ac:dyDescent="0.35">
      <c r="A69" s="154">
        <v>5</v>
      </c>
      <c r="B69" s="173" t="s">
        <v>398</v>
      </c>
      <c r="C69" s="716">
        <v>149891.84237701603</v>
      </c>
      <c r="D69" s="23" t="s">
        <v>24</v>
      </c>
      <c r="E69" s="195" t="s">
        <v>643</v>
      </c>
      <c r="F69" s="154">
        <f t="shared" si="2"/>
        <v>5</v>
      </c>
      <c r="G69" s="403"/>
      <c r="H69" s="403"/>
    </row>
    <row r="70" spans="1:8" x14ac:dyDescent="0.35">
      <c r="A70" s="154">
        <v>6</v>
      </c>
      <c r="B70" s="173" t="s">
        <v>439</v>
      </c>
      <c r="C70" s="392">
        <f>SUM(C66:C69)</f>
        <v>7344308.0661936598</v>
      </c>
      <c r="D70" s="23" t="s">
        <v>24</v>
      </c>
      <c r="E70" s="195" t="s">
        <v>401</v>
      </c>
      <c r="F70" s="154">
        <f t="shared" si="2"/>
        <v>6</v>
      </c>
      <c r="G70" s="402"/>
      <c r="H70" s="403"/>
    </row>
    <row r="71" spans="1:8" x14ac:dyDescent="0.35">
      <c r="A71" s="154">
        <v>7</v>
      </c>
      <c r="B71" s="221"/>
      <c r="C71" s="406"/>
      <c r="D71" s="374"/>
      <c r="E71" s="157"/>
      <c r="F71" s="154">
        <f t="shared" si="2"/>
        <v>7</v>
      </c>
      <c r="G71" s="403"/>
      <c r="H71" s="403"/>
    </row>
    <row r="72" spans="1:8" x14ac:dyDescent="0.35">
      <c r="A72" s="154">
        <v>8</v>
      </c>
      <c r="B72" s="259" t="s">
        <v>440</v>
      </c>
      <c r="C72" s="406"/>
      <c r="D72" s="374"/>
      <c r="E72" s="157"/>
      <c r="F72" s="154">
        <f t="shared" si="2"/>
        <v>8</v>
      </c>
      <c r="G72" s="403"/>
      <c r="H72" s="403"/>
    </row>
    <row r="73" spans="1:8" x14ac:dyDescent="0.35">
      <c r="A73" s="154">
        <v>9</v>
      </c>
      <c r="B73" s="221" t="s">
        <v>441</v>
      </c>
      <c r="C73" s="714">
        <v>1545809.9401184614</v>
      </c>
      <c r="D73" s="23" t="s">
        <v>24</v>
      </c>
      <c r="E73" s="195" t="s">
        <v>675</v>
      </c>
      <c r="F73" s="154">
        <f t="shared" si="2"/>
        <v>9</v>
      </c>
      <c r="G73" s="403"/>
      <c r="H73" s="403"/>
    </row>
    <row r="74" spans="1:8" x14ac:dyDescent="0.35">
      <c r="A74" s="154">
        <v>10</v>
      </c>
      <c r="B74" s="221" t="s">
        <v>442</v>
      </c>
      <c r="C74" s="404">
        <v>18272.60330698379</v>
      </c>
      <c r="D74" s="23"/>
      <c r="E74" s="195" t="s">
        <v>676</v>
      </c>
      <c r="F74" s="154">
        <f t="shared" si="2"/>
        <v>10</v>
      </c>
      <c r="G74" s="403"/>
      <c r="H74" s="403"/>
    </row>
    <row r="75" spans="1:8" x14ac:dyDescent="0.35">
      <c r="A75" s="154">
        <v>11</v>
      </c>
      <c r="B75" s="221" t="s">
        <v>443</v>
      </c>
      <c r="C75" s="715">
        <v>22896.787122544221</v>
      </c>
      <c r="D75" s="23" t="s">
        <v>24</v>
      </c>
      <c r="E75" s="195" t="s">
        <v>677</v>
      </c>
      <c r="F75" s="154">
        <f t="shared" si="2"/>
        <v>11</v>
      </c>
      <c r="G75" s="403"/>
      <c r="H75" s="403"/>
    </row>
    <row r="76" spans="1:8" x14ac:dyDescent="0.35">
      <c r="A76" s="154">
        <v>12</v>
      </c>
      <c r="B76" s="221" t="s">
        <v>444</v>
      </c>
      <c r="C76" s="716">
        <v>68832.720564876625</v>
      </c>
      <c r="D76" s="23" t="s">
        <v>24</v>
      </c>
      <c r="E76" s="195" t="s">
        <v>678</v>
      </c>
      <c r="F76" s="154">
        <f t="shared" si="2"/>
        <v>12</v>
      </c>
      <c r="G76" s="403"/>
      <c r="H76" s="403"/>
    </row>
    <row r="77" spans="1:8" x14ac:dyDescent="0.35">
      <c r="A77" s="154">
        <v>13</v>
      </c>
      <c r="B77" s="407" t="s">
        <v>445</v>
      </c>
      <c r="C77" s="392">
        <f>SUM(C73:C76)</f>
        <v>1655812.051112866</v>
      </c>
      <c r="D77" s="23" t="s">
        <v>24</v>
      </c>
      <c r="E77" s="195" t="s">
        <v>446</v>
      </c>
      <c r="F77" s="154">
        <f t="shared" si="2"/>
        <v>13</v>
      </c>
      <c r="G77" s="403"/>
      <c r="H77" s="403"/>
    </row>
    <row r="78" spans="1:8" x14ac:dyDescent="0.35">
      <c r="A78" s="154">
        <v>14</v>
      </c>
      <c r="B78" s="407"/>
      <c r="C78" s="390"/>
      <c r="D78" s="391"/>
      <c r="E78" s="157"/>
      <c r="F78" s="154">
        <f t="shared" si="2"/>
        <v>14</v>
      </c>
      <c r="G78" s="403"/>
      <c r="H78" s="403"/>
    </row>
    <row r="79" spans="1:8" x14ac:dyDescent="0.35">
      <c r="A79" s="154">
        <v>15</v>
      </c>
      <c r="B79" s="260" t="s">
        <v>393</v>
      </c>
      <c r="C79" s="390"/>
      <c r="D79" s="391"/>
      <c r="E79" s="157"/>
      <c r="F79" s="154">
        <f t="shared" si="2"/>
        <v>15</v>
      </c>
      <c r="G79" s="403"/>
      <c r="H79" s="403"/>
    </row>
    <row r="80" spans="1:8" x14ac:dyDescent="0.35">
      <c r="A80" s="154">
        <v>16</v>
      </c>
      <c r="B80" s="173" t="s">
        <v>394</v>
      </c>
      <c r="C80" s="717">
        <f>C66-C73</f>
        <v>5572353.5701546166</v>
      </c>
      <c r="D80" s="23" t="s">
        <v>24</v>
      </c>
      <c r="E80" s="195" t="s">
        <v>447</v>
      </c>
      <c r="F80" s="154">
        <f t="shared" si="2"/>
        <v>16</v>
      </c>
      <c r="G80" s="403"/>
      <c r="H80" s="403"/>
    </row>
    <row r="81" spans="1:8" x14ac:dyDescent="0.35">
      <c r="A81" s="154">
        <v>17</v>
      </c>
      <c r="B81" s="173" t="s">
        <v>221</v>
      </c>
      <c r="C81" s="390">
        <f>C67-C74</f>
        <v>2763.4676971519366</v>
      </c>
      <c r="D81" s="23" t="s">
        <v>24</v>
      </c>
      <c r="E81" s="195" t="s">
        <v>448</v>
      </c>
      <c r="F81" s="154">
        <f t="shared" si="2"/>
        <v>17</v>
      </c>
      <c r="G81" s="403"/>
      <c r="H81" s="403"/>
    </row>
    <row r="82" spans="1:8" x14ac:dyDescent="0.35">
      <c r="A82" s="154">
        <v>18</v>
      </c>
      <c r="B82" s="173" t="s">
        <v>223</v>
      </c>
      <c r="C82" s="390">
        <f>C68-C75</f>
        <v>32319.855416885912</v>
      </c>
      <c r="D82" s="23" t="s">
        <v>24</v>
      </c>
      <c r="E82" s="195" t="s">
        <v>449</v>
      </c>
      <c r="F82" s="154">
        <f t="shared" si="2"/>
        <v>18</v>
      </c>
    </row>
    <row r="83" spans="1:8" x14ac:dyDescent="0.35">
      <c r="A83" s="154">
        <v>19</v>
      </c>
      <c r="B83" s="173" t="s">
        <v>398</v>
      </c>
      <c r="C83" s="718">
        <f>C69-C76</f>
        <v>81059.121812139405</v>
      </c>
      <c r="D83" s="23" t="s">
        <v>24</v>
      </c>
      <c r="E83" s="195" t="s">
        <v>450</v>
      </c>
      <c r="F83" s="154">
        <f t="shared" si="2"/>
        <v>19</v>
      </c>
    </row>
    <row r="84" spans="1:8" ht="16" thickBot="1" x14ac:dyDescent="0.4">
      <c r="A84" s="154">
        <v>20</v>
      </c>
      <c r="B84" s="221" t="s">
        <v>400</v>
      </c>
      <c r="C84" s="719">
        <f>SUM(C80:C83)</f>
        <v>5688496.0150807938</v>
      </c>
      <c r="D84" s="23" t="s">
        <v>24</v>
      </c>
      <c r="E84" s="195" t="s">
        <v>451</v>
      </c>
      <c r="F84" s="154">
        <f t="shared" si="2"/>
        <v>20</v>
      </c>
    </row>
    <row r="85" spans="1:8" ht="16" thickTop="1" x14ac:dyDescent="0.35">
      <c r="A85" s="154">
        <v>21</v>
      </c>
      <c r="B85" s="175"/>
      <c r="C85" s="380"/>
      <c r="D85" s="380"/>
      <c r="E85" s="157"/>
      <c r="F85" s="154">
        <f t="shared" si="2"/>
        <v>21</v>
      </c>
    </row>
    <row r="86" spans="1:8" x14ac:dyDescent="0.35">
      <c r="A86" s="154">
        <v>22</v>
      </c>
      <c r="B86" s="260" t="s">
        <v>452</v>
      </c>
      <c r="C86" s="380"/>
      <c r="D86" s="380"/>
      <c r="E86" s="157"/>
      <c r="F86" s="154">
        <f t="shared" si="2"/>
        <v>22</v>
      </c>
    </row>
    <row r="87" spans="1:8" x14ac:dyDescent="0.35">
      <c r="A87" s="154">
        <v>23</v>
      </c>
      <c r="B87" s="173" t="s">
        <v>453</v>
      </c>
      <c r="C87" s="397">
        <v>0</v>
      </c>
      <c r="D87" s="380"/>
      <c r="E87" s="195" t="s">
        <v>222</v>
      </c>
      <c r="F87" s="154">
        <f t="shared" si="2"/>
        <v>23</v>
      </c>
    </row>
    <row r="88" spans="1:8" x14ac:dyDescent="0.35">
      <c r="A88" s="154">
        <v>24</v>
      </c>
      <c r="B88" s="221" t="s">
        <v>454</v>
      </c>
      <c r="C88" s="550">
        <v>0</v>
      </c>
      <c r="D88" s="380"/>
      <c r="E88" s="195" t="s">
        <v>222</v>
      </c>
      <c r="F88" s="154">
        <f t="shared" si="2"/>
        <v>24</v>
      </c>
    </row>
    <row r="89" spans="1:8" ht="16" thickBot="1" x14ac:dyDescent="0.4">
      <c r="A89" s="154">
        <v>25</v>
      </c>
      <c r="B89" s="173" t="s">
        <v>455</v>
      </c>
      <c r="C89" s="409">
        <f>C87-C88</f>
        <v>0</v>
      </c>
      <c r="D89" s="380"/>
      <c r="E89" s="195" t="s">
        <v>456</v>
      </c>
      <c r="F89" s="154">
        <f t="shared" si="2"/>
        <v>25</v>
      </c>
    </row>
    <row r="90" spans="1:8" ht="16" thickTop="1" x14ac:dyDescent="0.35">
      <c r="A90" s="154"/>
    </row>
    <row r="91" spans="1:8" x14ac:dyDescent="0.35">
      <c r="C91" s="659"/>
    </row>
    <row r="92" spans="1:8" x14ac:dyDescent="0.35">
      <c r="A92" s="23" t="s">
        <v>24</v>
      </c>
      <c r="B92" s="21" t="s">
        <v>671</v>
      </c>
    </row>
    <row r="93" spans="1:8" x14ac:dyDescent="0.35">
      <c r="A93" s="23"/>
      <c r="B93" s="21" t="s">
        <v>672</v>
      </c>
    </row>
  </sheetData>
  <mergeCells count="8">
    <mergeCell ref="B59:E59"/>
    <mergeCell ref="B56:E56"/>
    <mergeCell ref="B57:E57"/>
    <mergeCell ref="B3:E3"/>
    <mergeCell ref="B4:E4"/>
    <mergeCell ref="B5:E5"/>
    <mergeCell ref="B6:E6"/>
    <mergeCell ref="B58:E58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 AV-4 WITH COST ADJ INCL. IN APPENDIX XII CYCLE 6 (ER24-175)</oddHeader>
    <oddFooter>&amp;L&amp;F&amp;CPage 13.&amp;P&amp;R&amp;A</oddFooter>
  </headerFooter>
  <rowBreaks count="1" manualBreakCount="1">
    <brk id="5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72"/>
  <sheetViews>
    <sheetView zoomScale="80" zoomScaleNormal="80" workbookViewId="0"/>
  </sheetViews>
  <sheetFormatPr defaultColWidth="9.1796875" defaultRowHeight="15.5" x14ac:dyDescent="0.35"/>
  <cols>
    <col min="1" max="1" width="5.1796875" style="410" customWidth="1"/>
    <col min="2" max="2" width="12.54296875" style="475" customWidth="1"/>
    <col min="3" max="3" width="20" style="475" customWidth="1"/>
    <col min="4" max="8" width="21.54296875" style="475" customWidth="1"/>
    <col min="9" max="9" width="5.1796875" style="410" customWidth="1"/>
    <col min="10" max="10" width="13.54296875" style="475" customWidth="1"/>
    <col min="11" max="11" width="12.54296875" style="475" customWidth="1"/>
    <col min="12" max="16384" width="9.1796875" style="475"/>
  </cols>
  <sheetData>
    <row r="1" spans="1:10" x14ac:dyDescent="0.35">
      <c r="D1" s="476"/>
    </row>
    <row r="2" spans="1:10" x14ac:dyDescent="0.35">
      <c r="B2" s="827" t="s">
        <v>14</v>
      </c>
      <c r="C2" s="827"/>
      <c r="D2" s="827"/>
      <c r="E2" s="827"/>
      <c r="F2" s="827"/>
      <c r="G2" s="827"/>
      <c r="H2" s="827"/>
      <c r="I2" s="477"/>
    </row>
    <row r="3" spans="1:10" x14ac:dyDescent="0.35">
      <c r="B3" s="828" t="s">
        <v>622</v>
      </c>
      <c r="C3" s="828"/>
      <c r="D3" s="828"/>
      <c r="E3" s="828"/>
      <c r="F3" s="828"/>
      <c r="G3" s="828"/>
      <c r="H3" s="828"/>
      <c r="I3" s="477"/>
    </row>
    <row r="4" spans="1:10" x14ac:dyDescent="0.35">
      <c r="B4" s="828" t="s">
        <v>586</v>
      </c>
      <c r="C4" s="828"/>
      <c r="D4" s="828"/>
      <c r="E4" s="828"/>
      <c r="F4" s="828"/>
      <c r="G4" s="828"/>
      <c r="H4" s="828"/>
      <c r="I4" s="477"/>
    </row>
    <row r="5" spans="1:10" x14ac:dyDescent="0.35">
      <c r="B5" s="829" t="s">
        <v>1</v>
      </c>
      <c r="C5" s="829"/>
      <c r="D5" s="829"/>
      <c r="E5" s="829"/>
      <c r="F5" s="829"/>
      <c r="G5" s="829"/>
      <c r="H5" s="829"/>
      <c r="I5" s="477"/>
    </row>
    <row r="6" spans="1:10" x14ac:dyDescent="0.35">
      <c r="A6" s="477"/>
      <c r="B6" s="477"/>
      <c r="C6" s="477"/>
      <c r="D6" s="477"/>
      <c r="E6" s="477"/>
      <c r="F6" s="477"/>
      <c r="G6" s="477"/>
      <c r="H6" s="477"/>
      <c r="I6" s="477"/>
    </row>
    <row r="7" spans="1:10" x14ac:dyDescent="0.35">
      <c r="A7" s="33" t="s">
        <v>2</v>
      </c>
      <c r="B7" s="50"/>
      <c r="I7" s="33" t="s">
        <v>2</v>
      </c>
    </row>
    <row r="8" spans="1:10" x14ac:dyDescent="0.35">
      <c r="A8" s="520" t="s">
        <v>3</v>
      </c>
      <c r="B8" s="50"/>
      <c r="I8" s="520" t="s">
        <v>3</v>
      </c>
    </row>
    <row r="9" spans="1:10" x14ac:dyDescent="0.35">
      <c r="A9" s="33">
        <v>1</v>
      </c>
      <c r="C9" s="244" t="s">
        <v>119</v>
      </c>
      <c r="D9" s="244" t="s">
        <v>120</v>
      </c>
      <c r="E9" s="244" t="s">
        <v>121</v>
      </c>
      <c r="F9" s="244" t="s">
        <v>122</v>
      </c>
      <c r="G9" s="244" t="s">
        <v>123</v>
      </c>
      <c r="H9" s="244" t="s">
        <v>124</v>
      </c>
      <c r="I9" s="33">
        <v>1</v>
      </c>
    </row>
    <row r="10" spans="1:10" x14ac:dyDescent="0.35">
      <c r="A10" s="33">
        <f t="shared" ref="A10:A44" si="0">A9+1</f>
        <v>2</v>
      </c>
      <c r="B10" s="478" t="s">
        <v>130</v>
      </c>
      <c r="C10" s="33"/>
      <c r="D10" s="65" t="s">
        <v>457</v>
      </c>
      <c r="E10" s="33"/>
      <c r="F10" s="33" t="s">
        <v>458</v>
      </c>
      <c r="G10" s="33" t="s">
        <v>459</v>
      </c>
      <c r="H10" s="65" t="s">
        <v>460</v>
      </c>
      <c r="I10" s="33">
        <f t="shared" ref="I10:I44" si="1">I9+1</f>
        <v>2</v>
      </c>
    </row>
    <row r="11" spans="1:10" x14ac:dyDescent="0.35">
      <c r="A11" s="33">
        <f t="shared" si="0"/>
        <v>3</v>
      </c>
      <c r="C11" s="244"/>
      <c r="F11" s="291" t="s">
        <v>131</v>
      </c>
      <c r="H11" s="291" t="s">
        <v>131</v>
      </c>
      <c r="I11" s="33">
        <f t="shared" si="1"/>
        <v>3</v>
      </c>
    </row>
    <row r="12" spans="1:10" x14ac:dyDescent="0.35">
      <c r="A12" s="33">
        <f t="shared" si="0"/>
        <v>4</v>
      </c>
      <c r="C12" s="244"/>
      <c r="D12" s="291" t="s">
        <v>132</v>
      </c>
      <c r="E12" s="291"/>
      <c r="F12" s="291" t="s">
        <v>133</v>
      </c>
      <c r="H12" s="291" t="s">
        <v>133</v>
      </c>
      <c r="I12" s="33">
        <f t="shared" si="1"/>
        <v>4</v>
      </c>
    </row>
    <row r="13" spans="1:10" x14ac:dyDescent="0.35">
      <c r="A13" s="33">
        <f t="shared" si="0"/>
        <v>5</v>
      </c>
      <c r="C13" s="291"/>
      <c r="D13" s="291" t="s">
        <v>133</v>
      </c>
      <c r="E13" s="291" t="s">
        <v>132</v>
      </c>
      <c r="F13" s="291" t="s">
        <v>136</v>
      </c>
      <c r="H13" s="291" t="s">
        <v>136</v>
      </c>
      <c r="I13" s="33">
        <f t="shared" si="1"/>
        <v>5</v>
      </c>
    </row>
    <row r="14" spans="1:10" x14ac:dyDescent="0.35">
      <c r="A14" s="33">
        <f t="shared" si="0"/>
        <v>6</v>
      </c>
      <c r="C14" s="291"/>
      <c r="D14" s="291" t="s">
        <v>136</v>
      </c>
      <c r="E14" s="291" t="s">
        <v>139</v>
      </c>
      <c r="F14" s="291" t="s">
        <v>140</v>
      </c>
      <c r="G14" s="291"/>
      <c r="H14" s="291" t="s">
        <v>140</v>
      </c>
      <c r="I14" s="33">
        <f t="shared" si="1"/>
        <v>6</v>
      </c>
    </row>
    <row r="15" spans="1:10" ht="18" x14ac:dyDescent="0.35">
      <c r="A15" s="33">
        <f t="shared" si="0"/>
        <v>7</v>
      </c>
      <c r="B15" s="600" t="s">
        <v>141</v>
      </c>
      <c r="C15" s="600" t="s">
        <v>142</v>
      </c>
      <c r="D15" s="601" t="s">
        <v>140</v>
      </c>
      <c r="E15" s="601" t="s">
        <v>461</v>
      </c>
      <c r="F15" s="601" t="s">
        <v>149</v>
      </c>
      <c r="G15" s="602" t="s">
        <v>139</v>
      </c>
      <c r="H15" s="601" t="s">
        <v>150</v>
      </c>
      <c r="I15" s="33">
        <f t="shared" si="1"/>
        <v>7</v>
      </c>
    </row>
    <row r="16" spans="1:10" x14ac:dyDescent="0.35">
      <c r="A16" s="33">
        <f t="shared" si="0"/>
        <v>8</v>
      </c>
      <c r="B16" s="522" t="s">
        <v>151</v>
      </c>
      <c r="C16" s="523">
        <v>2021</v>
      </c>
      <c r="D16" s="775">
        <f>'Pg2 App XII C5 Comparison'!G53/12</f>
        <v>0.35737858322095423</v>
      </c>
      <c r="E16" s="479">
        <v>2.8E-3</v>
      </c>
      <c r="F16" s="785">
        <f>+D16</f>
        <v>0.35737858322095423</v>
      </c>
      <c r="G16" s="786">
        <f>(D16/2)*E16</f>
        <v>5.0033001650933589E-4</v>
      </c>
      <c r="H16" s="787">
        <f t="shared" ref="H16" si="2">F16+G16</f>
        <v>0.35787891323746357</v>
      </c>
      <c r="I16" s="33">
        <f t="shared" si="1"/>
        <v>8</v>
      </c>
      <c r="J16" s="480"/>
    </row>
    <row r="17" spans="1:10" x14ac:dyDescent="0.35">
      <c r="A17" s="33">
        <f t="shared" si="0"/>
        <v>9</v>
      </c>
      <c r="B17" s="522" t="s">
        <v>152</v>
      </c>
      <c r="C17" s="523">
        <f>C16</f>
        <v>2021</v>
      </c>
      <c r="D17" s="776">
        <f>$D$16</f>
        <v>0.35737858322095423</v>
      </c>
      <c r="E17" s="479">
        <v>2.5000000000000001E-3</v>
      </c>
      <c r="F17" s="788">
        <f t="shared" ref="F17:F44" si="3">H16+D17</f>
        <v>0.71525749645841774</v>
      </c>
      <c r="G17" s="789">
        <f t="shared" ref="G17:G44" si="4">(H16+F17)/2*E17</f>
        <v>1.3414205121198516E-3</v>
      </c>
      <c r="H17" s="790">
        <f t="shared" ref="H17:H44" si="5">F17+G17</f>
        <v>0.71659891697053757</v>
      </c>
      <c r="I17" s="33">
        <f t="shared" si="1"/>
        <v>9</v>
      </c>
      <c r="J17" s="480"/>
    </row>
    <row r="18" spans="1:10" x14ac:dyDescent="0.35">
      <c r="A18" s="33">
        <f t="shared" si="0"/>
        <v>10</v>
      </c>
      <c r="B18" s="522" t="s">
        <v>153</v>
      </c>
      <c r="C18" s="523">
        <f t="shared" ref="C18:C26" si="6">C17</f>
        <v>2021</v>
      </c>
      <c r="D18" s="776">
        <f t="shared" ref="D18:D27" si="7">$D$16</f>
        <v>0.35737858322095423</v>
      </c>
      <c r="E18" s="479">
        <v>2.8E-3</v>
      </c>
      <c r="F18" s="788">
        <f t="shared" si="3"/>
        <v>1.0739775001914917</v>
      </c>
      <c r="G18" s="789">
        <f t="shared" si="4"/>
        <v>2.5068069840268408E-3</v>
      </c>
      <c r="H18" s="790">
        <f t="shared" si="5"/>
        <v>1.0764843071755186</v>
      </c>
      <c r="I18" s="33">
        <f t="shared" si="1"/>
        <v>10</v>
      </c>
      <c r="J18" s="480"/>
    </row>
    <row r="19" spans="1:10" x14ac:dyDescent="0.35">
      <c r="A19" s="33">
        <f t="shared" si="0"/>
        <v>11</v>
      </c>
      <c r="B19" s="522" t="s">
        <v>154</v>
      </c>
      <c r="C19" s="523">
        <f t="shared" si="6"/>
        <v>2021</v>
      </c>
      <c r="D19" s="776">
        <f t="shared" si="7"/>
        <v>0.35737858322095423</v>
      </c>
      <c r="E19" s="479">
        <v>2.7000000000000001E-3</v>
      </c>
      <c r="F19" s="788">
        <f t="shared" si="3"/>
        <v>1.4338628903964727</v>
      </c>
      <c r="G19" s="789">
        <f t="shared" si="4"/>
        <v>3.3889687167221881E-3</v>
      </c>
      <c r="H19" s="790">
        <f t="shared" si="5"/>
        <v>1.4372518591131949</v>
      </c>
      <c r="I19" s="33">
        <f t="shared" si="1"/>
        <v>11</v>
      </c>
      <c r="J19" s="480"/>
    </row>
    <row r="20" spans="1:10" x14ac:dyDescent="0.35">
      <c r="A20" s="33">
        <f t="shared" si="0"/>
        <v>12</v>
      </c>
      <c r="B20" s="522" t="s">
        <v>155</v>
      </c>
      <c r="C20" s="523">
        <f t="shared" si="6"/>
        <v>2021</v>
      </c>
      <c r="D20" s="776">
        <f t="shared" si="7"/>
        <v>0.35737858322095423</v>
      </c>
      <c r="E20" s="479">
        <v>2.8E-3</v>
      </c>
      <c r="F20" s="788">
        <f t="shared" si="3"/>
        <v>1.794630442334149</v>
      </c>
      <c r="G20" s="789">
        <f t="shared" si="4"/>
        <v>4.5246352220262818E-3</v>
      </c>
      <c r="H20" s="790">
        <f t="shared" si="5"/>
        <v>1.7991550775561753</v>
      </c>
      <c r="I20" s="33">
        <f t="shared" si="1"/>
        <v>12</v>
      </c>
      <c r="J20" s="480"/>
    </row>
    <row r="21" spans="1:10" x14ac:dyDescent="0.35">
      <c r="A21" s="33">
        <f t="shared" si="0"/>
        <v>13</v>
      </c>
      <c r="B21" s="522" t="s">
        <v>156</v>
      </c>
      <c r="C21" s="523">
        <f t="shared" si="6"/>
        <v>2021</v>
      </c>
      <c r="D21" s="776">
        <f t="shared" si="7"/>
        <v>0.35737858322095423</v>
      </c>
      <c r="E21" s="479">
        <v>2.7000000000000001E-3</v>
      </c>
      <c r="F21" s="788">
        <f t="shared" si="3"/>
        <v>2.1565336607771295</v>
      </c>
      <c r="G21" s="789">
        <f t="shared" si="4"/>
        <v>5.3401797967499625E-3</v>
      </c>
      <c r="H21" s="790">
        <f t="shared" si="5"/>
        <v>2.1618738405738793</v>
      </c>
      <c r="I21" s="33">
        <f t="shared" si="1"/>
        <v>13</v>
      </c>
      <c r="J21" s="480"/>
    </row>
    <row r="22" spans="1:10" x14ac:dyDescent="0.35">
      <c r="A22" s="33">
        <f t="shared" si="0"/>
        <v>14</v>
      </c>
      <c r="B22" s="522" t="s">
        <v>157</v>
      </c>
      <c r="C22" s="523">
        <f t="shared" si="6"/>
        <v>2021</v>
      </c>
      <c r="D22" s="776">
        <f t="shared" si="7"/>
        <v>0.35737858322095423</v>
      </c>
      <c r="E22" s="479">
        <v>2.8E-3</v>
      </c>
      <c r="F22" s="788">
        <f t="shared" si="3"/>
        <v>2.5192524237948337</v>
      </c>
      <c r="G22" s="789">
        <f t="shared" si="4"/>
        <v>6.5535767701161976E-3</v>
      </c>
      <c r="H22" s="790">
        <f t="shared" si="5"/>
        <v>2.5258060005649501</v>
      </c>
      <c r="I22" s="33">
        <f t="shared" si="1"/>
        <v>14</v>
      </c>
      <c r="J22" s="480"/>
    </row>
    <row r="23" spans="1:10" x14ac:dyDescent="0.35">
      <c r="A23" s="33">
        <f t="shared" si="0"/>
        <v>15</v>
      </c>
      <c r="B23" s="522" t="s">
        <v>158</v>
      </c>
      <c r="C23" s="523">
        <f t="shared" si="6"/>
        <v>2021</v>
      </c>
      <c r="D23" s="776">
        <f t="shared" si="7"/>
        <v>0.35737858322095423</v>
      </c>
      <c r="E23" s="479">
        <v>2.8E-3</v>
      </c>
      <c r="F23" s="788">
        <f t="shared" si="3"/>
        <v>2.8831845837859045</v>
      </c>
      <c r="G23" s="789">
        <f t="shared" si="4"/>
        <v>7.5725868180911973E-3</v>
      </c>
      <c r="H23" s="790">
        <f t="shared" si="5"/>
        <v>2.8907571706039956</v>
      </c>
      <c r="I23" s="33">
        <f t="shared" si="1"/>
        <v>15</v>
      </c>
      <c r="J23" s="480"/>
    </row>
    <row r="24" spans="1:10" x14ac:dyDescent="0.35">
      <c r="A24" s="33">
        <f t="shared" si="0"/>
        <v>16</v>
      </c>
      <c r="B24" s="522" t="s">
        <v>159</v>
      </c>
      <c r="C24" s="523">
        <f t="shared" si="6"/>
        <v>2021</v>
      </c>
      <c r="D24" s="776">
        <f t="shared" si="7"/>
        <v>0.35737858322095423</v>
      </c>
      <c r="E24" s="479">
        <v>2.7000000000000001E-3</v>
      </c>
      <c r="F24" s="788">
        <f t="shared" si="3"/>
        <v>3.24813575382495</v>
      </c>
      <c r="G24" s="789">
        <f t="shared" si="4"/>
        <v>8.287505447979078E-3</v>
      </c>
      <c r="H24" s="790">
        <f t="shared" si="5"/>
        <v>3.2564232592729292</v>
      </c>
      <c r="I24" s="33">
        <f t="shared" si="1"/>
        <v>16</v>
      </c>
      <c r="J24" s="480"/>
    </row>
    <row r="25" spans="1:10" x14ac:dyDescent="0.35">
      <c r="A25" s="33">
        <f t="shared" si="0"/>
        <v>17</v>
      </c>
      <c r="B25" s="522" t="s">
        <v>160</v>
      </c>
      <c r="C25" s="523">
        <f t="shared" si="6"/>
        <v>2021</v>
      </c>
      <c r="D25" s="776">
        <f t="shared" si="7"/>
        <v>0.35737858322095423</v>
      </c>
      <c r="E25" s="479">
        <v>2.8E-3</v>
      </c>
      <c r="F25" s="788">
        <f t="shared" si="3"/>
        <v>3.6138018424938836</v>
      </c>
      <c r="G25" s="789">
        <f t="shared" si="4"/>
        <v>9.6183151424735387E-3</v>
      </c>
      <c r="H25" s="790">
        <f t="shared" si="5"/>
        <v>3.6234201576363572</v>
      </c>
      <c r="I25" s="33">
        <f t="shared" si="1"/>
        <v>17</v>
      </c>
      <c r="J25" s="480"/>
    </row>
    <row r="26" spans="1:10" x14ac:dyDescent="0.35">
      <c r="A26" s="33">
        <f t="shared" si="0"/>
        <v>18</v>
      </c>
      <c r="B26" s="522" t="s">
        <v>161</v>
      </c>
      <c r="C26" s="523">
        <f t="shared" si="6"/>
        <v>2021</v>
      </c>
      <c r="D26" s="776">
        <f t="shared" si="7"/>
        <v>0.35737858322095423</v>
      </c>
      <c r="E26" s="479">
        <v>2.7000000000000001E-3</v>
      </c>
      <c r="F26" s="788">
        <f t="shared" si="3"/>
        <v>3.9807987408573116</v>
      </c>
      <c r="G26" s="789">
        <f t="shared" si="4"/>
        <v>1.0265695512966452E-2</v>
      </c>
      <c r="H26" s="790">
        <f t="shared" si="5"/>
        <v>3.9910644363702779</v>
      </c>
      <c r="I26" s="33">
        <f t="shared" si="1"/>
        <v>18</v>
      </c>
      <c r="J26" s="480"/>
    </row>
    <row r="27" spans="1:10" x14ac:dyDescent="0.35">
      <c r="A27" s="33">
        <f t="shared" si="0"/>
        <v>19</v>
      </c>
      <c r="B27" s="524" t="s">
        <v>162</v>
      </c>
      <c r="C27" s="525">
        <f>C26</f>
        <v>2021</v>
      </c>
      <c r="D27" s="777">
        <f t="shared" si="7"/>
        <v>0.35737858322095423</v>
      </c>
      <c r="E27" s="526">
        <v>2.8E-3</v>
      </c>
      <c r="F27" s="791">
        <f t="shared" si="3"/>
        <v>4.3484430195912323</v>
      </c>
      <c r="G27" s="792">
        <f t="shared" si="4"/>
        <v>1.1675310438346114E-2</v>
      </c>
      <c r="H27" s="793">
        <f t="shared" si="5"/>
        <v>4.3601183300295787</v>
      </c>
      <c r="I27" s="33">
        <f t="shared" si="1"/>
        <v>19</v>
      </c>
      <c r="J27" s="480"/>
    </row>
    <row r="28" spans="1:10" x14ac:dyDescent="0.35">
      <c r="A28" s="33">
        <f t="shared" si="0"/>
        <v>20</v>
      </c>
      <c r="B28" s="522" t="s">
        <v>151</v>
      </c>
      <c r="C28" s="523">
        <v>2022</v>
      </c>
      <c r="D28" s="493"/>
      <c r="E28" s="479">
        <v>2.8E-3</v>
      </c>
      <c r="F28" s="788">
        <f t="shared" si="3"/>
        <v>4.3601183300295787</v>
      </c>
      <c r="G28" s="789">
        <f t="shared" si="4"/>
        <v>1.2208331324082821E-2</v>
      </c>
      <c r="H28" s="790">
        <f t="shared" si="5"/>
        <v>4.3723266613536618</v>
      </c>
      <c r="I28" s="33">
        <f t="shared" si="1"/>
        <v>20</v>
      </c>
      <c r="J28" s="480"/>
    </row>
    <row r="29" spans="1:10" x14ac:dyDescent="0.35">
      <c r="A29" s="33">
        <f t="shared" si="0"/>
        <v>21</v>
      </c>
      <c r="B29" s="522" t="s">
        <v>152</v>
      </c>
      <c r="C29" s="523">
        <v>2022</v>
      </c>
      <c r="D29" s="493"/>
      <c r="E29" s="479">
        <v>2.5000000000000001E-3</v>
      </c>
      <c r="F29" s="788">
        <f t="shared" si="3"/>
        <v>4.3723266613536618</v>
      </c>
      <c r="G29" s="789">
        <f t="shared" si="4"/>
        <v>1.0930816653384155E-2</v>
      </c>
      <c r="H29" s="790">
        <f t="shared" si="5"/>
        <v>4.3832574780070459</v>
      </c>
      <c r="I29" s="33">
        <f t="shared" si="1"/>
        <v>21</v>
      </c>
      <c r="J29" s="480"/>
    </row>
    <row r="30" spans="1:10" x14ac:dyDescent="0.35">
      <c r="A30" s="33">
        <f t="shared" si="0"/>
        <v>22</v>
      </c>
      <c r="B30" s="522" t="s">
        <v>153</v>
      </c>
      <c r="C30" s="523">
        <v>2022</v>
      </c>
      <c r="D30" s="493"/>
      <c r="E30" s="479">
        <v>2.8E-3</v>
      </c>
      <c r="F30" s="788">
        <f t="shared" si="3"/>
        <v>4.3832574780070459</v>
      </c>
      <c r="G30" s="789">
        <f t="shared" si="4"/>
        <v>1.2273120938419728E-2</v>
      </c>
      <c r="H30" s="790">
        <f t="shared" si="5"/>
        <v>4.3955305989454656</v>
      </c>
      <c r="I30" s="33">
        <f t="shared" si="1"/>
        <v>22</v>
      </c>
      <c r="J30" s="480"/>
    </row>
    <row r="31" spans="1:10" x14ac:dyDescent="0.35">
      <c r="A31" s="33">
        <f t="shared" si="0"/>
        <v>23</v>
      </c>
      <c r="B31" s="522" t="s">
        <v>154</v>
      </c>
      <c r="C31" s="523">
        <v>2022</v>
      </c>
      <c r="D31" s="493"/>
      <c r="E31" s="479">
        <v>2.7000000000000001E-3</v>
      </c>
      <c r="F31" s="788">
        <f t="shared" si="3"/>
        <v>4.3955305989454656</v>
      </c>
      <c r="G31" s="789">
        <f t="shared" si="4"/>
        <v>1.1867932617152757E-2</v>
      </c>
      <c r="H31" s="790">
        <f t="shared" si="5"/>
        <v>4.4073985315626185</v>
      </c>
      <c r="I31" s="33">
        <f t="shared" si="1"/>
        <v>23</v>
      </c>
      <c r="J31" s="480"/>
    </row>
    <row r="32" spans="1:10" x14ac:dyDescent="0.35">
      <c r="A32" s="33">
        <f t="shared" si="0"/>
        <v>24</v>
      </c>
      <c r="B32" s="522" t="s">
        <v>155</v>
      </c>
      <c r="C32" s="523">
        <v>2022</v>
      </c>
      <c r="D32" s="493"/>
      <c r="E32" s="479">
        <v>2.8E-3</v>
      </c>
      <c r="F32" s="788">
        <f t="shared" si="3"/>
        <v>4.4073985315626185</v>
      </c>
      <c r="G32" s="789">
        <f t="shared" si="4"/>
        <v>1.2340715888375332E-2</v>
      </c>
      <c r="H32" s="790">
        <f t="shared" si="5"/>
        <v>4.4197392474509938</v>
      </c>
      <c r="I32" s="33">
        <f t="shared" si="1"/>
        <v>24</v>
      </c>
      <c r="J32" s="480"/>
    </row>
    <row r="33" spans="1:10" x14ac:dyDescent="0.35">
      <c r="A33" s="33">
        <f t="shared" si="0"/>
        <v>25</v>
      </c>
      <c r="B33" s="522" t="s">
        <v>156</v>
      </c>
      <c r="C33" s="523">
        <v>2022</v>
      </c>
      <c r="D33" s="493"/>
      <c r="E33" s="479">
        <v>2.7000000000000001E-3</v>
      </c>
      <c r="F33" s="788">
        <f t="shared" si="3"/>
        <v>4.4197392474509938</v>
      </c>
      <c r="G33" s="789">
        <f t="shared" si="4"/>
        <v>1.1933295968117683E-2</v>
      </c>
      <c r="H33" s="790">
        <f t="shared" si="5"/>
        <v>4.4316725434191113</v>
      </c>
      <c r="I33" s="33">
        <f t="shared" si="1"/>
        <v>25</v>
      </c>
      <c r="J33" s="480"/>
    </row>
    <row r="34" spans="1:10" x14ac:dyDescent="0.35">
      <c r="A34" s="33">
        <f t="shared" si="0"/>
        <v>26</v>
      </c>
      <c r="B34" s="522" t="s">
        <v>157</v>
      </c>
      <c r="C34" s="523">
        <v>2022</v>
      </c>
      <c r="D34" s="493"/>
      <c r="E34" s="479">
        <v>3.0999999999999999E-3</v>
      </c>
      <c r="F34" s="788">
        <f t="shared" si="3"/>
        <v>4.4316725434191113</v>
      </c>
      <c r="G34" s="789">
        <f t="shared" si="4"/>
        <v>1.3738184884599245E-2</v>
      </c>
      <c r="H34" s="790">
        <f t="shared" si="5"/>
        <v>4.4454107283037105</v>
      </c>
      <c r="I34" s="33">
        <f t="shared" si="1"/>
        <v>26</v>
      </c>
      <c r="J34" s="480"/>
    </row>
    <row r="35" spans="1:10" x14ac:dyDescent="0.35">
      <c r="A35" s="33">
        <f t="shared" si="0"/>
        <v>27</v>
      </c>
      <c r="B35" s="522" t="s">
        <v>158</v>
      </c>
      <c r="C35" s="523">
        <v>2022</v>
      </c>
      <c r="D35" s="493"/>
      <c r="E35" s="479">
        <v>3.0999999999999999E-3</v>
      </c>
      <c r="F35" s="788">
        <f t="shared" si="3"/>
        <v>4.4454107283037105</v>
      </c>
      <c r="G35" s="789">
        <f t="shared" si="4"/>
        <v>1.3780773257741501E-2</v>
      </c>
      <c r="H35" s="790">
        <f t="shared" si="5"/>
        <v>4.4591915015614516</v>
      </c>
      <c r="I35" s="33">
        <f t="shared" si="1"/>
        <v>27</v>
      </c>
      <c r="J35" s="480"/>
    </row>
    <row r="36" spans="1:10" x14ac:dyDescent="0.35">
      <c r="A36" s="33">
        <f t="shared" si="0"/>
        <v>28</v>
      </c>
      <c r="B36" s="522" t="s">
        <v>159</v>
      </c>
      <c r="C36" s="523">
        <v>2022</v>
      </c>
      <c r="D36" s="493"/>
      <c r="E36" s="479">
        <v>3.0000000000000001E-3</v>
      </c>
      <c r="F36" s="788">
        <f t="shared" si="3"/>
        <v>4.4591915015614516</v>
      </c>
      <c r="G36" s="789">
        <f t="shared" si="4"/>
        <v>1.3377574504684355E-2</v>
      </c>
      <c r="H36" s="790">
        <f t="shared" si="5"/>
        <v>4.4725690760661356</v>
      </c>
      <c r="I36" s="33">
        <f t="shared" si="1"/>
        <v>28</v>
      </c>
      <c r="J36" s="480"/>
    </row>
    <row r="37" spans="1:10" x14ac:dyDescent="0.35">
      <c r="A37" s="33">
        <f t="shared" si="0"/>
        <v>29</v>
      </c>
      <c r="B37" s="522" t="s">
        <v>160</v>
      </c>
      <c r="C37" s="523">
        <v>2022</v>
      </c>
      <c r="D37" s="493"/>
      <c r="E37" s="479">
        <v>4.1999999999999997E-3</v>
      </c>
      <c r="F37" s="788">
        <f t="shared" si="3"/>
        <v>4.4725690760661356</v>
      </c>
      <c r="G37" s="789">
        <f t="shared" si="4"/>
        <v>1.8784790119477767E-2</v>
      </c>
      <c r="H37" s="790">
        <f t="shared" si="5"/>
        <v>4.4913538661856132</v>
      </c>
      <c r="I37" s="33">
        <f t="shared" si="1"/>
        <v>29</v>
      </c>
      <c r="J37" s="480"/>
    </row>
    <row r="38" spans="1:10" x14ac:dyDescent="0.35">
      <c r="A38" s="33">
        <f t="shared" si="0"/>
        <v>30</v>
      </c>
      <c r="B38" s="522" t="s">
        <v>161</v>
      </c>
      <c r="C38" s="523">
        <v>2022</v>
      </c>
      <c r="D38" s="493"/>
      <c r="E38" s="479">
        <v>4.0000000000000001E-3</v>
      </c>
      <c r="F38" s="788">
        <f t="shared" si="3"/>
        <v>4.4913538661856132</v>
      </c>
      <c r="G38" s="789">
        <f t="shared" si="4"/>
        <v>1.7965415464742451E-2</v>
      </c>
      <c r="H38" s="790">
        <f t="shared" si="5"/>
        <v>4.509319281650356</v>
      </c>
      <c r="I38" s="33">
        <f t="shared" si="1"/>
        <v>30</v>
      </c>
      <c r="J38" s="480"/>
    </row>
    <row r="39" spans="1:10" x14ac:dyDescent="0.35">
      <c r="A39" s="33">
        <f t="shared" si="0"/>
        <v>31</v>
      </c>
      <c r="B39" s="524" t="s">
        <v>162</v>
      </c>
      <c r="C39" s="525">
        <v>2022</v>
      </c>
      <c r="D39" s="603"/>
      <c r="E39" s="526">
        <v>4.1999999999999997E-3</v>
      </c>
      <c r="F39" s="791">
        <f t="shared" si="3"/>
        <v>4.509319281650356</v>
      </c>
      <c r="G39" s="792">
        <f t="shared" si="4"/>
        <v>1.8939140982931493E-2</v>
      </c>
      <c r="H39" s="793">
        <f t="shared" si="5"/>
        <v>4.5282584226332876</v>
      </c>
      <c r="I39" s="33">
        <f t="shared" si="1"/>
        <v>31</v>
      </c>
      <c r="J39" s="480"/>
    </row>
    <row r="40" spans="1:10" x14ac:dyDescent="0.35">
      <c r="A40" s="33">
        <f t="shared" si="0"/>
        <v>32</v>
      </c>
      <c r="B40" s="522" t="s">
        <v>151</v>
      </c>
      <c r="C40" s="523">
        <v>2023</v>
      </c>
      <c r="D40" s="493"/>
      <c r="E40" s="479">
        <v>5.4000000000000003E-3</v>
      </c>
      <c r="F40" s="788">
        <f t="shared" si="3"/>
        <v>4.5282584226332876</v>
      </c>
      <c r="G40" s="789">
        <f t="shared" si="4"/>
        <v>2.4452595482219754E-2</v>
      </c>
      <c r="H40" s="790">
        <f t="shared" si="5"/>
        <v>4.5527110181155077</v>
      </c>
      <c r="I40" s="33">
        <f t="shared" si="1"/>
        <v>32</v>
      </c>
      <c r="J40" s="480"/>
    </row>
    <row r="41" spans="1:10" x14ac:dyDescent="0.35">
      <c r="A41" s="33">
        <f t="shared" si="0"/>
        <v>33</v>
      </c>
      <c r="B41" s="522" t="s">
        <v>152</v>
      </c>
      <c r="C41" s="523">
        <v>2023</v>
      </c>
      <c r="D41" s="493"/>
      <c r="E41" s="479">
        <v>4.7999999999999996E-3</v>
      </c>
      <c r="F41" s="788">
        <f t="shared" si="3"/>
        <v>4.5527110181155077</v>
      </c>
      <c r="G41" s="789">
        <f t="shared" si="4"/>
        <v>2.1853012886954435E-2</v>
      </c>
      <c r="H41" s="790">
        <f t="shared" si="5"/>
        <v>4.5745640310024624</v>
      </c>
      <c r="I41" s="33">
        <f t="shared" si="1"/>
        <v>33</v>
      </c>
      <c r="J41" s="480"/>
    </row>
    <row r="42" spans="1:10" x14ac:dyDescent="0.35">
      <c r="A42" s="33">
        <f t="shared" si="0"/>
        <v>34</v>
      </c>
      <c r="B42" s="522" t="s">
        <v>153</v>
      </c>
      <c r="C42" s="523">
        <v>2023</v>
      </c>
      <c r="D42" s="493"/>
      <c r="E42" s="479">
        <v>5.4000000000000003E-3</v>
      </c>
      <c r="F42" s="788">
        <f t="shared" si="3"/>
        <v>4.5745640310024624</v>
      </c>
      <c r="G42" s="789">
        <f t="shared" si="4"/>
        <v>2.4702645767413298E-2</v>
      </c>
      <c r="H42" s="790">
        <f t="shared" si="5"/>
        <v>4.5992666767698758</v>
      </c>
      <c r="I42" s="33">
        <f t="shared" si="1"/>
        <v>34</v>
      </c>
      <c r="J42" s="480"/>
    </row>
    <row r="43" spans="1:10" x14ac:dyDescent="0.35">
      <c r="A43" s="33">
        <f t="shared" si="0"/>
        <v>35</v>
      </c>
      <c r="B43" s="522" t="s">
        <v>154</v>
      </c>
      <c r="C43" s="523">
        <v>2023</v>
      </c>
      <c r="D43" s="493"/>
      <c r="E43" s="479">
        <v>6.1999999999999998E-3</v>
      </c>
      <c r="F43" s="788">
        <f t="shared" si="3"/>
        <v>4.5992666767698758</v>
      </c>
      <c r="G43" s="789">
        <f t="shared" si="4"/>
        <v>2.851545339597323E-2</v>
      </c>
      <c r="H43" s="790">
        <f t="shared" si="5"/>
        <v>4.6277821301658486</v>
      </c>
      <c r="I43" s="33">
        <f t="shared" si="1"/>
        <v>35</v>
      </c>
      <c r="J43" s="480"/>
    </row>
    <row r="44" spans="1:10" x14ac:dyDescent="0.35">
      <c r="A44" s="33">
        <f t="shared" si="0"/>
        <v>36</v>
      </c>
      <c r="B44" s="522" t="s">
        <v>155</v>
      </c>
      <c r="C44" s="523">
        <v>2023</v>
      </c>
      <c r="D44" s="493"/>
      <c r="E44" s="479">
        <v>6.4000000000000003E-3</v>
      </c>
      <c r="F44" s="788">
        <f t="shared" si="3"/>
        <v>4.6277821301658486</v>
      </c>
      <c r="G44" s="789">
        <f t="shared" si="4"/>
        <v>2.9617805633061434E-2</v>
      </c>
      <c r="H44" s="790">
        <f t="shared" si="5"/>
        <v>4.6573999357989102</v>
      </c>
      <c r="I44" s="33">
        <f t="shared" si="1"/>
        <v>36</v>
      </c>
      <c r="J44" s="480"/>
    </row>
    <row r="45" spans="1:10" x14ac:dyDescent="0.35">
      <c r="A45" s="33">
        <f>A44+1</f>
        <v>37</v>
      </c>
      <c r="B45" s="522" t="s">
        <v>156</v>
      </c>
      <c r="C45" s="523">
        <v>2023</v>
      </c>
      <c r="D45" s="580"/>
      <c r="E45" s="479">
        <v>6.1999999999999998E-3</v>
      </c>
      <c r="F45" s="788">
        <f>H44+D45</f>
        <v>4.6573999357989102</v>
      </c>
      <c r="G45" s="794">
        <f>(H44+F45)/2*E45</f>
        <v>2.8875879601953241E-2</v>
      </c>
      <c r="H45" s="790">
        <f>F45+G45</f>
        <v>4.6862758154008635</v>
      </c>
      <c r="I45" s="33">
        <f>I44+1</f>
        <v>37</v>
      </c>
      <c r="J45" s="480"/>
    </row>
    <row r="46" spans="1:10" x14ac:dyDescent="0.35">
      <c r="A46" s="33">
        <f t="shared" ref="A46:A64" si="8">A45+1</f>
        <v>38</v>
      </c>
      <c r="B46" s="522" t="s">
        <v>157</v>
      </c>
      <c r="C46" s="523">
        <v>2023</v>
      </c>
      <c r="D46" s="493"/>
      <c r="E46" s="479">
        <v>6.7999999999999996E-3</v>
      </c>
      <c r="F46" s="788">
        <f t="shared" ref="F46:F56" si="9">H45+D46</f>
        <v>4.6862758154008635</v>
      </c>
      <c r="G46" s="794">
        <f t="shared" ref="G46:G56" si="10">(H45+F46)/2*E46</f>
        <v>3.1866675544725873E-2</v>
      </c>
      <c r="H46" s="790">
        <f t="shared" ref="H46:H63" si="11">F46+G46</f>
        <v>4.7181424909455894</v>
      </c>
      <c r="I46" s="33">
        <f t="shared" ref="I46:I64" si="12">I45+1</f>
        <v>38</v>
      </c>
      <c r="J46" s="480"/>
    </row>
    <row r="47" spans="1:10" x14ac:dyDescent="0.35">
      <c r="A47" s="33">
        <f t="shared" si="8"/>
        <v>39</v>
      </c>
      <c r="B47" s="522" t="s">
        <v>158</v>
      </c>
      <c r="C47" s="523">
        <v>2023</v>
      </c>
      <c r="D47" s="493"/>
      <c r="E47" s="479">
        <v>6.7999999999999996E-3</v>
      </c>
      <c r="F47" s="788">
        <f t="shared" si="9"/>
        <v>4.7181424909455894</v>
      </c>
      <c r="G47" s="794">
        <f t="shared" si="10"/>
        <v>3.2083368938430008E-2</v>
      </c>
      <c r="H47" s="790">
        <f t="shared" si="11"/>
        <v>4.7502258598840195</v>
      </c>
      <c r="I47" s="33">
        <f t="shared" si="12"/>
        <v>39</v>
      </c>
      <c r="J47" s="480"/>
    </row>
    <row r="48" spans="1:10" x14ac:dyDescent="0.35">
      <c r="A48" s="33">
        <f t="shared" si="8"/>
        <v>40</v>
      </c>
      <c r="B48" s="522" t="s">
        <v>159</v>
      </c>
      <c r="C48" s="523">
        <v>2023</v>
      </c>
      <c r="D48" s="493"/>
      <c r="E48" s="479">
        <v>6.6E-3</v>
      </c>
      <c r="F48" s="788">
        <f t="shared" si="9"/>
        <v>4.7502258598840195</v>
      </c>
      <c r="G48" s="794">
        <f t="shared" si="10"/>
        <v>3.1351490675234531E-2</v>
      </c>
      <c r="H48" s="790">
        <f t="shared" si="11"/>
        <v>4.781577350559254</v>
      </c>
      <c r="I48" s="33">
        <f t="shared" si="12"/>
        <v>40</v>
      </c>
      <c r="J48" s="480"/>
    </row>
    <row r="49" spans="1:10" x14ac:dyDescent="0.35">
      <c r="A49" s="33">
        <f t="shared" si="8"/>
        <v>41</v>
      </c>
      <c r="B49" s="522" t="s">
        <v>160</v>
      </c>
      <c r="C49" s="523">
        <v>2023</v>
      </c>
      <c r="D49" s="493"/>
      <c r="E49" s="479">
        <v>7.1000000000000004E-3</v>
      </c>
      <c r="F49" s="788">
        <f t="shared" si="9"/>
        <v>4.781577350559254</v>
      </c>
      <c r="G49" s="794">
        <f t="shared" si="10"/>
        <v>3.3949199188970706E-2</v>
      </c>
      <c r="H49" s="790">
        <f t="shared" si="11"/>
        <v>4.8155265497482249</v>
      </c>
      <c r="I49" s="33">
        <f t="shared" si="12"/>
        <v>41</v>
      </c>
      <c r="J49" s="480"/>
    </row>
    <row r="50" spans="1:10" x14ac:dyDescent="0.35">
      <c r="A50" s="33">
        <f t="shared" si="8"/>
        <v>42</v>
      </c>
      <c r="B50" s="522" t="s">
        <v>161</v>
      </c>
      <c r="C50" s="523">
        <v>2023</v>
      </c>
      <c r="D50" s="493"/>
      <c r="E50" s="479">
        <v>6.8999999999999999E-3</v>
      </c>
      <c r="F50" s="788">
        <f t="shared" si="9"/>
        <v>4.8155265497482249</v>
      </c>
      <c r="G50" s="794">
        <f t="shared" si="10"/>
        <v>3.3227133193262752E-2</v>
      </c>
      <c r="H50" s="790">
        <f t="shared" si="11"/>
        <v>4.8487536829414877</v>
      </c>
      <c r="I50" s="33">
        <f t="shared" si="12"/>
        <v>42</v>
      </c>
      <c r="J50" s="480"/>
    </row>
    <row r="51" spans="1:10" x14ac:dyDescent="0.35">
      <c r="A51" s="33">
        <f t="shared" si="8"/>
        <v>43</v>
      </c>
      <c r="B51" s="524" t="s">
        <v>162</v>
      </c>
      <c r="C51" s="525">
        <v>2023</v>
      </c>
      <c r="D51" s="604"/>
      <c r="E51" s="526">
        <v>7.1000000000000004E-3</v>
      </c>
      <c r="F51" s="791">
        <f t="shared" si="9"/>
        <v>4.8487536829414877</v>
      </c>
      <c r="G51" s="792">
        <f t="shared" si="10"/>
        <v>3.4426151148884566E-2</v>
      </c>
      <c r="H51" s="793">
        <f t="shared" si="11"/>
        <v>4.883179834090372</v>
      </c>
      <c r="I51" s="33">
        <f t="shared" si="12"/>
        <v>43</v>
      </c>
    </row>
    <row r="52" spans="1:10" x14ac:dyDescent="0.35">
      <c r="A52" s="33">
        <f t="shared" si="8"/>
        <v>44</v>
      </c>
      <c r="B52" s="522" t="s">
        <v>151</v>
      </c>
      <c r="C52" s="523">
        <v>2024</v>
      </c>
      <c r="D52" s="493"/>
      <c r="E52" s="479">
        <v>7.1999999999999998E-3</v>
      </c>
      <c r="F52" s="788">
        <f t="shared" si="9"/>
        <v>4.883179834090372</v>
      </c>
      <c r="G52" s="789">
        <f t="shared" si="10"/>
        <v>3.5158894805450674E-2</v>
      </c>
      <c r="H52" s="790">
        <f t="shared" si="11"/>
        <v>4.9183387288958231</v>
      </c>
      <c r="I52" s="33">
        <f t="shared" si="12"/>
        <v>44</v>
      </c>
    </row>
    <row r="53" spans="1:10" x14ac:dyDescent="0.35">
      <c r="A53" s="33">
        <f t="shared" si="8"/>
        <v>45</v>
      </c>
      <c r="B53" s="522" t="s">
        <v>152</v>
      </c>
      <c r="C53" s="523">
        <v>2024</v>
      </c>
      <c r="D53" s="493"/>
      <c r="E53" s="479">
        <v>6.7999999999999996E-3</v>
      </c>
      <c r="F53" s="788">
        <f t="shared" si="9"/>
        <v>4.9183387288958231</v>
      </c>
      <c r="G53" s="789">
        <f t="shared" si="10"/>
        <v>3.3444703356491592E-2</v>
      </c>
      <c r="H53" s="790">
        <f t="shared" si="11"/>
        <v>4.9517834322523147</v>
      </c>
      <c r="I53" s="33">
        <f t="shared" si="12"/>
        <v>45</v>
      </c>
    </row>
    <row r="54" spans="1:10" x14ac:dyDescent="0.35">
      <c r="A54" s="33">
        <f t="shared" si="8"/>
        <v>46</v>
      </c>
      <c r="B54" s="522" t="s">
        <v>153</v>
      </c>
      <c r="C54" s="523">
        <v>2024</v>
      </c>
      <c r="D54" s="493"/>
      <c r="E54" s="479">
        <v>7.1999999999999998E-3</v>
      </c>
      <c r="F54" s="788">
        <f t="shared" si="9"/>
        <v>4.9517834322523147</v>
      </c>
      <c r="G54" s="789">
        <f t="shared" si="10"/>
        <v>3.5652840712216666E-2</v>
      </c>
      <c r="H54" s="790">
        <f t="shared" si="11"/>
        <v>4.9874362729645316</v>
      </c>
      <c r="I54" s="33">
        <f t="shared" si="12"/>
        <v>46</v>
      </c>
    </row>
    <row r="55" spans="1:10" x14ac:dyDescent="0.35">
      <c r="A55" s="33">
        <f t="shared" si="8"/>
        <v>47</v>
      </c>
      <c r="B55" s="522" t="s">
        <v>154</v>
      </c>
      <c r="C55" s="523">
        <v>2024</v>
      </c>
      <c r="D55" s="493"/>
      <c r="E55" s="479">
        <v>7.0000000000000001E-3</v>
      </c>
      <c r="F55" s="788">
        <f t="shared" si="9"/>
        <v>4.9874362729645316</v>
      </c>
      <c r="G55" s="789">
        <f t="shared" si="10"/>
        <v>3.4912053910751722E-2</v>
      </c>
      <c r="H55" s="790">
        <f t="shared" si="11"/>
        <v>5.0223483268752833</v>
      </c>
      <c r="I55" s="33">
        <f t="shared" si="12"/>
        <v>47</v>
      </c>
    </row>
    <row r="56" spans="1:10" x14ac:dyDescent="0.35">
      <c r="A56" s="33">
        <f t="shared" si="8"/>
        <v>48</v>
      </c>
      <c r="B56" s="522" t="s">
        <v>155</v>
      </c>
      <c r="C56" s="523">
        <v>2024</v>
      </c>
      <c r="D56" s="493"/>
      <c r="E56" s="479">
        <v>7.1999999999999998E-3</v>
      </c>
      <c r="F56" s="788">
        <f t="shared" si="9"/>
        <v>5.0223483268752833</v>
      </c>
      <c r="G56" s="789">
        <f t="shared" si="10"/>
        <v>3.616090795350204E-2</v>
      </c>
      <c r="H56" s="790">
        <f t="shared" si="11"/>
        <v>5.0585092348287857</v>
      </c>
      <c r="I56" s="33">
        <f t="shared" si="12"/>
        <v>48</v>
      </c>
    </row>
    <row r="57" spans="1:10" x14ac:dyDescent="0.35">
      <c r="A57" s="33">
        <f t="shared" si="8"/>
        <v>49</v>
      </c>
      <c r="B57" s="522" t="s">
        <v>156</v>
      </c>
      <c r="C57" s="523">
        <v>2024</v>
      </c>
      <c r="D57" s="580"/>
      <c r="E57" s="479">
        <v>7.0000000000000001E-3</v>
      </c>
      <c r="F57" s="788">
        <f>H56+D57</f>
        <v>5.0585092348287857</v>
      </c>
      <c r="G57" s="794">
        <f>(H56+F57)/2*E57</f>
        <v>3.5409564643801503E-2</v>
      </c>
      <c r="H57" s="790">
        <f t="shared" si="11"/>
        <v>5.0939187994725872</v>
      </c>
      <c r="I57" s="33">
        <f t="shared" si="12"/>
        <v>49</v>
      </c>
    </row>
    <row r="58" spans="1:10" x14ac:dyDescent="0.35">
      <c r="A58" s="33">
        <f t="shared" si="8"/>
        <v>50</v>
      </c>
      <c r="B58" s="522" t="s">
        <v>157</v>
      </c>
      <c r="C58" s="523">
        <v>2024</v>
      </c>
      <c r="D58" s="493"/>
      <c r="E58" s="479">
        <v>7.1999999999999998E-3</v>
      </c>
      <c r="F58" s="788">
        <f t="shared" ref="F58:F63" si="13">H57+D58</f>
        <v>5.0939187994725872</v>
      </c>
      <c r="G58" s="794">
        <f t="shared" ref="G58:G63" si="14">(H57+F58)/2*E58</f>
        <v>3.6676215356202628E-2</v>
      </c>
      <c r="H58" s="790">
        <f t="shared" si="11"/>
        <v>5.1305950148287902</v>
      </c>
      <c r="I58" s="33">
        <f t="shared" si="12"/>
        <v>50</v>
      </c>
    </row>
    <row r="59" spans="1:10" x14ac:dyDescent="0.35">
      <c r="A59" s="33">
        <f t="shared" si="8"/>
        <v>51</v>
      </c>
      <c r="B59" s="522" t="s">
        <v>158</v>
      </c>
      <c r="C59" s="523">
        <v>2024</v>
      </c>
      <c r="D59" s="493"/>
      <c r="E59" s="479">
        <v>7.1999999999999998E-3</v>
      </c>
      <c r="F59" s="788">
        <f t="shared" si="13"/>
        <v>5.1305950148287902</v>
      </c>
      <c r="G59" s="794">
        <f t="shared" si="14"/>
        <v>3.6940284106767286E-2</v>
      </c>
      <c r="H59" s="790">
        <f t="shared" si="11"/>
        <v>5.1675352989355572</v>
      </c>
      <c r="I59" s="33">
        <f t="shared" si="12"/>
        <v>51</v>
      </c>
    </row>
    <row r="60" spans="1:10" x14ac:dyDescent="0.35">
      <c r="A60" s="33">
        <f t="shared" si="8"/>
        <v>52</v>
      </c>
      <c r="B60" s="522" t="s">
        <v>159</v>
      </c>
      <c r="C60" s="523">
        <v>2024</v>
      </c>
      <c r="D60" s="493"/>
      <c r="E60" s="479">
        <v>7.0000000000000001E-3</v>
      </c>
      <c r="F60" s="788">
        <f t="shared" si="13"/>
        <v>5.1675352989355572</v>
      </c>
      <c r="G60" s="794">
        <f t="shared" si="14"/>
        <v>3.6172747092548904E-2</v>
      </c>
      <c r="H60" s="790">
        <f t="shared" si="11"/>
        <v>5.2037080460281064</v>
      </c>
      <c r="I60" s="33">
        <f t="shared" si="12"/>
        <v>52</v>
      </c>
    </row>
    <row r="61" spans="1:10" x14ac:dyDescent="0.35">
      <c r="A61" s="33">
        <f t="shared" si="8"/>
        <v>53</v>
      </c>
      <c r="B61" s="522" t="s">
        <v>160</v>
      </c>
      <c r="C61" s="523">
        <v>2024</v>
      </c>
      <c r="D61" s="493"/>
      <c r="E61" s="479">
        <v>7.1999999999999998E-3</v>
      </c>
      <c r="F61" s="788">
        <f t="shared" si="13"/>
        <v>5.2037080460281064</v>
      </c>
      <c r="G61" s="794">
        <f t="shared" si="14"/>
        <v>3.7466697931402365E-2</v>
      </c>
      <c r="H61" s="790">
        <f t="shared" si="11"/>
        <v>5.2411747439595091</v>
      </c>
      <c r="I61" s="33">
        <f t="shared" si="12"/>
        <v>53</v>
      </c>
    </row>
    <row r="62" spans="1:10" x14ac:dyDescent="0.35">
      <c r="A62" s="33">
        <f t="shared" si="8"/>
        <v>54</v>
      </c>
      <c r="B62" s="522" t="s">
        <v>161</v>
      </c>
      <c r="C62" s="523">
        <v>2024</v>
      </c>
      <c r="D62" s="493"/>
      <c r="E62" s="479">
        <v>7.0000000000000001E-3</v>
      </c>
      <c r="F62" s="788">
        <f t="shared" si="13"/>
        <v>5.2411747439595091</v>
      </c>
      <c r="G62" s="794">
        <f t="shared" si="14"/>
        <v>3.6688223207716565E-2</v>
      </c>
      <c r="H62" s="790">
        <f t="shared" si="11"/>
        <v>5.2778629671672252</v>
      </c>
      <c r="I62" s="33">
        <f t="shared" si="12"/>
        <v>54</v>
      </c>
    </row>
    <row r="63" spans="1:10" x14ac:dyDescent="0.35">
      <c r="A63" s="33">
        <f t="shared" si="8"/>
        <v>55</v>
      </c>
      <c r="B63" s="524" t="s">
        <v>162</v>
      </c>
      <c r="C63" s="525">
        <v>2024</v>
      </c>
      <c r="D63" s="604"/>
      <c r="E63" s="526">
        <v>7.1999999999999998E-3</v>
      </c>
      <c r="F63" s="791">
        <f t="shared" si="13"/>
        <v>5.2778629671672252</v>
      </c>
      <c r="G63" s="792">
        <f t="shared" si="14"/>
        <v>3.8000613363604017E-2</v>
      </c>
      <c r="H63" s="795">
        <f t="shared" si="11"/>
        <v>5.315863580530829</v>
      </c>
      <c r="I63" s="33">
        <f t="shared" si="12"/>
        <v>55</v>
      </c>
    </row>
    <row r="64" spans="1:10" ht="16" thickBot="1" x14ac:dyDescent="0.4">
      <c r="A64" s="33">
        <f t="shared" si="8"/>
        <v>56</v>
      </c>
      <c r="D64" s="796">
        <f>SUM(D16:D63)</f>
        <v>4.2885429986514518</v>
      </c>
      <c r="E64" s="505"/>
      <c r="F64" s="482"/>
      <c r="G64" s="797">
        <f>SUM(G16:G63)</f>
        <v>1.027320581879376</v>
      </c>
      <c r="H64" s="483"/>
      <c r="I64" s="33">
        <f t="shared" si="12"/>
        <v>56</v>
      </c>
    </row>
    <row r="65" spans="1:9" ht="16" thickTop="1" x14ac:dyDescent="0.35">
      <c r="A65" s="33"/>
      <c r="D65" s="687"/>
      <c r="E65" s="505"/>
      <c r="F65" s="482"/>
      <c r="G65" s="31"/>
      <c r="H65" s="483"/>
      <c r="I65" s="33"/>
    </row>
    <row r="66" spans="1:9" x14ac:dyDescent="0.35">
      <c r="D66" s="484"/>
      <c r="E66" s="484"/>
      <c r="F66" s="484"/>
      <c r="G66" s="256"/>
      <c r="H66" s="256"/>
    </row>
    <row r="67" spans="1:9" ht="18" x14ac:dyDescent="0.35">
      <c r="A67" s="258">
        <v>1</v>
      </c>
      <c r="B67" s="475" t="s">
        <v>168</v>
      </c>
      <c r="C67" s="485"/>
    </row>
    <row r="68" spans="1:9" ht="18" x14ac:dyDescent="0.35">
      <c r="A68" s="258">
        <v>2</v>
      </c>
      <c r="B68" s="475" t="s">
        <v>462</v>
      </c>
    </row>
    <row r="69" spans="1:9" ht="18" x14ac:dyDescent="0.35">
      <c r="A69" s="258">
        <v>3</v>
      </c>
      <c r="B69" s="475" t="s">
        <v>463</v>
      </c>
    </row>
    <row r="70" spans="1:9" x14ac:dyDescent="0.35">
      <c r="B70" s="475" t="s">
        <v>464</v>
      </c>
    </row>
    <row r="71" spans="1:9" x14ac:dyDescent="0.35">
      <c r="A71" s="554"/>
      <c r="B71" s="555" t="s">
        <v>466</v>
      </c>
      <c r="C71" s="555"/>
    </row>
    <row r="72" spans="1:9" x14ac:dyDescent="0.35">
      <c r="A72" s="830"/>
      <c r="B72" s="831"/>
      <c r="C72" s="831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2" orientation="portrait" r:id="rId1"/>
  <headerFooter scaleWithDoc="0" alignWithMargins="0">
    <oddFooter>&amp;L&amp;F&amp;CPage 14&amp;R&amp;A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="80" zoomScaleNormal="80" workbookViewId="0"/>
  </sheetViews>
  <sheetFormatPr defaultColWidth="8.81640625" defaultRowHeight="15.5" x14ac:dyDescent="0.35"/>
  <cols>
    <col min="1" max="1" width="5.1796875" style="33" customWidth="1"/>
    <col min="2" max="2" width="70.81640625" style="17" customWidth="1"/>
    <col min="3" max="3" width="18.1796875" style="17" customWidth="1"/>
    <col min="4" max="4" width="1.81640625" style="17" customWidth="1"/>
    <col min="5" max="5" width="18.1796875" style="17" customWidth="1"/>
    <col min="6" max="6" width="1.81640625" style="17" customWidth="1"/>
    <col min="7" max="7" width="14.453125" style="17" customWidth="1"/>
    <col min="8" max="8" width="40.81640625" style="17" customWidth="1"/>
    <col min="9" max="9" width="5.1796875" style="33" customWidth="1"/>
    <col min="10" max="16384" width="8.81640625" style="17"/>
  </cols>
  <sheetData>
    <row r="2" spans="1:11" x14ac:dyDescent="0.35">
      <c r="A2" s="156"/>
      <c r="B2" s="805" t="s">
        <v>14</v>
      </c>
      <c r="C2" s="805"/>
      <c r="D2" s="805"/>
      <c r="E2" s="805"/>
      <c r="F2" s="805"/>
      <c r="G2" s="805"/>
      <c r="H2" s="805"/>
      <c r="I2" s="156"/>
    </row>
    <row r="3" spans="1:11" x14ac:dyDescent="0.35">
      <c r="A3" s="156"/>
      <c r="B3" s="805" t="s">
        <v>581</v>
      </c>
      <c r="C3" s="805"/>
      <c r="D3" s="805"/>
      <c r="E3" s="805"/>
      <c r="F3" s="805"/>
      <c r="G3" s="805"/>
      <c r="H3" s="805"/>
      <c r="I3" s="157"/>
    </row>
    <row r="4" spans="1:11" x14ac:dyDescent="0.35">
      <c r="B4" s="805" t="s">
        <v>622</v>
      </c>
      <c r="C4" s="805"/>
      <c r="D4" s="805"/>
      <c r="E4" s="805"/>
      <c r="F4" s="805"/>
      <c r="G4" s="805"/>
      <c r="H4" s="805"/>
      <c r="I4" s="153"/>
    </row>
    <row r="5" spans="1:11" x14ac:dyDescent="0.35">
      <c r="B5" s="805" t="s">
        <v>578</v>
      </c>
      <c r="C5" s="805"/>
      <c r="D5" s="805"/>
      <c r="E5" s="805"/>
      <c r="F5" s="805"/>
      <c r="G5" s="805"/>
      <c r="H5" s="805"/>
      <c r="I5" s="153"/>
    </row>
    <row r="6" spans="1:11" x14ac:dyDescent="0.35">
      <c r="B6" s="806" t="s">
        <v>1</v>
      </c>
      <c r="C6" s="805"/>
      <c r="D6" s="805"/>
      <c r="E6" s="805"/>
      <c r="F6" s="805"/>
      <c r="G6" s="805"/>
      <c r="H6" s="805"/>
      <c r="I6" s="153"/>
    </row>
    <row r="7" spans="1:11" x14ac:dyDescent="0.35">
      <c r="A7" s="156"/>
      <c r="B7" s="157"/>
      <c r="C7" s="158"/>
      <c r="D7" s="158"/>
      <c r="E7" s="158"/>
      <c r="F7" s="158"/>
      <c r="G7" s="158"/>
      <c r="H7" s="158"/>
      <c r="I7" s="156"/>
    </row>
    <row r="8" spans="1:11" ht="16" thickBot="1" x14ac:dyDescent="0.4">
      <c r="A8" s="156"/>
      <c r="B8" s="157"/>
      <c r="C8" s="218" t="s">
        <v>15</v>
      </c>
      <c r="D8" s="217"/>
      <c r="E8" s="218" t="s">
        <v>16</v>
      </c>
      <c r="F8" s="217"/>
      <c r="G8" s="218" t="s">
        <v>17</v>
      </c>
      <c r="H8" s="158"/>
      <c r="I8" s="156"/>
    </row>
    <row r="9" spans="1:11" ht="60" x14ac:dyDescent="0.35">
      <c r="A9" s="489" t="s">
        <v>2</v>
      </c>
      <c r="B9" s="219"/>
      <c r="C9" s="223" t="s">
        <v>580</v>
      </c>
      <c r="D9" s="157"/>
      <c r="E9" s="211" t="s">
        <v>621</v>
      </c>
      <c r="F9" s="20"/>
      <c r="G9" s="152" t="s">
        <v>18</v>
      </c>
      <c r="H9" s="162"/>
      <c r="I9" s="490" t="s">
        <v>2</v>
      </c>
    </row>
    <row r="10" spans="1:11" x14ac:dyDescent="0.35">
      <c r="A10" s="160" t="s">
        <v>3</v>
      </c>
      <c r="B10" s="292" t="s">
        <v>19</v>
      </c>
      <c r="C10" s="292" t="s">
        <v>5</v>
      </c>
      <c r="D10" s="292"/>
      <c r="E10" s="292" t="s">
        <v>5</v>
      </c>
      <c r="F10" s="292"/>
      <c r="G10" s="508" t="s">
        <v>20</v>
      </c>
      <c r="H10" s="292" t="s">
        <v>6</v>
      </c>
      <c r="I10" s="163" t="s">
        <v>3</v>
      </c>
    </row>
    <row r="11" spans="1:11" x14ac:dyDescent="0.35">
      <c r="A11" s="160"/>
      <c r="B11" s="220"/>
      <c r="C11" s="165"/>
      <c r="D11" s="164"/>
      <c r="E11" s="164"/>
      <c r="F11" s="164"/>
      <c r="G11" s="164"/>
      <c r="H11" s="165"/>
      <c r="I11" s="163"/>
    </row>
    <row r="12" spans="1:11" x14ac:dyDescent="0.35">
      <c r="A12" s="160">
        <v>1</v>
      </c>
      <c r="B12" s="173" t="s">
        <v>21</v>
      </c>
      <c r="C12" s="213">
        <f>'Pg3 Rev App XII C5'!C11</f>
        <v>0</v>
      </c>
      <c r="D12" s="167"/>
      <c r="E12" s="213">
        <f>'Pg4 As Filed App XII C5 FERC'!C12</f>
        <v>0</v>
      </c>
      <c r="F12" s="167"/>
      <c r="G12" s="167">
        <f>C12-E12</f>
        <v>0</v>
      </c>
      <c r="H12" s="8" t="s">
        <v>22</v>
      </c>
      <c r="I12" s="163">
        <f>A12</f>
        <v>1</v>
      </c>
      <c r="K12" s="19"/>
    </row>
    <row r="13" spans="1:11" x14ac:dyDescent="0.35">
      <c r="A13" s="160">
        <f>A12+1</f>
        <v>2</v>
      </c>
      <c r="B13" s="221"/>
      <c r="C13" s="170"/>
      <c r="D13" s="170"/>
      <c r="E13" s="170"/>
      <c r="F13" s="170"/>
      <c r="G13" s="170"/>
      <c r="H13" s="157"/>
      <c r="I13" s="163">
        <f>I12+1</f>
        <v>2</v>
      </c>
    </row>
    <row r="14" spans="1:11" x14ac:dyDescent="0.35">
      <c r="A14" s="160">
        <f t="shared" ref="A14:A29" si="0">A13+1</f>
        <v>3</v>
      </c>
      <c r="B14" s="173" t="s">
        <v>23</v>
      </c>
      <c r="C14" s="224">
        <f>'Pg3 Rev App XII C5'!C13</f>
        <v>939.11162928167562</v>
      </c>
      <c r="D14" s="23" t="s">
        <v>24</v>
      </c>
      <c r="E14" s="214">
        <f>'Pg4 As Filed App XII C5 FERC'!C14</f>
        <v>937.48096558510304</v>
      </c>
      <c r="F14" s="152"/>
      <c r="G14" s="771">
        <f>C14-E14</f>
        <v>1.6306636965725829</v>
      </c>
      <c r="H14" s="8" t="s">
        <v>25</v>
      </c>
      <c r="I14" s="163">
        <f t="shared" ref="I14:I29" si="1">I13+1</f>
        <v>3</v>
      </c>
      <c r="K14" s="25"/>
    </row>
    <row r="15" spans="1:11" x14ac:dyDescent="0.35">
      <c r="A15" s="160">
        <f t="shared" si="0"/>
        <v>4</v>
      </c>
      <c r="B15" s="221"/>
      <c r="C15" s="170"/>
      <c r="D15" s="170"/>
      <c r="E15" s="170"/>
      <c r="F15" s="170"/>
      <c r="G15" s="170"/>
      <c r="H15" s="172"/>
      <c r="I15" s="163">
        <f t="shared" si="1"/>
        <v>4</v>
      </c>
    </row>
    <row r="16" spans="1:11" x14ac:dyDescent="0.35">
      <c r="A16" s="160">
        <f t="shared" si="0"/>
        <v>5</v>
      </c>
      <c r="B16" s="173" t="s">
        <v>26</v>
      </c>
      <c r="C16" s="509">
        <f>'Pg3 Rev App XII C5'!C15</f>
        <v>-57.529156544946602</v>
      </c>
      <c r="D16" s="174"/>
      <c r="E16" s="509">
        <f>'Pg4 As Filed App XII C5 FERC'!C16</f>
        <v>-57.529156544946602</v>
      </c>
      <c r="F16" s="174"/>
      <c r="G16" s="253">
        <f>C16-E16</f>
        <v>0</v>
      </c>
      <c r="H16" s="8" t="s">
        <v>27</v>
      </c>
      <c r="I16" s="163">
        <f t="shared" si="1"/>
        <v>5</v>
      </c>
      <c r="K16" s="25"/>
    </row>
    <row r="17" spans="1:13" x14ac:dyDescent="0.35">
      <c r="A17" s="160">
        <f t="shared" si="0"/>
        <v>6</v>
      </c>
      <c r="B17" s="175"/>
      <c r="C17" s="174"/>
      <c r="D17" s="174"/>
      <c r="E17" s="174"/>
      <c r="F17" s="174"/>
      <c r="G17" s="174"/>
      <c r="H17" s="168"/>
      <c r="I17" s="163">
        <f t="shared" si="1"/>
        <v>6</v>
      </c>
      <c r="K17" s="25"/>
    </row>
    <row r="18" spans="1:13" x14ac:dyDescent="0.35">
      <c r="A18" s="160">
        <f t="shared" si="0"/>
        <v>7</v>
      </c>
      <c r="B18" s="222" t="s">
        <v>28</v>
      </c>
      <c r="C18" s="225">
        <f>'Pg3 Rev App XII C5'!C17</f>
        <v>881.58247273672896</v>
      </c>
      <c r="D18" s="23" t="s">
        <v>24</v>
      </c>
      <c r="E18" s="212">
        <f>'Pg4 As Filed App XII C5 FERC'!C18</f>
        <v>878.95180904015638</v>
      </c>
      <c r="F18" s="152"/>
      <c r="G18" s="225">
        <f>C18-E18-1</f>
        <v>1.6306636965725829</v>
      </c>
      <c r="H18" s="178" t="str">
        <f>"Sum Lines "&amp;A12&amp;", "&amp;A14&amp;", "&amp;A16</f>
        <v>Sum Lines 1, 3, 5</v>
      </c>
      <c r="I18" s="163">
        <f t="shared" si="1"/>
        <v>7</v>
      </c>
      <c r="K18" s="25"/>
    </row>
    <row r="19" spans="1:13" x14ac:dyDescent="0.35">
      <c r="A19" s="160">
        <f t="shared" si="0"/>
        <v>8</v>
      </c>
      <c r="B19" s="175"/>
      <c r="C19" s="170"/>
      <c r="D19" s="170"/>
      <c r="E19" s="170"/>
      <c r="F19" s="170"/>
      <c r="G19" s="170"/>
      <c r="H19" s="180"/>
      <c r="I19" s="163">
        <f t="shared" si="1"/>
        <v>8</v>
      </c>
    </row>
    <row r="20" spans="1:13" x14ac:dyDescent="0.35">
      <c r="A20" s="160">
        <f t="shared" si="0"/>
        <v>9</v>
      </c>
      <c r="B20" s="173" t="s">
        <v>29</v>
      </c>
      <c r="C20" s="224">
        <f>'Pg3 Rev App XII C5'!C19</f>
        <v>34.701834874795729</v>
      </c>
      <c r="D20" s="23" t="s">
        <v>24</v>
      </c>
      <c r="E20" s="215">
        <f>'Pg4 As Filed App XII C5 FERC'!C20</f>
        <v>33.043955572716825</v>
      </c>
      <c r="F20" s="152"/>
      <c r="G20" s="771">
        <f>C20-E20</f>
        <v>1.6578793020789035</v>
      </c>
      <c r="H20" s="8" t="s">
        <v>30</v>
      </c>
      <c r="I20" s="163">
        <f t="shared" si="1"/>
        <v>9</v>
      </c>
    </row>
    <row r="21" spans="1:13" x14ac:dyDescent="0.35">
      <c r="A21" s="160">
        <f t="shared" si="0"/>
        <v>10</v>
      </c>
      <c r="B21" s="173"/>
      <c r="C21" s="170"/>
      <c r="D21" s="170"/>
      <c r="E21" s="170"/>
      <c r="F21" s="170"/>
      <c r="G21" s="170"/>
      <c r="H21" s="181"/>
      <c r="I21" s="163">
        <f t="shared" si="1"/>
        <v>10</v>
      </c>
    </row>
    <row r="22" spans="1:13" x14ac:dyDescent="0.35">
      <c r="A22" s="160">
        <f t="shared" si="0"/>
        <v>11</v>
      </c>
      <c r="B22" s="173" t="s">
        <v>31</v>
      </c>
      <c r="C22" s="509">
        <f>'Pg3 Rev App XII C5'!C21</f>
        <v>-6.9126708186344317</v>
      </c>
      <c r="D22" s="174"/>
      <c r="E22" s="509">
        <f>'Pg4 As Filed App XII C5 FERC'!C22</f>
        <v>-6.9126708186344317</v>
      </c>
      <c r="F22" s="174"/>
      <c r="G22" s="253">
        <f>C22-E22</f>
        <v>0</v>
      </c>
      <c r="H22" s="8" t="s">
        <v>32</v>
      </c>
      <c r="I22" s="163">
        <f t="shared" si="1"/>
        <v>11</v>
      </c>
    </row>
    <row r="23" spans="1:13" x14ac:dyDescent="0.35">
      <c r="A23" s="160">
        <f t="shared" si="0"/>
        <v>12</v>
      </c>
      <c r="B23" s="175"/>
      <c r="C23" s="183"/>
      <c r="D23" s="183"/>
      <c r="E23" s="183"/>
      <c r="F23" s="183"/>
      <c r="G23" s="183"/>
      <c r="H23" s="178"/>
      <c r="I23" s="163">
        <f t="shared" si="1"/>
        <v>12</v>
      </c>
    </row>
    <row r="24" spans="1:13" x14ac:dyDescent="0.35">
      <c r="A24" s="160">
        <f t="shared" si="0"/>
        <v>13</v>
      </c>
      <c r="B24" s="175" t="s">
        <v>33</v>
      </c>
      <c r="C24" s="74">
        <f>'Pg3 Rev App XII C5'!C23</f>
        <v>909.37163679289029</v>
      </c>
      <c r="D24" s="23" t="s">
        <v>24</v>
      </c>
      <c r="E24" s="31">
        <f>'Pg4 As Filed App XII C5 FERC'!C24</f>
        <v>905.08309379423883</v>
      </c>
      <c r="F24" s="152"/>
      <c r="G24" s="74">
        <f>C24-E24</f>
        <v>4.2885429986514509</v>
      </c>
      <c r="H24" s="178" t="str">
        <f>"Sum Lines "&amp;A18&amp;", "&amp;A20&amp;", "&amp;A22</f>
        <v>Sum Lines 7, 9, 11</v>
      </c>
      <c r="I24" s="163">
        <f t="shared" si="1"/>
        <v>13</v>
      </c>
      <c r="K24" s="25"/>
    </row>
    <row r="25" spans="1:13" x14ac:dyDescent="0.35">
      <c r="A25" s="160">
        <f t="shared" si="0"/>
        <v>14</v>
      </c>
      <c r="B25" s="184"/>
      <c r="C25" s="73"/>
      <c r="D25" s="73"/>
      <c r="E25" s="73"/>
      <c r="F25" s="73"/>
      <c r="G25" s="73"/>
      <c r="H25" s="178"/>
      <c r="I25" s="163">
        <f t="shared" si="1"/>
        <v>14</v>
      </c>
      <c r="K25" s="25"/>
    </row>
    <row r="26" spans="1:13" x14ac:dyDescent="0.35">
      <c r="A26" s="160">
        <f t="shared" si="0"/>
        <v>15</v>
      </c>
      <c r="B26" s="173" t="s">
        <v>34</v>
      </c>
      <c r="C26" s="474">
        <f>'Pg3 Rev App XII C5'!C25</f>
        <v>-0.11252338032306822</v>
      </c>
      <c r="D26" s="73"/>
      <c r="E26" s="474">
        <f>'Pg4 As Filed App XII C5 FERC'!C26</f>
        <v>-0.11252338032306822</v>
      </c>
      <c r="F26" s="73"/>
      <c r="G26" s="253">
        <f>C26-E26</f>
        <v>0</v>
      </c>
      <c r="H26" s="8" t="s">
        <v>35</v>
      </c>
      <c r="I26" s="163">
        <f t="shared" si="1"/>
        <v>15</v>
      </c>
      <c r="K26" s="25"/>
    </row>
    <row r="27" spans="1:13" x14ac:dyDescent="0.35">
      <c r="A27" s="160">
        <f t="shared" si="0"/>
        <v>16</v>
      </c>
      <c r="B27" s="158"/>
      <c r="C27" s="185"/>
      <c r="D27" s="185"/>
      <c r="E27" s="185"/>
      <c r="F27" s="185"/>
      <c r="G27" s="185"/>
      <c r="H27" s="178"/>
      <c r="I27" s="163">
        <f t="shared" si="1"/>
        <v>16</v>
      </c>
    </row>
    <row r="28" spans="1:13" ht="16" thickBot="1" x14ac:dyDescent="0.4">
      <c r="A28" s="160">
        <f t="shared" si="0"/>
        <v>17</v>
      </c>
      <c r="B28" s="222" t="s">
        <v>36</v>
      </c>
      <c r="C28" s="226">
        <f>'Pg3 Rev App XII C5'!C27</f>
        <v>909.25911341256722</v>
      </c>
      <c r="D28" s="23" t="s">
        <v>24</v>
      </c>
      <c r="E28" s="216">
        <f>'Pg4 As Filed App XII C5 FERC'!C28</f>
        <v>904.97057041391577</v>
      </c>
      <c r="F28" s="152"/>
      <c r="G28" s="772">
        <f>C28-E28</f>
        <v>4.2885429986514509</v>
      </c>
      <c r="H28" s="178" t="str">
        <f>"Line "&amp;A24&amp;" + Line "&amp;A26</f>
        <v>Line 13 + Line 15</v>
      </c>
      <c r="I28" s="163">
        <f t="shared" si="1"/>
        <v>17</v>
      </c>
      <c r="L28" s="19"/>
      <c r="M28" s="187"/>
    </row>
    <row r="29" spans="1:13" ht="16.5" thickTop="1" thickBot="1" x14ac:dyDescent="0.4">
      <c r="A29" s="160">
        <f t="shared" si="0"/>
        <v>18</v>
      </c>
      <c r="B29" s="159"/>
      <c r="C29" s="227"/>
      <c r="D29" s="159"/>
      <c r="E29" s="159"/>
      <c r="F29" s="159"/>
      <c r="G29" s="159"/>
      <c r="H29" s="159"/>
      <c r="I29" s="163">
        <f t="shared" si="1"/>
        <v>18</v>
      </c>
    </row>
    <row r="31" spans="1:13" ht="16" thickBot="1" x14ac:dyDescent="0.4">
      <c r="A31" s="156"/>
      <c r="B31" s="189"/>
      <c r="C31" s="190"/>
      <c r="D31" s="190"/>
      <c r="E31" s="190"/>
      <c r="F31" s="190"/>
      <c r="G31" s="190"/>
      <c r="H31" s="190"/>
      <c r="I31" s="156"/>
    </row>
    <row r="32" spans="1:13" ht="60.5" x14ac:dyDescent="0.35">
      <c r="A32" s="489" t="s">
        <v>2</v>
      </c>
      <c r="B32" s="157"/>
      <c r="C32" s="229" t="str">
        <f>C9</f>
        <v>Revised - Appendix XII Cycle 5</v>
      </c>
      <c r="D32" s="157"/>
      <c r="E32" s="228" t="str">
        <f>E9</f>
        <v>As Filed - Appendix XII Cycle 5 ER23-110 and ER24-175</v>
      </c>
      <c r="F32" s="157"/>
      <c r="G32" s="157" t="str">
        <f>G9</f>
        <v>Difference</v>
      </c>
      <c r="H32" s="157"/>
      <c r="I32" s="490" t="s">
        <v>2</v>
      </c>
    </row>
    <row r="33" spans="1:11" x14ac:dyDescent="0.35">
      <c r="A33" s="160" t="s">
        <v>3</v>
      </c>
      <c r="B33" s="292" t="s">
        <v>37</v>
      </c>
      <c r="C33" s="292" t="str">
        <f>C10</f>
        <v>Amounts</v>
      </c>
      <c r="D33" s="292"/>
      <c r="E33" s="292" t="str">
        <f>E10</f>
        <v>Amounts</v>
      </c>
      <c r="F33" s="292"/>
      <c r="G33" s="292" t="str">
        <f>G10</f>
        <v>Incr (Decr)</v>
      </c>
      <c r="H33" s="292" t="str">
        <f>H10</f>
        <v>Reference</v>
      </c>
      <c r="I33" s="163" t="s">
        <v>3</v>
      </c>
    </row>
    <row r="34" spans="1:11" x14ac:dyDescent="0.35">
      <c r="A34" s="160">
        <f>A29+1</f>
        <v>19</v>
      </c>
      <c r="B34" s="158"/>
      <c r="C34" s="165"/>
      <c r="D34" s="164"/>
      <c r="E34" s="164"/>
      <c r="F34" s="164"/>
      <c r="G34" s="164"/>
      <c r="H34" s="165"/>
      <c r="I34" s="163">
        <f>I29+1</f>
        <v>19</v>
      </c>
    </row>
    <row r="35" spans="1:11" x14ac:dyDescent="0.35">
      <c r="A35" s="160">
        <f>A34+1</f>
        <v>20</v>
      </c>
      <c r="B35" s="173" t="str">
        <f>B12</f>
        <v>Section 1 - Direct Maintenance Expense Cost Component</v>
      </c>
      <c r="C35" s="193">
        <f>'Pg3 Rev App XII C5'!C34</f>
        <v>0</v>
      </c>
      <c r="D35" s="193"/>
      <c r="E35" s="193">
        <f>'Pg4 As Filed App XII C5 FERC'!C35</f>
        <v>0</v>
      </c>
      <c r="F35" s="193"/>
      <c r="G35" s="193">
        <f>C35-E35</f>
        <v>0</v>
      </c>
      <c r="H35" s="8" t="s">
        <v>38</v>
      </c>
      <c r="I35" s="163">
        <f>I34+1</f>
        <v>20</v>
      </c>
    </row>
    <row r="36" spans="1:11" x14ac:dyDescent="0.35">
      <c r="A36" s="160">
        <f t="shared" ref="A36:A54" si="2">A35+1</f>
        <v>21</v>
      </c>
      <c r="B36" s="221"/>
      <c r="C36" s="194"/>
      <c r="D36" s="194"/>
      <c r="E36" s="194"/>
      <c r="F36" s="194"/>
      <c r="G36" s="194"/>
      <c r="H36" s="195"/>
      <c r="I36" s="163">
        <f t="shared" ref="I36:I54" si="3">I35+1</f>
        <v>21</v>
      </c>
    </row>
    <row r="37" spans="1:11" x14ac:dyDescent="0.35">
      <c r="A37" s="160">
        <f t="shared" si="2"/>
        <v>22</v>
      </c>
      <c r="B37" s="173" t="str">
        <f>B14</f>
        <v>Section 2 - Non-Direct Expense Cost Component</v>
      </c>
      <c r="C37" s="230">
        <f>'Pg3 Rev App XII C5'!C36</f>
        <v>78.259302440139635</v>
      </c>
      <c r="D37" s="23" t="s">
        <v>24</v>
      </c>
      <c r="E37" s="235">
        <f>'Pg4 As Filed App XII C5 FERC'!C37</f>
        <v>78.123413798758591</v>
      </c>
      <c r="F37" s="152"/>
      <c r="G37" s="472">
        <f>C37-E37</f>
        <v>0.13588864138104384</v>
      </c>
      <c r="H37" s="8" t="s">
        <v>39</v>
      </c>
      <c r="I37" s="163">
        <f t="shared" si="3"/>
        <v>22</v>
      </c>
    </row>
    <row r="38" spans="1:11" x14ac:dyDescent="0.35">
      <c r="A38" s="160">
        <f t="shared" si="2"/>
        <v>23</v>
      </c>
      <c r="B38" s="221"/>
      <c r="C38" s="231"/>
      <c r="D38" s="196"/>
      <c r="E38" s="196"/>
      <c r="F38" s="196"/>
      <c r="G38" s="196"/>
      <c r="H38" s="197"/>
      <c r="I38" s="163">
        <f t="shared" si="3"/>
        <v>23</v>
      </c>
    </row>
    <row r="39" spans="1:11" x14ac:dyDescent="0.35">
      <c r="A39" s="160">
        <f t="shared" si="2"/>
        <v>24</v>
      </c>
      <c r="B39" s="173" t="str">
        <f>B16</f>
        <v>Section 3 - Cost Component Containing Other Specific Expenses</v>
      </c>
      <c r="C39" s="510">
        <f>'Pg3 Rev App XII C5'!C38</f>
        <v>-4.7940963787455502</v>
      </c>
      <c r="D39" s="198"/>
      <c r="E39" s="510">
        <f>'Pg4 As Filed App XII C5 FERC'!C39</f>
        <v>-4.7940963787455502</v>
      </c>
      <c r="F39" s="198"/>
      <c r="G39" s="510">
        <f>C39-E39</f>
        <v>0</v>
      </c>
      <c r="H39" s="8" t="s">
        <v>40</v>
      </c>
      <c r="I39" s="163">
        <f t="shared" si="3"/>
        <v>24</v>
      </c>
    </row>
    <row r="40" spans="1:11" x14ac:dyDescent="0.35">
      <c r="A40" s="160">
        <f t="shared" si="2"/>
        <v>25</v>
      </c>
      <c r="B40" s="175"/>
      <c r="C40" s="196"/>
      <c r="D40" s="196"/>
      <c r="E40" s="196"/>
      <c r="F40" s="196"/>
      <c r="G40" s="196"/>
      <c r="H40" s="168"/>
      <c r="I40" s="163">
        <f t="shared" si="3"/>
        <v>25</v>
      </c>
    </row>
    <row r="41" spans="1:11" x14ac:dyDescent="0.35">
      <c r="A41" s="160">
        <f t="shared" si="2"/>
        <v>26</v>
      </c>
      <c r="B41" s="222" t="s">
        <v>41</v>
      </c>
      <c r="C41" s="232">
        <f>'Pg3 Rev App XII C5'!C40</f>
        <v>73.465206061394085</v>
      </c>
      <c r="D41" s="23" t="s">
        <v>24</v>
      </c>
      <c r="E41" s="238">
        <f>'Pg4 As Filed App XII C5 FERC'!C41</f>
        <v>73.329317420013041</v>
      </c>
      <c r="F41" s="152"/>
      <c r="G41" s="473">
        <f>C41-E41</f>
        <v>0.13588864138104384</v>
      </c>
      <c r="H41" s="178" t="str">
        <f>"Sum Lines "&amp;A35&amp;", "&amp;A37&amp;", "&amp;A39</f>
        <v>Sum Lines 20, 22, 24</v>
      </c>
      <c r="I41" s="163">
        <f t="shared" si="3"/>
        <v>26</v>
      </c>
    </row>
    <row r="42" spans="1:11" x14ac:dyDescent="0.35">
      <c r="A42" s="160">
        <f t="shared" si="2"/>
        <v>27</v>
      </c>
      <c r="B42" s="158"/>
      <c r="C42" s="231"/>
      <c r="D42" s="196"/>
      <c r="E42" s="196"/>
      <c r="F42" s="196"/>
      <c r="G42" s="196"/>
      <c r="H42" s="172"/>
      <c r="I42" s="163">
        <f t="shared" si="3"/>
        <v>27</v>
      </c>
    </row>
    <row r="43" spans="1:11" x14ac:dyDescent="0.35">
      <c r="A43" s="160">
        <f t="shared" si="2"/>
        <v>28</v>
      </c>
      <c r="B43" s="173" t="str">
        <f>LEFT(B20,45)</f>
        <v>Section 4 - True-Up Adjustment Cost Component</v>
      </c>
      <c r="C43" s="230">
        <f>'Pg3 Rev App XII C5'!C42</f>
        <v>2.8918195728996441</v>
      </c>
      <c r="D43" s="23" t="s">
        <v>24</v>
      </c>
      <c r="E43" s="236">
        <f>'Pg4 As Filed App XII C5 FERC'!C43</f>
        <v>2.7536629643930688</v>
      </c>
      <c r="F43" s="152"/>
      <c r="G43" s="472">
        <f>C43-E43</f>
        <v>0.1381566085065753</v>
      </c>
      <c r="H43" s="8" t="s">
        <v>42</v>
      </c>
      <c r="I43" s="163">
        <f t="shared" si="3"/>
        <v>28</v>
      </c>
    </row>
    <row r="44" spans="1:11" x14ac:dyDescent="0.35">
      <c r="A44" s="160">
        <f t="shared" si="2"/>
        <v>29</v>
      </c>
      <c r="B44" s="173"/>
      <c r="C44" s="231"/>
      <c r="D44" s="196"/>
      <c r="E44" s="196"/>
      <c r="F44" s="196"/>
      <c r="G44" s="196"/>
      <c r="H44" s="199"/>
      <c r="I44" s="163">
        <f t="shared" si="3"/>
        <v>29</v>
      </c>
    </row>
    <row r="45" spans="1:11" x14ac:dyDescent="0.35">
      <c r="A45" s="160">
        <f t="shared" si="2"/>
        <v>30</v>
      </c>
      <c r="B45" s="173" t="str">
        <f>B22</f>
        <v>Section 5 - Interest True-Up Adjustment Cost Component</v>
      </c>
      <c r="C45" s="198">
        <f>'Pg3 Rev App XII C5'!C44</f>
        <v>-0.57605590155286934</v>
      </c>
      <c r="D45" s="198"/>
      <c r="E45" s="198">
        <f>'Pg4 As Filed App XII C5 FERC'!C45</f>
        <v>-0.57605590155286934</v>
      </c>
      <c r="F45" s="198"/>
      <c r="G45" s="198">
        <f>C45-E45</f>
        <v>0</v>
      </c>
      <c r="H45" s="8" t="s">
        <v>43</v>
      </c>
      <c r="I45" s="163">
        <f t="shared" si="3"/>
        <v>30</v>
      </c>
    </row>
    <row r="46" spans="1:11" x14ac:dyDescent="0.35">
      <c r="A46" s="160">
        <f t="shared" si="2"/>
        <v>31</v>
      </c>
      <c r="B46" s="175"/>
      <c r="C46" s="27"/>
      <c r="D46" s="26"/>
      <c r="E46" s="26"/>
      <c r="F46" s="26"/>
      <c r="G46" s="26"/>
      <c r="H46" s="200"/>
      <c r="I46" s="163">
        <f t="shared" si="3"/>
        <v>31</v>
      </c>
    </row>
    <row r="47" spans="1:11" x14ac:dyDescent="0.35">
      <c r="A47" s="160">
        <f t="shared" si="2"/>
        <v>32</v>
      </c>
      <c r="B47" s="173" t="str">
        <f>B26</f>
        <v>Other Adjustments</v>
      </c>
      <c r="C47" s="510">
        <f>'Pg3 Rev App XII C5'!C46</f>
        <v>-9.3769483602556842E-3</v>
      </c>
      <c r="D47" s="198"/>
      <c r="E47" s="510">
        <f>'Pg4 As Filed App XII C5 FERC'!C47</f>
        <v>-9.3769483602556842E-3</v>
      </c>
      <c r="F47" s="198"/>
      <c r="G47" s="510">
        <f>C47-E47</f>
        <v>0</v>
      </c>
      <c r="H47" s="8" t="s">
        <v>44</v>
      </c>
      <c r="I47" s="163">
        <f t="shared" si="3"/>
        <v>32</v>
      </c>
      <c r="K47" s="668"/>
    </row>
    <row r="48" spans="1:11" x14ac:dyDescent="0.35">
      <c r="A48" s="160">
        <f t="shared" si="2"/>
        <v>33</v>
      </c>
      <c r="B48" s="175"/>
      <c r="C48" s="27"/>
      <c r="D48" s="26"/>
      <c r="E48" s="26"/>
      <c r="F48" s="26"/>
      <c r="G48" s="26"/>
      <c r="H48" s="200"/>
      <c r="I48" s="163">
        <f t="shared" si="3"/>
        <v>33</v>
      </c>
    </row>
    <row r="49" spans="1:11" x14ac:dyDescent="0.35">
      <c r="A49" s="160">
        <f t="shared" si="2"/>
        <v>34</v>
      </c>
      <c r="B49" s="175" t="s">
        <v>45</v>
      </c>
      <c r="C49" s="233">
        <f>'Pg3 Rev App XII C5'!C48</f>
        <v>75.771592784380601</v>
      </c>
      <c r="D49" s="23" t="s">
        <v>24</v>
      </c>
      <c r="E49" s="237">
        <f>'Pg4 As Filed App XII C5 FERC'!C49</f>
        <v>75.414214201159652</v>
      </c>
      <c r="F49" s="152"/>
      <c r="G49" s="233">
        <f>C49-E49</f>
        <v>0.35737858322094951</v>
      </c>
      <c r="H49" s="178" t="str">
        <f>"Sum Lines "&amp;A41&amp;", "&amp;A43&amp;", "&amp;A45&amp;", "&amp;A47</f>
        <v>Sum Lines 26, 28, 30, 32</v>
      </c>
      <c r="I49" s="163">
        <f t="shared" si="3"/>
        <v>34</v>
      </c>
      <c r="K49" s="668"/>
    </row>
    <row r="50" spans="1:11" x14ac:dyDescent="0.35">
      <c r="A50" s="160">
        <f t="shared" si="2"/>
        <v>35</v>
      </c>
      <c r="B50" s="158"/>
      <c r="C50" s="234"/>
      <c r="D50" s="201"/>
      <c r="E50" s="201"/>
      <c r="F50" s="201"/>
      <c r="G50" s="201"/>
      <c r="H50" s="202"/>
      <c r="I50" s="163">
        <f t="shared" si="3"/>
        <v>35</v>
      </c>
    </row>
    <row r="51" spans="1:11" x14ac:dyDescent="0.35">
      <c r="A51" s="160">
        <f t="shared" si="2"/>
        <v>36</v>
      </c>
      <c r="B51" s="221" t="s">
        <v>11</v>
      </c>
      <c r="C51" s="511">
        <f>'Pg3 Rev App XII C5'!C50</f>
        <v>12</v>
      </c>
      <c r="D51" s="203"/>
      <c r="E51" s="511">
        <f>'Pg4 As Filed App XII C5 FERC'!C51</f>
        <v>12</v>
      </c>
      <c r="F51" s="203"/>
      <c r="G51" s="512">
        <f>C51-E51</f>
        <v>0</v>
      </c>
      <c r="H51" s="8" t="s">
        <v>46</v>
      </c>
      <c r="I51" s="163">
        <f t="shared" si="3"/>
        <v>36</v>
      </c>
    </row>
    <row r="52" spans="1:11" x14ac:dyDescent="0.35">
      <c r="A52" s="160">
        <f t="shared" si="2"/>
        <v>37</v>
      </c>
      <c r="B52" s="158"/>
      <c r="C52" s="234"/>
      <c r="D52" s="201"/>
      <c r="E52" s="201"/>
      <c r="F52" s="201"/>
      <c r="G52" s="201"/>
      <c r="H52" s="204"/>
      <c r="I52" s="163">
        <f t="shared" si="3"/>
        <v>37</v>
      </c>
    </row>
    <row r="53" spans="1:11" ht="16" thickBot="1" x14ac:dyDescent="0.4">
      <c r="A53" s="160">
        <f t="shared" si="2"/>
        <v>38</v>
      </c>
      <c r="B53" s="222" t="str">
        <f>B28</f>
        <v>Total Annual Costs</v>
      </c>
      <c r="C53" s="240">
        <f>'Pg3 Rev App XII C5'!C52</f>
        <v>909.25911341256722</v>
      </c>
      <c r="D53" s="23" t="s">
        <v>24</v>
      </c>
      <c r="E53" s="667">
        <f>'Pg4 As Filed App XII C5 FERC'!C53</f>
        <v>904.97057041391577</v>
      </c>
      <c r="F53" s="152"/>
      <c r="G53" s="772">
        <f>C53-E53</f>
        <v>4.2885429986514509</v>
      </c>
      <c r="H53" s="8" t="s">
        <v>47</v>
      </c>
      <c r="I53" s="163">
        <f t="shared" si="3"/>
        <v>38</v>
      </c>
    </row>
    <row r="54" spans="1:11" ht="16.5" thickTop="1" thickBot="1" x14ac:dyDescent="0.4">
      <c r="A54" s="160">
        <f t="shared" si="2"/>
        <v>39</v>
      </c>
      <c r="B54" s="159"/>
      <c r="C54" s="239"/>
      <c r="D54" s="205"/>
      <c r="E54" s="205"/>
      <c r="F54" s="205"/>
      <c r="G54" s="205"/>
      <c r="H54" s="206"/>
      <c r="I54" s="163">
        <f t="shared" si="3"/>
        <v>39</v>
      </c>
    </row>
    <row r="57" spans="1:11" x14ac:dyDescent="0.35">
      <c r="A57" s="23" t="s">
        <v>24</v>
      </c>
      <c r="B57" s="83" t="s">
        <v>705</v>
      </c>
    </row>
    <row r="58" spans="1:11" x14ac:dyDescent="0.35">
      <c r="B58" s="21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/>
  </sheetViews>
  <sheetFormatPr defaultColWidth="8.54296875" defaultRowHeight="15.5" x14ac:dyDescent="0.35"/>
  <cols>
    <col min="1" max="1" width="5.1796875" style="33" customWidth="1"/>
    <col min="2" max="2" width="73.1796875" style="17" bestFit="1" customWidth="1"/>
    <col min="3" max="3" width="18.1796875" style="17" customWidth="1"/>
    <col min="4" max="4" width="2" style="17" bestFit="1" customWidth="1"/>
    <col min="5" max="5" width="51.453125" style="17" bestFit="1" customWidth="1"/>
    <col min="6" max="6" width="5.1796875" style="33" customWidth="1"/>
    <col min="7" max="7" width="8.54296875" style="17"/>
    <col min="8" max="8" width="19" style="17" customWidth="1"/>
    <col min="9" max="16384" width="8.54296875" style="17"/>
  </cols>
  <sheetData>
    <row r="1" spans="1:8" x14ac:dyDescent="0.35">
      <c r="A1" s="156"/>
      <c r="B1" s="157"/>
      <c r="C1" s="157"/>
      <c r="D1" s="157"/>
      <c r="E1" s="157"/>
      <c r="F1" s="156"/>
    </row>
    <row r="2" spans="1:8" x14ac:dyDescent="0.35">
      <c r="A2" s="156"/>
      <c r="B2" s="805" t="s">
        <v>14</v>
      </c>
      <c r="C2" s="805"/>
      <c r="D2" s="805"/>
      <c r="E2" s="805"/>
      <c r="F2" s="157"/>
    </row>
    <row r="3" spans="1:8" x14ac:dyDescent="0.35">
      <c r="B3" s="805" t="s">
        <v>581</v>
      </c>
      <c r="C3" s="805"/>
      <c r="D3" s="805"/>
      <c r="E3" s="805"/>
      <c r="F3" s="153"/>
    </row>
    <row r="4" spans="1:8" x14ac:dyDescent="0.35">
      <c r="B4" s="805" t="s">
        <v>48</v>
      </c>
      <c r="C4" s="805"/>
      <c r="D4" s="805"/>
      <c r="E4" s="805"/>
      <c r="F4" s="153"/>
    </row>
    <row r="5" spans="1:8" x14ac:dyDescent="0.35">
      <c r="A5" s="156"/>
      <c r="B5" s="807" t="s">
        <v>574</v>
      </c>
      <c r="C5" s="807"/>
      <c r="D5" s="807"/>
      <c r="E5" s="807"/>
      <c r="F5" s="156"/>
      <c r="H5" s="357"/>
    </row>
    <row r="6" spans="1:8" x14ac:dyDescent="0.35">
      <c r="B6" s="806" t="s">
        <v>1</v>
      </c>
      <c r="C6" s="805"/>
      <c r="D6" s="805"/>
      <c r="E6" s="805"/>
      <c r="F6" s="153"/>
    </row>
    <row r="7" spans="1:8" ht="16" thickBot="1" x14ac:dyDescent="0.4">
      <c r="A7" s="156"/>
      <c r="B7" s="157"/>
      <c r="C7" s="158"/>
      <c r="D7" s="158"/>
      <c r="E7" s="158"/>
      <c r="F7" s="156"/>
    </row>
    <row r="8" spans="1:8" x14ac:dyDescent="0.35">
      <c r="A8" s="160" t="s">
        <v>2</v>
      </c>
      <c r="B8" s="161"/>
      <c r="C8" s="207"/>
      <c r="D8" s="609"/>
      <c r="E8" s="162"/>
      <c r="F8" s="154" t="s">
        <v>2</v>
      </c>
    </row>
    <row r="9" spans="1:8" x14ac:dyDescent="0.35">
      <c r="A9" s="160" t="s">
        <v>3</v>
      </c>
      <c r="B9" s="661" t="s">
        <v>19</v>
      </c>
      <c r="C9" s="613" t="s">
        <v>5</v>
      </c>
      <c r="D9" s="606"/>
      <c r="E9" s="662" t="s">
        <v>6</v>
      </c>
      <c r="F9" s="154" t="s">
        <v>3</v>
      </c>
    </row>
    <row r="10" spans="1:8" x14ac:dyDescent="0.35">
      <c r="A10" s="160"/>
      <c r="B10" s="614"/>
      <c r="C10" s="208"/>
      <c r="D10" s="164"/>
      <c r="E10" s="625"/>
      <c r="F10" s="154"/>
    </row>
    <row r="11" spans="1:8" x14ac:dyDescent="0.35">
      <c r="A11" s="160">
        <v>1</v>
      </c>
      <c r="B11" s="615" t="s">
        <v>21</v>
      </c>
      <c r="C11" s="209">
        <v>0</v>
      </c>
      <c r="D11" s="167"/>
      <c r="E11" s="626" t="s">
        <v>49</v>
      </c>
      <c r="F11" s="154">
        <f>A11</f>
        <v>1</v>
      </c>
      <c r="H11" s="559"/>
    </row>
    <row r="12" spans="1:8" x14ac:dyDescent="0.35">
      <c r="A12" s="160">
        <f>A11+1</f>
        <v>2</v>
      </c>
      <c r="B12" s="616"/>
      <c r="C12" s="210"/>
      <c r="D12" s="170"/>
      <c r="E12" s="624"/>
      <c r="F12" s="154">
        <f>F11+1</f>
        <v>2</v>
      </c>
      <c r="H12" s="559"/>
    </row>
    <row r="13" spans="1:8" x14ac:dyDescent="0.35">
      <c r="A13" s="160">
        <f t="shared" ref="A13:A28" si="0">A12+1</f>
        <v>3</v>
      </c>
      <c r="B13" s="615" t="s">
        <v>23</v>
      </c>
      <c r="C13" s="605">
        <f>'Pg5 Rev Sec.2-Non-Dir Exp'!E35</f>
        <v>939.11162928167562</v>
      </c>
      <c r="D13" s="23" t="s">
        <v>24</v>
      </c>
      <c r="E13" s="626" t="s">
        <v>468</v>
      </c>
      <c r="F13" s="154">
        <f t="shared" ref="F13:F28" si="1">F12+1</f>
        <v>3</v>
      </c>
      <c r="H13" s="559"/>
    </row>
    <row r="14" spans="1:8" x14ac:dyDescent="0.35">
      <c r="A14" s="160">
        <f t="shared" si="0"/>
        <v>4</v>
      </c>
      <c r="B14" s="616"/>
      <c r="C14" s="560"/>
      <c r="D14" s="174"/>
      <c r="E14" s="627"/>
      <c r="F14" s="154">
        <f t="shared" si="1"/>
        <v>4</v>
      </c>
      <c r="H14" s="559"/>
    </row>
    <row r="15" spans="1:8" x14ac:dyDescent="0.35">
      <c r="A15" s="160">
        <f t="shared" si="0"/>
        <v>5</v>
      </c>
      <c r="B15" s="617" t="s">
        <v>26</v>
      </c>
      <c r="C15" s="412">
        <v>-57.529156544946602</v>
      </c>
      <c r="D15" s="174"/>
      <c r="E15" s="626" t="s">
        <v>50</v>
      </c>
      <c r="F15" s="154">
        <f t="shared" si="1"/>
        <v>5</v>
      </c>
      <c r="H15" s="559"/>
    </row>
    <row r="16" spans="1:8" x14ac:dyDescent="0.35">
      <c r="A16" s="160">
        <f t="shared" si="0"/>
        <v>6</v>
      </c>
      <c r="B16" s="618"/>
      <c r="C16" s="561"/>
      <c r="D16" s="607"/>
      <c r="E16" s="626"/>
      <c r="F16" s="154">
        <f t="shared" si="1"/>
        <v>6</v>
      </c>
      <c r="H16" s="562"/>
    </row>
    <row r="17" spans="1:10" x14ac:dyDescent="0.35">
      <c r="A17" s="160">
        <f t="shared" si="0"/>
        <v>7</v>
      </c>
      <c r="B17" s="619" t="s">
        <v>51</v>
      </c>
      <c r="C17" s="177">
        <f>C11+C13+C15</f>
        <v>881.58247273672896</v>
      </c>
      <c r="D17" s="23" t="s">
        <v>24</v>
      </c>
      <c r="E17" s="628" t="s">
        <v>52</v>
      </c>
      <c r="F17" s="154">
        <f t="shared" si="1"/>
        <v>7</v>
      </c>
      <c r="H17" s="562"/>
    </row>
    <row r="18" spans="1:10" x14ac:dyDescent="0.35">
      <c r="A18" s="160">
        <f t="shared" si="0"/>
        <v>8</v>
      </c>
      <c r="B18" s="620"/>
      <c r="C18" s="563"/>
      <c r="D18" s="610"/>
      <c r="E18" s="629"/>
      <c r="F18" s="154">
        <f t="shared" si="1"/>
        <v>8</v>
      </c>
      <c r="H18" s="559"/>
    </row>
    <row r="19" spans="1:10" x14ac:dyDescent="0.35">
      <c r="A19" s="160">
        <f t="shared" si="0"/>
        <v>9</v>
      </c>
      <c r="B19" s="615" t="s">
        <v>29</v>
      </c>
      <c r="C19" s="171">
        <f>'Pg7 Rev Sec.4-TU'!O30</f>
        <v>34.701834874795729</v>
      </c>
      <c r="D19" s="23" t="s">
        <v>24</v>
      </c>
      <c r="E19" s="626" t="s">
        <v>469</v>
      </c>
      <c r="F19" s="154">
        <f t="shared" si="1"/>
        <v>9</v>
      </c>
      <c r="H19" s="562"/>
    </row>
    <row r="20" spans="1:10" x14ac:dyDescent="0.35">
      <c r="A20" s="160">
        <f t="shared" si="0"/>
        <v>10</v>
      </c>
      <c r="B20" s="615"/>
      <c r="C20" s="560"/>
      <c r="D20" s="174"/>
      <c r="E20" s="630"/>
      <c r="F20" s="154">
        <f t="shared" si="1"/>
        <v>10</v>
      </c>
      <c r="H20" s="559"/>
    </row>
    <row r="21" spans="1:10" x14ac:dyDescent="0.35">
      <c r="A21" s="160">
        <f t="shared" si="0"/>
        <v>11</v>
      </c>
      <c r="B21" s="615" t="s">
        <v>31</v>
      </c>
      <c r="C21" s="412">
        <v>-6.9126708186344317</v>
      </c>
      <c r="D21" s="174"/>
      <c r="E21" s="628" t="s">
        <v>53</v>
      </c>
      <c r="F21" s="154">
        <f t="shared" si="1"/>
        <v>11</v>
      </c>
      <c r="H21" s="562"/>
    </row>
    <row r="22" spans="1:10" x14ac:dyDescent="0.35">
      <c r="A22" s="160">
        <f t="shared" si="0"/>
        <v>12</v>
      </c>
      <c r="B22" s="618"/>
      <c r="C22" s="182"/>
      <c r="D22" s="611"/>
      <c r="E22" s="628"/>
      <c r="F22" s="154">
        <f t="shared" si="1"/>
        <v>12</v>
      </c>
      <c r="H22" s="562"/>
    </row>
    <row r="23" spans="1:10" x14ac:dyDescent="0.35">
      <c r="A23" s="160">
        <f t="shared" si="0"/>
        <v>13</v>
      </c>
      <c r="B23" s="618" t="s">
        <v>33</v>
      </c>
      <c r="C23" s="75">
        <f>C17+C19+C21</f>
        <v>909.37163679289029</v>
      </c>
      <c r="D23" s="23" t="s">
        <v>24</v>
      </c>
      <c r="E23" s="628" t="s">
        <v>54</v>
      </c>
      <c r="F23" s="154">
        <f t="shared" si="1"/>
        <v>13</v>
      </c>
      <c r="H23" s="564"/>
    </row>
    <row r="24" spans="1:10" x14ac:dyDescent="0.35">
      <c r="A24" s="160">
        <f t="shared" si="0"/>
        <v>14</v>
      </c>
      <c r="B24" s="621"/>
      <c r="C24" s="565"/>
      <c r="D24" s="608"/>
      <c r="E24" s="628"/>
      <c r="F24" s="154">
        <f t="shared" si="1"/>
        <v>14</v>
      </c>
      <c r="H24" s="562"/>
    </row>
    <row r="25" spans="1:10" x14ac:dyDescent="0.35">
      <c r="A25" s="160">
        <f t="shared" si="0"/>
        <v>15</v>
      </c>
      <c r="B25" s="617" t="s">
        <v>34</v>
      </c>
      <c r="C25" s="413">
        <v>-0.11252338032306822</v>
      </c>
      <c r="D25" s="73"/>
      <c r="E25" s="628" t="s">
        <v>55</v>
      </c>
      <c r="F25" s="154">
        <f t="shared" si="1"/>
        <v>15</v>
      </c>
      <c r="H25" s="566"/>
    </row>
    <row r="26" spans="1:10" x14ac:dyDescent="0.35">
      <c r="A26" s="160">
        <f t="shared" si="0"/>
        <v>16</v>
      </c>
      <c r="B26" s="622"/>
      <c r="C26" s="567"/>
      <c r="D26" s="612"/>
      <c r="E26" s="628"/>
      <c r="F26" s="154">
        <f t="shared" si="1"/>
        <v>16</v>
      </c>
      <c r="H26" s="559"/>
    </row>
    <row r="27" spans="1:10" ht="16" thickBot="1" x14ac:dyDescent="0.4">
      <c r="A27" s="160">
        <f t="shared" si="0"/>
        <v>17</v>
      </c>
      <c r="B27" s="619" t="s">
        <v>36</v>
      </c>
      <c r="C27" s="186">
        <f>C23+C25</f>
        <v>909.25911341256722</v>
      </c>
      <c r="D27" s="23" t="s">
        <v>24</v>
      </c>
      <c r="E27" s="628" t="s">
        <v>56</v>
      </c>
      <c r="F27" s="154">
        <f t="shared" si="1"/>
        <v>17</v>
      </c>
      <c r="H27" s="566"/>
      <c r="I27" s="19"/>
      <c r="J27" s="187"/>
    </row>
    <row r="28" spans="1:10" ht="16.5" thickTop="1" thickBot="1" x14ac:dyDescent="0.4">
      <c r="A28" s="160">
        <f t="shared" si="0"/>
        <v>18</v>
      </c>
      <c r="B28" s="623"/>
      <c r="C28" s="188"/>
      <c r="D28" s="159"/>
      <c r="E28" s="631"/>
      <c r="F28" s="154">
        <f t="shared" si="1"/>
        <v>18</v>
      </c>
    </row>
    <row r="29" spans="1:10" x14ac:dyDescent="0.35">
      <c r="H29" s="357"/>
    </row>
    <row r="30" spans="1:10" ht="16" thickBot="1" x14ac:dyDescent="0.4">
      <c r="A30" s="156"/>
      <c r="B30" s="189"/>
      <c r="C30" s="190"/>
      <c r="D30" s="190"/>
      <c r="E30" s="190"/>
      <c r="F30" s="156"/>
      <c r="H30" s="357"/>
    </row>
    <row r="31" spans="1:10" x14ac:dyDescent="0.35">
      <c r="A31" s="160" t="s">
        <v>2</v>
      </c>
      <c r="B31" s="191"/>
      <c r="C31" s="738"/>
      <c r="D31" s="157"/>
      <c r="E31" s="157"/>
      <c r="F31" s="163" t="s">
        <v>2</v>
      </c>
    </row>
    <row r="32" spans="1:10" x14ac:dyDescent="0.35">
      <c r="A32" s="160" t="s">
        <v>3</v>
      </c>
      <c r="B32" s="613" t="s">
        <v>37</v>
      </c>
      <c r="C32" s="740" t="str">
        <f>C9</f>
        <v>Amounts</v>
      </c>
      <c r="D32" s="606"/>
      <c r="E32" s="606" t="str">
        <f>E9</f>
        <v>Reference</v>
      </c>
      <c r="F32" s="163" t="s">
        <v>3</v>
      </c>
    </row>
    <row r="33" spans="1:8" x14ac:dyDescent="0.35">
      <c r="A33" s="160">
        <f>A28+1</f>
        <v>19</v>
      </c>
      <c r="B33" s="192"/>
      <c r="C33" s="743"/>
      <c r="D33" s="164"/>
      <c r="E33" s="165"/>
      <c r="F33" s="163">
        <f>F28+1</f>
        <v>19</v>
      </c>
    </row>
    <row r="34" spans="1:8" x14ac:dyDescent="0.35">
      <c r="A34" s="160">
        <f>A33+1</f>
        <v>20</v>
      </c>
      <c r="B34" s="166" t="str">
        <f>B11</f>
        <v>Section 1 - Direct Maintenance Expense Cost Component</v>
      </c>
      <c r="C34" s="754">
        <f>C11/12</f>
        <v>0</v>
      </c>
      <c r="D34" s="193"/>
      <c r="E34" s="168" t="s">
        <v>549</v>
      </c>
      <c r="F34" s="163">
        <f>F33+1</f>
        <v>20</v>
      </c>
    </row>
    <row r="35" spans="1:8" x14ac:dyDescent="0.35">
      <c r="A35" s="160">
        <f t="shared" ref="A35:A53" si="2">A34+1</f>
        <v>21</v>
      </c>
      <c r="B35" s="169"/>
      <c r="C35" s="755"/>
      <c r="D35" s="194"/>
      <c r="E35" s="195"/>
      <c r="F35" s="163">
        <f t="shared" ref="F35:F53" si="3">F34+1</f>
        <v>21</v>
      </c>
    </row>
    <row r="36" spans="1:8" x14ac:dyDescent="0.35">
      <c r="A36" s="160">
        <f t="shared" si="2"/>
        <v>22</v>
      </c>
      <c r="B36" s="166" t="str">
        <f>B13</f>
        <v>Section 2 - Non-Direct Expense Cost Component</v>
      </c>
      <c r="C36" s="756">
        <f>C13/12</f>
        <v>78.259302440139635</v>
      </c>
      <c r="D36" s="23" t="s">
        <v>24</v>
      </c>
      <c r="E36" s="168" t="s">
        <v>550</v>
      </c>
      <c r="F36" s="163">
        <f t="shared" si="3"/>
        <v>22</v>
      </c>
    </row>
    <row r="37" spans="1:8" x14ac:dyDescent="0.35">
      <c r="A37" s="160">
        <f t="shared" si="2"/>
        <v>23</v>
      </c>
      <c r="B37" s="169"/>
      <c r="C37" s="757"/>
      <c r="D37" s="196"/>
      <c r="E37" s="197"/>
      <c r="F37" s="163">
        <f t="shared" si="3"/>
        <v>23</v>
      </c>
    </row>
    <row r="38" spans="1:8" x14ac:dyDescent="0.35">
      <c r="A38" s="160">
        <f t="shared" si="2"/>
        <v>24</v>
      </c>
      <c r="B38" s="166" t="str">
        <f>B15</f>
        <v>Section 3 - Cost Component Containing Other Specific Expenses</v>
      </c>
      <c r="C38" s="758">
        <f>C15/12</f>
        <v>-4.7940963787455502</v>
      </c>
      <c r="D38" s="198"/>
      <c r="E38" s="168" t="s">
        <v>551</v>
      </c>
      <c r="F38" s="163">
        <f t="shared" si="3"/>
        <v>24</v>
      </c>
    </row>
    <row r="39" spans="1:8" x14ac:dyDescent="0.35">
      <c r="A39" s="160">
        <f t="shared" si="2"/>
        <v>25</v>
      </c>
      <c r="B39" s="179"/>
      <c r="C39" s="759"/>
      <c r="D39" s="196"/>
      <c r="E39" s="168"/>
      <c r="F39" s="163">
        <f t="shared" si="3"/>
        <v>25</v>
      </c>
    </row>
    <row r="40" spans="1:8" x14ac:dyDescent="0.35">
      <c r="A40" s="160">
        <f t="shared" si="2"/>
        <v>26</v>
      </c>
      <c r="B40" s="176" t="s">
        <v>57</v>
      </c>
      <c r="C40" s="760">
        <f>C34+C36+C38</f>
        <v>73.465206061394085</v>
      </c>
      <c r="D40" s="23" t="s">
        <v>24</v>
      </c>
      <c r="E40" s="178" t="s">
        <v>470</v>
      </c>
      <c r="F40" s="163">
        <f t="shared" si="3"/>
        <v>26</v>
      </c>
    </row>
    <row r="41" spans="1:8" x14ac:dyDescent="0.35">
      <c r="A41" s="160">
        <f t="shared" si="2"/>
        <v>27</v>
      </c>
      <c r="B41" s="192"/>
      <c r="C41" s="757"/>
      <c r="D41" s="196"/>
      <c r="E41" s="172"/>
      <c r="F41" s="163">
        <f t="shared" si="3"/>
        <v>27</v>
      </c>
      <c r="H41" s="568"/>
    </row>
    <row r="42" spans="1:8" x14ac:dyDescent="0.35">
      <c r="A42" s="160">
        <f t="shared" si="2"/>
        <v>28</v>
      </c>
      <c r="B42" s="166" t="str">
        <f>LEFT(B19,45)</f>
        <v>Section 4 - True-Up Adjustment Cost Component</v>
      </c>
      <c r="C42" s="756">
        <f>C19/12</f>
        <v>2.8918195728996441</v>
      </c>
      <c r="D42" s="23" t="s">
        <v>24</v>
      </c>
      <c r="E42" s="168" t="s">
        <v>552</v>
      </c>
      <c r="F42" s="163">
        <f t="shared" si="3"/>
        <v>28</v>
      </c>
    </row>
    <row r="43" spans="1:8" x14ac:dyDescent="0.35">
      <c r="A43" s="160">
        <f t="shared" si="2"/>
        <v>29</v>
      </c>
      <c r="B43" s="166"/>
      <c r="C43" s="757"/>
      <c r="D43" s="196"/>
      <c r="E43" s="199"/>
      <c r="F43" s="163">
        <f t="shared" si="3"/>
        <v>29</v>
      </c>
    </row>
    <row r="44" spans="1:8" x14ac:dyDescent="0.35">
      <c r="A44" s="160">
        <f t="shared" si="2"/>
        <v>30</v>
      </c>
      <c r="B44" s="166" t="str">
        <f>B21</f>
        <v>Section 5 - Interest True-Up Adjustment Cost Component</v>
      </c>
      <c r="C44" s="761">
        <f>C21/12</f>
        <v>-0.57605590155286934</v>
      </c>
      <c r="D44" s="293"/>
      <c r="E44" s="178" t="s">
        <v>553</v>
      </c>
      <c r="F44" s="163">
        <f t="shared" si="3"/>
        <v>30</v>
      </c>
    </row>
    <row r="45" spans="1:8" x14ac:dyDescent="0.35">
      <c r="A45" s="160">
        <f t="shared" si="2"/>
        <v>31</v>
      </c>
      <c r="B45" s="179"/>
      <c r="C45" s="762"/>
      <c r="D45" s="26"/>
      <c r="E45" s="200"/>
      <c r="F45" s="163">
        <f t="shared" si="3"/>
        <v>31</v>
      </c>
    </row>
    <row r="46" spans="1:8" x14ac:dyDescent="0.35">
      <c r="A46" s="160">
        <f t="shared" si="2"/>
        <v>32</v>
      </c>
      <c r="B46" s="173" t="str">
        <f>B25</f>
        <v>Other Adjustments</v>
      </c>
      <c r="C46" s="758">
        <f>C25/12</f>
        <v>-9.3769483602556842E-3</v>
      </c>
      <c r="D46" s="198"/>
      <c r="E46" s="178" t="s">
        <v>554</v>
      </c>
      <c r="F46" s="163">
        <f t="shared" si="3"/>
        <v>32</v>
      </c>
    </row>
    <row r="47" spans="1:8" x14ac:dyDescent="0.35">
      <c r="A47" s="160">
        <f t="shared" si="2"/>
        <v>33</v>
      </c>
      <c r="B47" s="175"/>
      <c r="C47" s="762"/>
      <c r="D47" s="26"/>
      <c r="E47" s="200"/>
      <c r="F47" s="163">
        <f t="shared" si="3"/>
        <v>33</v>
      </c>
    </row>
    <row r="48" spans="1:8" ht="16" thickBot="1" x14ac:dyDescent="0.4">
      <c r="A48" s="160">
        <f t="shared" si="2"/>
        <v>34</v>
      </c>
      <c r="B48" s="175" t="s">
        <v>45</v>
      </c>
      <c r="C48" s="763">
        <f>C27/12</f>
        <v>75.771592784380601</v>
      </c>
      <c r="D48" s="23" t="s">
        <v>24</v>
      </c>
      <c r="E48" s="178" t="s">
        <v>555</v>
      </c>
      <c r="F48" s="163">
        <f t="shared" si="3"/>
        <v>34</v>
      </c>
      <c r="H48" s="562"/>
    </row>
    <row r="49" spans="1:8" ht="16" thickTop="1" x14ac:dyDescent="0.35">
      <c r="A49" s="160">
        <f t="shared" si="2"/>
        <v>35</v>
      </c>
      <c r="B49" s="192"/>
      <c r="C49" s="764"/>
      <c r="D49" s="201"/>
      <c r="E49" s="202"/>
      <c r="F49" s="163">
        <f t="shared" si="3"/>
        <v>35</v>
      </c>
      <c r="H49" s="686"/>
    </row>
    <row r="50" spans="1:8" x14ac:dyDescent="0.35">
      <c r="A50" s="160">
        <f t="shared" si="2"/>
        <v>36</v>
      </c>
      <c r="B50" s="169" t="s">
        <v>11</v>
      </c>
      <c r="C50" s="801">
        <v>12</v>
      </c>
      <c r="D50" s="203"/>
      <c r="E50" s="202"/>
      <c r="F50" s="163">
        <f t="shared" si="3"/>
        <v>36</v>
      </c>
    </row>
    <row r="51" spans="1:8" x14ac:dyDescent="0.35">
      <c r="A51" s="160">
        <f t="shared" si="2"/>
        <v>37</v>
      </c>
      <c r="B51" s="192"/>
      <c r="C51" s="764"/>
      <c r="D51" s="201"/>
      <c r="E51" s="204"/>
      <c r="F51" s="163">
        <f t="shared" si="3"/>
        <v>37</v>
      </c>
    </row>
    <row r="52" spans="1:8" ht="16" thickBot="1" x14ac:dyDescent="0.4">
      <c r="A52" s="160">
        <f t="shared" si="2"/>
        <v>38</v>
      </c>
      <c r="B52" s="176" t="str">
        <f>B27</f>
        <v>Total Annual Costs</v>
      </c>
      <c r="C52" s="802">
        <f>C48*C50</f>
        <v>909.25911341256722</v>
      </c>
      <c r="D52" s="23" t="s">
        <v>24</v>
      </c>
      <c r="E52" s="178" t="s">
        <v>556</v>
      </c>
      <c r="F52" s="163">
        <f t="shared" si="3"/>
        <v>38</v>
      </c>
    </row>
    <row r="53" spans="1:8" ht="16.5" thickTop="1" thickBot="1" x14ac:dyDescent="0.4">
      <c r="A53" s="160">
        <f t="shared" si="2"/>
        <v>39</v>
      </c>
      <c r="B53" s="159"/>
      <c r="C53" s="767"/>
      <c r="D53" s="205"/>
      <c r="E53" s="206"/>
      <c r="F53" s="163">
        <f t="shared" si="3"/>
        <v>39</v>
      </c>
    </row>
    <row r="56" spans="1:8" x14ac:dyDescent="0.35">
      <c r="A56" s="23" t="s">
        <v>24</v>
      </c>
      <c r="B56" s="21" t="str">
        <f>'Pg2 App XII C5 Comparison'!B57</f>
        <v>Items in BOLD have changed to correct the over-allocation of "Duplicate Charges (Company Energy Use)" Credit in FERC Account no. 929.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45C1-CD4F-4FF0-9664-FC431DA1EECE}">
  <sheetPr>
    <pageSetUpPr fitToPage="1"/>
  </sheetPr>
  <dimension ref="A1:J58"/>
  <sheetViews>
    <sheetView zoomScale="80" zoomScaleNormal="80" workbookViewId="0"/>
  </sheetViews>
  <sheetFormatPr defaultColWidth="8.81640625" defaultRowHeight="15.5" x14ac:dyDescent="0.35"/>
  <cols>
    <col min="1" max="1" width="5.1796875" style="33" customWidth="1"/>
    <col min="2" max="2" width="77.6328125" style="17" customWidth="1"/>
    <col min="3" max="3" width="21.81640625" style="17" customWidth="1"/>
    <col min="4" max="4" width="1.54296875" style="17" customWidth="1"/>
    <col min="5" max="5" width="57.1796875" style="17" customWidth="1"/>
    <col min="6" max="6" width="5.1796875" style="33" customWidth="1"/>
    <col min="7" max="7" width="8.81640625" style="17"/>
    <col min="8" max="8" width="9.36328125" style="17" bestFit="1" customWidth="1"/>
    <col min="9" max="16384" width="8.81640625" style="17"/>
  </cols>
  <sheetData>
    <row r="1" spans="1:8" x14ac:dyDescent="0.35">
      <c r="A1" s="519" t="s">
        <v>687</v>
      </c>
    </row>
    <row r="2" spans="1:8" x14ac:dyDescent="0.35">
      <c r="A2" s="723"/>
      <c r="B2" s="157"/>
      <c r="C2" s="157"/>
      <c r="D2" s="157"/>
      <c r="E2" s="737"/>
      <c r="F2" s="723"/>
    </row>
    <row r="3" spans="1:8" x14ac:dyDescent="0.35">
      <c r="A3" s="723"/>
      <c r="B3" s="805" t="s">
        <v>14</v>
      </c>
      <c r="C3" s="805"/>
      <c r="D3" s="805"/>
      <c r="E3" s="805"/>
      <c r="F3" s="157"/>
    </row>
    <row r="4" spans="1:8" x14ac:dyDescent="0.35">
      <c r="B4" s="805" t="s">
        <v>581</v>
      </c>
      <c r="C4" s="805"/>
      <c r="D4" s="805"/>
      <c r="E4" s="805"/>
      <c r="F4" s="153"/>
    </row>
    <row r="5" spans="1:8" x14ac:dyDescent="0.35">
      <c r="B5" s="805" t="s">
        <v>48</v>
      </c>
      <c r="C5" s="805"/>
      <c r="D5" s="805"/>
      <c r="E5" s="805"/>
      <c r="F5" s="153"/>
    </row>
    <row r="6" spans="1:8" x14ac:dyDescent="0.35">
      <c r="A6" s="723"/>
      <c r="B6" s="807" t="s">
        <v>574</v>
      </c>
      <c r="C6" s="807"/>
      <c r="D6" s="807"/>
      <c r="E6" s="807"/>
      <c r="F6" s="723"/>
    </row>
    <row r="7" spans="1:8" x14ac:dyDescent="0.35">
      <c r="B7" s="806" t="s">
        <v>1</v>
      </c>
      <c r="C7" s="805"/>
      <c r="D7" s="805"/>
      <c r="E7" s="805"/>
      <c r="F7" s="153"/>
    </row>
    <row r="8" spans="1:8" ht="16" thickBot="1" x14ac:dyDescent="0.4">
      <c r="A8" s="723"/>
      <c r="B8" s="157"/>
      <c r="C8" s="158"/>
      <c r="D8" s="159"/>
      <c r="E8" s="158"/>
      <c r="F8" s="723"/>
    </row>
    <row r="9" spans="1:8" x14ac:dyDescent="0.35">
      <c r="A9" s="160" t="s">
        <v>2</v>
      </c>
      <c r="B9" s="161"/>
      <c r="C9" s="738"/>
      <c r="D9" s="157"/>
      <c r="E9" s="162"/>
      <c r="F9" s="163" t="s">
        <v>2</v>
      </c>
    </row>
    <row r="10" spans="1:8" x14ac:dyDescent="0.35">
      <c r="A10" s="160" t="s">
        <v>3</v>
      </c>
      <c r="B10" s="739" t="s">
        <v>19</v>
      </c>
      <c r="C10" s="740" t="s">
        <v>5</v>
      </c>
      <c r="D10" s="741"/>
      <c r="E10" s="741" t="s">
        <v>6</v>
      </c>
      <c r="F10" s="163" t="s">
        <v>3</v>
      </c>
    </row>
    <row r="11" spans="1:8" x14ac:dyDescent="0.35">
      <c r="A11" s="160"/>
      <c r="B11" s="742"/>
      <c r="C11" s="743"/>
      <c r="D11" s="164"/>
      <c r="E11" s="165"/>
      <c r="F11" s="163"/>
    </row>
    <row r="12" spans="1:8" x14ac:dyDescent="0.35">
      <c r="A12" s="160">
        <v>1</v>
      </c>
      <c r="B12" s="166" t="s">
        <v>21</v>
      </c>
      <c r="C12" s="744">
        <v>0</v>
      </c>
      <c r="D12" s="167"/>
      <c r="E12" s="168" t="s">
        <v>49</v>
      </c>
      <c r="F12" s="163">
        <f>A12</f>
        <v>1</v>
      </c>
      <c r="H12" s="19"/>
    </row>
    <row r="13" spans="1:8" x14ac:dyDescent="0.35">
      <c r="A13" s="160">
        <f>A12+1</f>
        <v>2</v>
      </c>
      <c r="B13" s="169"/>
      <c r="C13" s="745"/>
      <c r="D13" s="170"/>
      <c r="E13" s="157"/>
      <c r="F13" s="163">
        <f>F12+1</f>
        <v>2</v>
      </c>
    </row>
    <row r="14" spans="1:8" x14ac:dyDescent="0.35">
      <c r="A14" s="160">
        <f t="shared" ref="A14:A29" si="0">A13+1</f>
        <v>3</v>
      </c>
      <c r="B14" s="166" t="s">
        <v>23</v>
      </c>
      <c r="C14" s="746">
        <v>937.48096558510304</v>
      </c>
      <c r="D14" s="23"/>
      <c r="E14" s="168" t="s">
        <v>468</v>
      </c>
      <c r="F14" s="163">
        <f t="shared" ref="F14:F29" si="1">F13+1</f>
        <v>3</v>
      </c>
      <c r="H14" s="25"/>
    </row>
    <row r="15" spans="1:8" x14ac:dyDescent="0.35">
      <c r="A15" s="160">
        <f t="shared" si="0"/>
        <v>4</v>
      </c>
      <c r="B15" s="169"/>
      <c r="C15" s="745"/>
      <c r="D15" s="170"/>
      <c r="E15" s="172"/>
      <c r="F15" s="163">
        <f t="shared" si="1"/>
        <v>4</v>
      </c>
    </row>
    <row r="16" spans="1:8" x14ac:dyDescent="0.35">
      <c r="A16" s="160">
        <f t="shared" si="0"/>
        <v>5</v>
      </c>
      <c r="B16" s="173" t="s">
        <v>26</v>
      </c>
      <c r="C16" s="747">
        <v>-57.529156544946602</v>
      </c>
      <c r="D16" s="174"/>
      <c r="E16" s="168" t="s">
        <v>50</v>
      </c>
      <c r="F16" s="163">
        <f t="shared" si="1"/>
        <v>5</v>
      </c>
      <c r="H16" s="25"/>
    </row>
    <row r="17" spans="1:10" x14ac:dyDescent="0.35">
      <c r="A17" s="160">
        <f t="shared" si="0"/>
        <v>6</v>
      </c>
      <c r="B17" s="175"/>
      <c r="C17" s="746"/>
      <c r="D17" s="174"/>
      <c r="E17" s="168"/>
      <c r="F17" s="163">
        <f t="shared" si="1"/>
        <v>6</v>
      </c>
      <c r="H17" s="25"/>
    </row>
    <row r="18" spans="1:10" x14ac:dyDescent="0.35">
      <c r="A18" s="160">
        <f t="shared" si="0"/>
        <v>7</v>
      </c>
      <c r="B18" s="176" t="s">
        <v>28</v>
      </c>
      <c r="C18" s="748">
        <f>C12+C14+C16-1</f>
        <v>878.95180904015638</v>
      </c>
      <c r="D18" s="23"/>
      <c r="E18" s="178" t="s">
        <v>52</v>
      </c>
      <c r="F18" s="163">
        <f t="shared" si="1"/>
        <v>7</v>
      </c>
      <c r="H18" s="25"/>
    </row>
    <row r="19" spans="1:10" x14ac:dyDescent="0.35">
      <c r="A19" s="160">
        <f t="shared" si="0"/>
        <v>8</v>
      </c>
      <c r="B19" s="179"/>
      <c r="C19" s="745"/>
      <c r="D19" s="170"/>
      <c r="E19" s="180"/>
      <c r="F19" s="163">
        <f t="shared" si="1"/>
        <v>8</v>
      </c>
    </row>
    <row r="20" spans="1:10" x14ac:dyDescent="0.35">
      <c r="A20" s="160">
        <f t="shared" si="0"/>
        <v>9</v>
      </c>
      <c r="B20" s="166" t="s">
        <v>29</v>
      </c>
      <c r="C20" s="749">
        <v>33.043955572716825</v>
      </c>
      <c r="D20" s="23" t="s">
        <v>24</v>
      </c>
      <c r="E20" s="168" t="s">
        <v>620</v>
      </c>
      <c r="F20" s="163">
        <f t="shared" si="1"/>
        <v>9</v>
      </c>
    </row>
    <row r="21" spans="1:10" x14ac:dyDescent="0.35">
      <c r="A21" s="160">
        <f t="shared" si="0"/>
        <v>10</v>
      </c>
      <c r="B21" s="166"/>
      <c r="C21" s="745"/>
      <c r="D21" s="170"/>
      <c r="E21" s="181"/>
      <c r="F21" s="163">
        <f t="shared" si="1"/>
        <v>10</v>
      </c>
    </row>
    <row r="22" spans="1:10" x14ac:dyDescent="0.35">
      <c r="A22" s="160">
        <f t="shared" si="0"/>
        <v>11</v>
      </c>
      <c r="B22" s="166" t="s">
        <v>31</v>
      </c>
      <c r="C22" s="747">
        <v>-6.9126708186344317</v>
      </c>
      <c r="D22" s="174"/>
      <c r="E22" s="178" t="s">
        <v>53</v>
      </c>
      <c r="F22" s="163">
        <f t="shared" si="1"/>
        <v>11</v>
      </c>
    </row>
    <row r="23" spans="1:10" x14ac:dyDescent="0.35">
      <c r="A23" s="160">
        <f t="shared" si="0"/>
        <v>12</v>
      </c>
      <c r="B23" s="175"/>
      <c r="C23" s="182"/>
      <c r="D23" s="183"/>
      <c r="E23" s="178"/>
      <c r="F23" s="163">
        <f t="shared" si="1"/>
        <v>12</v>
      </c>
    </row>
    <row r="24" spans="1:10" x14ac:dyDescent="0.35">
      <c r="A24" s="160">
        <f t="shared" si="0"/>
        <v>13</v>
      </c>
      <c r="B24" s="175" t="s">
        <v>33</v>
      </c>
      <c r="C24" s="71">
        <f>C18+C20+C22</f>
        <v>905.08309379423883</v>
      </c>
      <c r="D24" s="23"/>
      <c r="E24" s="178" t="s">
        <v>54</v>
      </c>
      <c r="F24" s="163">
        <f t="shared" si="1"/>
        <v>13</v>
      </c>
      <c r="H24" s="25"/>
    </row>
    <row r="25" spans="1:10" x14ac:dyDescent="0.35">
      <c r="A25" s="160">
        <f t="shared" si="0"/>
        <v>14</v>
      </c>
      <c r="B25" s="184"/>
      <c r="C25" s="72"/>
      <c r="D25" s="73"/>
      <c r="E25" s="178"/>
      <c r="F25" s="163">
        <f t="shared" si="1"/>
        <v>14</v>
      </c>
      <c r="H25" s="25"/>
    </row>
    <row r="26" spans="1:10" x14ac:dyDescent="0.35">
      <c r="A26" s="160">
        <f t="shared" si="0"/>
        <v>15</v>
      </c>
      <c r="B26" s="173" t="s">
        <v>34</v>
      </c>
      <c r="C26" s="750">
        <v>-0.11252338032306822</v>
      </c>
      <c r="D26" s="73"/>
      <c r="E26" s="178" t="s">
        <v>55</v>
      </c>
      <c r="F26" s="163">
        <f t="shared" si="1"/>
        <v>15</v>
      </c>
      <c r="H26" s="25"/>
    </row>
    <row r="27" spans="1:10" x14ac:dyDescent="0.35">
      <c r="A27" s="160">
        <f t="shared" si="0"/>
        <v>16</v>
      </c>
      <c r="B27" s="158"/>
      <c r="C27" s="751"/>
      <c r="D27" s="185"/>
      <c r="E27" s="178"/>
      <c r="F27" s="163">
        <f t="shared" si="1"/>
        <v>16</v>
      </c>
    </row>
    <row r="28" spans="1:10" ht="16" thickBot="1" x14ac:dyDescent="0.4">
      <c r="A28" s="160">
        <f t="shared" si="0"/>
        <v>17</v>
      </c>
      <c r="B28" s="176" t="s">
        <v>36</v>
      </c>
      <c r="C28" s="186">
        <f>C24+C26</f>
        <v>904.97057041391577</v>
      </c>
      <c r="D28" s="23" t="s">
        <v>24</v>
      </c>
      <c r="E28" s="178" t="s">
        <v>56</v>
      </c>
      <c r="F28" s="163">
        <f t="shared" si="1"/>
        <v>17</v>
      </c>
      <c r="I28" s="19"/>
      <c r="J28" s="187"/>
    </row>
    <row r="29" spans="1:10" ht="16.5" thickTop="1" thickBot="1" x14ac:dyDescent="0.4">
      <c r="A29" s="160">
        <f t="shared" si="0"/>
        <v>18</v>
      </c>
      <c r="B29" s="188"/>
      <c r="C29" s="752"/>
      <c r="D29" s="159"/>
      <c r="E29" s="159"/>
      <c r="F29" s="163">
        <f t="shared" si="1"/>
        <v>18</v>
      </c>
    </row>
    <row r="31" spans="1:10" ht="16" thickBot="1" x14ac:dyDescent="0.4">
      <c r="A31" s="723"/>
      <c r="B31" s="753"/>
      <c r="C31" s="190"/>
      <c r="D31" s="190"/>
      <c r="E31" s="190"/>
      <c r="F31" s="723"/>
    </row>
    <row r="32" spans="1:10" x14ac:dyDescent="0.35">
      <c r="A32" s="160" t="s">
        <v>2</v>
      </c>
      <c r="B32" s="191"/>
      <c r="C32" s="738"/>
      <c r="D32" s="157"/>
      <c r="E32" s="157"/>
      <c r="F32" s="163" t="s">
        <v>2</v>
      </c>
    </row>
    <row r="33" spans="1:8" x14ac:dyDescent="0.35">
      <c r="A33" s="160" t="s">
        <v>3</v>
      </c>
      <c r="B33" s="739" t="s">
        <v>37</v>
      </c>
      <c r="C33" s="740" t="str">
        <f>C10</f>
        <v>Amounts</v>
      </c>
      <c r="D33" s="741"/>
      <c r="E33" s="741" t="str">
        <f>E10</f>
        <v>Reference</v>
      </c>
      <c r="F33" s="163" t="s">
        <v>3</v>
      </c>
    </row>
    <row r="34" spans="1:8" x14ac:dyDescent="0.35">
      <c r="A34" s="160">
        <f>A29+1</f>
        <v>19</v>
      </c>
      <c r="B34" s="192"/>
      <c r="C34" s="743"/>
      <c r="D34" s="164"/>
      <c r="E34" s="165"/>
      <c r="F34" s="163">
        <f>F29+1</f>
        <v>19</v>
      </c>
    </row>
    <row r="35" spans="1:8" x14ac:dyDescent="0.35">
      <c r="A35" s="160">
        <f>A34+1</f>
        <v>20</v>
      </c>
      <c r="B35" s="166" t="str">
        <f>B12</f>
        <v>Section 1 - Direct Maintenance Expense Cost Component</v>
      </c>
      <c r="C35" s="754">
        <f>C12/12</f>
        <v>0</v>
      </c>
      <c r="D35" s="193"/>
      <c r="E35" s="168" t="str">
        <f>"Line "&amp;A12&amp;" / "&amp;C51&amp;" Months"</f>
        <v>Line 1 / 12 Months</v>
      </c>
      <c r="F35" s="163">
        <f>F34+1</f>
        <v>20</v>
      </c>
    </row>
    <row r="36" spans="1:8" x14ac:dyDescent="0.35">
      <c r="A36" s="160">
        <f t="shared" ref="A36:A54" si="2">A35+1</f>
        <v>21</v>
      </c>
      <c r="B36" s="169"/>
      <c r="C36" s="755"/>
      <c r="D36" s="194"/>
      <c r="E36" s="195"/>
      <c r="F36" s="163">
        <f t="shared" ref="F36:F54" si="3">F35+1</f>
        <v>21</v>
      </c>
    </row>
    <row r="37" spans="1:8" x14ac:dyDescent="0.35">
      <c r="A37" s="160">
        <f t="shared" si="2"/>
        <v>22</v>
      </c>
      <c r="B37" s="166" t="str">
        <f>B14</f>
        <v>Section 2 - Non-Direct Expense Cost Component</v>
      </c>
      <c r="C37" s="756">
        <f>C14/12</f>
        <v>78.123413798758591</v>
      </c>
      <c r="D37" s="23" t="s">
        <v>24</v>
      </c>
      <c r="E37" s="168" t="str">
        <f>"Line "&amp;A14&amp;" / "&amp;C51&amp;" Months"</f>
        <v>Line 3 / 12 Months</v>
      </c>
      <c r="F37" s="163">
        <f t="shared" si="3"/>
        <v>22</v>
      </c>
    </row>
    <row r="38" spans="1:8" x14ac:dyDescent="0.35">
      <c r="A38" s="160">
        <f t="shared" si="2"/>
        <v>23</v>
      </c>
      <c r="B38" s="169"/>
      <c r="C38" s="757"/>
      <c r="D38" s="196"/>
      <c r="E38" s="197"/>
      <c r="F38" s="163">
        <f t="shared" si="3"/>
        <v>23</v>
      </c>
    </row>
    <row r="39" spans="1:8" x14ac:dyDescent="0.35">
      <c r="A39" s="160">
        <f t="shared" si="2"/>
        <v>24</v>
      </c>
      <c r="B39" s="166" t="str">
        <f>B16</f>
        <v>Section 3 - Cost Component Containing Other Specific Expenses</v>
      </c>
      <c r="C39" s="758">
        <f>C16/12</f>
        <v>-4.7940963787455502</v>
      </c>
      <c r="D39" s="23"/>
      <c r="E39" s="168" t="str">
        <f>"Line "&amp;A16&amp;" / "&amp;C51&amp;" Months"</f>
        <v>Line 5 / 12 Months</v>
      </c>
      <c r="F39" s="163">
        <f t="shared" si="3"/>
        <v>24</v>
      </c>
    </row>
    <row r="40" spans="1:8" x14ac:dyDescent="0.35">
      <c r="A40" s="160">
        <f t="shared" si="2"/>
        <v>25</v>
      </c>
      <c r="B40" s="179"/>
      <c r="C40" s="759"/>
      <c r="D40" s="196"/>
      <c r="E40" s="168"/>
      <c r="F40" s="163">
        <f t="shared" si="3"/>
        <v>25</v>
      </c>
    </row>
    <row r="41" spans="1:8" x14ac:dyDescent="0.35">
      <c r="A41" s="160">
        <f t="shared" si="2"/>
        <v>26</v>
      </c>
      <c r="B41" s="176" t="s">
        <v>41</v>
      </c>
      <c r="C41" s="760">
        <f>C35+C37+C39</f>
        <v>73.329317420013041</v>
      </c>
      <c r="D41" s="23" t="s">
        <v>24</v>
      </c>
      <c r="E41" s="178" t="str">
        <f>"Sum Lines "&amp;A35&amp;", "&amp;A37&amp;", "&amp;A39</f>
        <v>Sum Lines 20, 22, 24</v>
      </c>
      <c r="F41" s="163">
        <f t="shared" si="3"/>
        <v>26</v>
      </c>
    </row>
    <row r="42" spans="1:8" x14ac:dyDescent="0.35">
      <c r="A42" s="160">
        <f t="shared" si="2"/>
        <v>27</v>
      </c>
      <c r="B42" s="192"/>
      <c r="C42" s="757"/>
      <c r="D42" s="196"/>
      <c r="E42" s="172"/>
      <c r="F42" s="163">
        <f t="shared" si="3"/>
        <v>27</v>
      </c>
    </row>
    <row r="43" spans="1:8" x14ac:dyDescent="0.35">
      <c r="A43" s="160">
        <f t="shared" si="2"/>
        <v>28</v>
      </c>
      <c r="B43" s="166" t="str">
        <f>LEFT(B20,45)</f>
        <v>Section 4 - True-Up Adjustment Cost Component</v>
      </c>
      <c r="C43" s="756">
        <f>C20/12</f>
        <v>2.7536629643930688</v>
      </c>
      <c r="D43" s="23" t="s">
        <v>24</v>
      </c>
      <c r="E43" s="168" t="str">
        <f>"Line "&amp;A20&amp;" / "&amp;C51&amp;" Months"</f>
        <v>Line 9 / 12 Months</v>
      </c>
      <c r="F43" s="163">
        <f t="shared" si="3"/>
        <v>28</v>
      </c>
    </row>
    <row r="44" spans="1:8" x14ac:dyDescent="0.35">
      <c r="A44" s="160">
        <f t="shared" si="2"/>
        <v>29</v>
      </c>
      <c r="B44" s="166"/>
      <c r="C44" s="757"/>
      <c r="D44" s="196"/>
      <c r="E44" s="199"/>
      <c r="F44" s="163">
        <f t="shared" si="3"/>
        <v>29</v>
      </c>
    </row>
    <row r="45" spans="1:8" x14ac:dyDescent="0.35">
      <c r="A45" s="160">
        <f t="shared" si="2"/>
        <v>30</v>
      </c>
      <c r="B45" s="166" t="str">
        <f>B22</f>
        <v>Section 5 - Interest True-Up Adjustment Cost Component</v>
      </c>
      <c r="C45" s="761">
        <f>C22/12</f>
        <v>-0.57605590155286934</v>
      </c>
      <c r="D45" s="198"/>
      <c r="E45" s="178" t="str">
        <f>"Line "&amp;A22&amp;" / "&amp;C51&amp;" Months"</f>
        <v>Line 11 / 12 Months</v>
      </c>
      <c r="F45" s="163">
        <f t="shared" si="3"/>
        <v>30</v>
      </c>
    </row>
    <row r="46" spans="1:8" x14ac:dyDescent="0.35">
      <c r="A46" s="160">
        <f t="shared" si="2"/>
        <v>31</v>
      </c>
      <c r="B46" s="179"/>
      <c r="C46" s="762"/>
      <c r="D46" s="26"/>
      <c r="E46" s="200"/>
      <c r="F46" s="163">
        <f t="shared" si="3"/>
        <v>31</v>
      </c>
    </row>
    <row r="47" spans="1:8" x14ac:dyDescent="0.35">
      <c r="A47" s="160">
        <f t="shared" si="2"/>
        <v>32</v>
      </c>
      <c r="B47" s="173" t="str">
        <f>B26</f>
        <v>Other Adjustments</v>
      </c>
      <c r="C47" s="758">
        <f>C26/12</f>
        <v>-9.3769483602556842E-3</v>
      </c>
      <c r="D47" s="198"/>
      <c r="E47" s="178" t="str">
        <f>"Line "&amp;A26&amp;" / "&amp;C51&amp;" Months"</f>
        <v>Line 15 / 12 Months</v>
      </c>
      <c r="F47" s="163">
        <f t="shared" si="3"/>
        <v>32</v>
      </c>
    </row>
    <row r="48" spans="1:8" x14ac:dyDescent="0.35">
      <c r="A48" s="160">
        <f t="shared" si="2"/>
        <v>33</v>
      </c>
      <c r="B48" s="175"/>
      <c r="C48" s="762"/>
      <c r="D48" s="26"/>
      <c r="E48" s="200"/>
      <c r="F48" s="163">
        <f t="shared" si="3"/>
        <v>33</v>
      </c>
      <c r="H48" s="562"/>
    </row>
    <row r="49" spans="1:8" ht="16" thickBot="1" x14ac:dyDescent="0.4">
      <c r="A49" s="160">
        <f t="shared" si="2"/>
        <v>34</v>
      </c>
      <c r="B49" s="175" t="s">
        <v>45</v>
      </c>
      <c r="C49" s="763">
        <f>C28/12</f>
        <v>75.414214201159652</v>
      </c>
      <c r="D49" s="23" t="s">
        <v>24</v>
      </c>
      <c r="E49" s="178" t="str">
        <f>"Sum Lines "&amp;A41&amp;", "&amp;A43&amp;", "&amp;A45&amp;", "&amp;A47</f>
        <v>Sum Lines 26, 28, 30, 32</v>
      </c>
      <c r="F49" s="163">
        <f t="shared" si="3"/>
        <v>34</v>
      </c>
      <c r="H49" s="686"/>
    </row>
    <row r="50" spans="1:8" ht="16" thickTop="1" x14ac:dyDescent="0.35">
      <c r="A50" s="160">
        <f t="shared" si="2"/>
        <v>35</v>
      </c>
      <c r="B50" s="192"/>
      <c r="C50" s="764"/>
      <c r="D50" s="201"/>
      <c r="E50" s="202"/>
      <c r="F50" s="163">
        <f t="shared" si="3"/>
        <v>35</v>
      </c>
    </row>
    <row r="51" spans="1:8" x14ac:dyDescent="0.35">
      <c r="A51" s="160">
        <f t="shared" si="2"/>
        <v>36</v>
      </c>
      <c r="B51" s="169" t="s">
        <v>11</v>
      </c>
      <c r="C51" s="765">
        <v>12</v>
      </c>
      <c r="D51" s="203"/>
      <c r="E51" s="202"/>
      <c r="F51" s="163">
        <f t="shared" si="3"/>
        <v>36</v>
      </c>
    </row>
    <row r="52" spans="1:8" x14ac:dyDescent="0.35">
      <c r="A52" s="160">
        <f t="shared" si="2"/>
        <v>37</v>
      </c>
      <c r="B52" s="192"/>
      <c r="C52" s="764"/>
      <c r="D52" s="201"/>
      <c r="E52" s="204"/>
      <c r="F52" s="163">
        <f t="shared" si="3"/>
        <v>37</v>
      </c>
    </row>
    <row r="53" spans="1:8" ht="16" thickBot="1" x14ac:dyDescent="0.4">
      <c r="A53" s="160">
        <f t="shared" si="2"/>
        <v>38</v>
      </c>
      <c r="B53" s="176" t="str">
        <f>B28</f>
        <v>Total Annual Costs</v>
      </c>
      <c r="C53" s="766">
        <f>C49*C51</f>
        <v>904.97057041391577</v>
      </c>
      <c r="D53" s="23" t="s">
        <v>24</v>
      </c>
      <c r="E53" s="178" t="str">
        <f>"Line "&amp;A49&amp;" x Line "&amp;A51</f>
        <v>Line 34 x Line 36</v>
      </c>
      <c r="F53" s="163">
        <f t="shared" si="3"/>
        <v>38</v>
      </c>
    </row>
    <row r="54" spans="1:8" ht="16.5" thickTop="1" thickBot="1" x14ac:dyDescent="0.4">
      <c r="A54" s="160">
        <f t="shared" si="2"/>
        <v>39</v>
      </c>
      <c r="B54" s="159"/>
      <c r="C54" s="767"/>
      <c r="D54" s="205"/>
      <c r="E54" s="206"/>
      <c r="F54" s="163">
        <f t="shared" si="3"/>
        <v>39</v>
      </c>
    </row>
    <row r="57" spans="1:8" x14ac:dyDescent="0.35">
      <c r="A57" s="23" t="s">
        <v>24</v>
      </c>
      <c r="B57" s="296" t="s">
        <v>649</v>
      </c>
    </row>
    <row r="58" spans="1:8" x14ac:dyDescent="0.35">
      <c r="B58" s="21"/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 SUMMARY OF COST COMPONENTS WITH COST ADJ INCL. IN APPENDIX XII CYCLE 6 (ER24-175)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1552-422B-4C19-B45D-F2AADFBDF86B}">
  <dimension ref="A1:J161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93.1796875" style="17" bestFit="1" customWidth="1"/>
    <col min="3" max="3" width="10.453125" style="17" customWidth="1"/>
    <col min="4" max="4" width="1.54296875" style="17" customWidth="1"/>
    <col min="5" max="5" width="16.81640625" style="17" customWidth="1"/>
    <col min="6" max="6" width="1.54296875" style="17" customWidth="1"/>
    <col min="7" max="7" width="43.453125" style="17" customWidth="1"/>
    <col min="8" max="8" width="5.1796875" style="33" customWidth="1"/>
    <col min="9" max="9" width="8.81640625" style="17"/>
    <col min="10" max="10" width="9.81640625" style="17" bestFit="1" customWidth="1"/>
    <col min="11" max="16384" width="8.81640625" style="17"/>
  </cols>
  <sheetData>
    <row r="1" spans="1:8" x14ac:dyDescent="0.35">
      <c r="A1" s="295"/>
      <c r="B1" s="296"/>
      <c r="C1" s="296"/>
      <c r="D1" s="296"/>
      <c r="E1" s="297"/>
      <c r="F1" s="297"/>
      <c r="G1" s="297"/>
      <c r="H1" s="156"/>
    </row>
    <row r="2" spans="1:8" x14ac:dyDescent="0.35">
      <c r="A2" s="295"/>
      <c r="B2" s="809" t="s">
        <v>14</v>
      </c>
      <c r="C2" s="809"/>
      <c r="D2" s="809"/>
      <c r="E2" s="809"/>
      <c r="F2" s="809"/>
      <c r="G2" s="809"/>
      <c r="H2" s="156"/>
    </row>
    <row r="3" spans="1:8" x14ac:dyDescent="0.35">
      <c r="B3" s="809" t="s">
        <v>581</v>
      </c>
      <c r="C3" s="809"/>
      <c r="D3" s="809"/>
      <c r="E3" s="809"/>
      <c r="F3" s="809"/>
      <c r="G3" s="809"/>
      <c r="H3" s="295"/>
    </row>
    <row r="4" spans="1:8" x14ac:dyDescent="0.35">
      <c r="B4" s="809" t="s">
        <v>58</v>
      </c>
      <c r="C4" s="809"/>
      <c r="D4" s="809"/>
      <c r="E4" s="809"/>
      <c r="F4" s="809"/>
      <c r="G4" s="809"/>
      <c r="H4" s="295"/>
    </row>
    <row r="5" spans="1:8" x14ac:dyDescent="0.35">
      <c r="B5" s="810" t="s">
        <v>476</v>
      </c>
      <c r="C5" s="810"/>
      <c r="D5" s="810"/>
      <c r="E5" s="810"/>
      <c r="F5" s="810"/>
      <c r="G5" s="810"/>
      <c r="H5" s="295"/>
    </row>
    <row r="6" spans="1:8" x14ac:dyDescent="0.35">
      <c r="B6" s="811" t="s">
        <v>1</v>
      </c>
      <c r="C6" s="811"/>
      <c r="D6" s="811"/>
      <c r="E6" s="811"/>
      <c r="F6" s="811"/>
      <c r="G6" s="811"/>
      <c r="H6" s="298"/>
    </row>
    <row r="7" spans="1:8" x14ac:dyDescent="0.35">
      <c r="A7" s="299"/>
      <c r="B7" s="469"/>
      <c r="C7" s="469"/>
      <c r="D7" s="469"/>
      <c r="E7" s="469"/>
      <c r="F7" s="469"/>
      <c r="G7" s="297"/>
      <c r="H7" s="156"/>
    </row>
    <row r="8" spans="1:8" x14ac:dyDescent="0.35">
      <c r="A8" s="300" t="s">
        <v>2</v>
      </c>
      <c r="B8" s="296"/>
      <c r="C8" s="296"/>
      <c r="D8" s="296"/>
      <c r="E8" s="469"/>
      <c r="F8" s="469"/>
      <c r="G8" s="296"/>
      <c r="H8" s="300" t="s">
        <v>2</v>
      </c>
    </row>
    <row r="9" spans="1:8" x14ac:dyDescent="0.35">
      <c r="A9" s="300" t="s">
        <v>3</v>
      </c>
      <c r="B9" s="296"/>
      <c r="C9" s="296"/>
      <c r="D9" s="296"/>
      <c r="E9" s="642" t="s">
        <v>5</v>
      </c>
      <c r="F9" s="301"/>
      <c r="G9" s="642" t="s">
        <v>6</v>
      </c>
      <c r="H9" s="300" t="s">
        <v>3</v>
      </c>
    </row>
    <row r="10" spans="1:8" x14ac:dyDescent="0.35">
      <c r="A10" s="300"/>
      <c r="B10" s="296"/>
      <c r="C10" s="296"/>
      <c r="D10" s="296"/>
      <c r="E10" s="469"/>
      <c r="F10" s="301"/>
      <c r="G10" s="469"/>
      <c r="H10" s="300"/>
    </row>
    <row r="11" spans="1:8" x14ac:dyDescent="0.35">
      <c r="A11" s="300">
        <v>1</v>
      </c>
      <c r="B11" s="302" t="s">
        <v>59</v>
      </c>
      <c r="C11" s="302"/>
      <c r="D11" s="302"/>
      <c r="E11" s="297"/>
      <c r="F11" s="297"/>
      <c r="G11" s="469"/>
      <c r="H11" s="300">
        <f>A11</f>
        <v>1</v>
      </c>
    </row>
    <row r="12" spans="1:8" x14ac:dyDescent="0.35">
      <c r="A12" s="300">
        <f>A11+1</f>
        <v>2</v>
      </c>
      <c r="B12" s="303" t="s">
        <v>60</v>
      </c>
      <c r="C12" s="304"/>
      <c r="D12" s="304"/>
      <c r="E12" s="308">
        <f>E55</f>
        <v>6.6164028400862674E-3</v>
      </c>
      <c r="F12" s="309"/>
      <c r="G12" s="305" t="s">
        <v>557</v>
      </c>
      <c r="H12" s="300">
        <f>H11+1</f>
        <v>2</v>
      </c>
    </row>
    <row r="13" spans="1:8" x14ac:dyDescent="0.35">
      <c r="A13" s="300">
        <f t="shared" ref="A13:A35" si="0">A12+1</f>
        <v>3</v>
      </c>
      <c r="B13" s="296"/>
      <c r="C13" s="306"/>
      <c r="D13" s="306"/>
      <c r="E13" s="307"/>
      <c r="F13" s="301"/>
      <c r="G13" s="305"/>
      <c r="H13" s="300">
        <f t="shared" ref="H13:H35" si="1">H12+1</f>
        <v>3</v>
      </c>
    </row>
    <row r="14" spans="1:8" x14ac:dyDescent="0.35">
      <c r="A14" s="300">
        <f t="shared" si="0"/>
        <v>4</v>
      </c>
      <c r="B14" s="303" t="s">
        <v>61</v>
      </c>
      <c r="C14" s="304"/>
      <c r="D14" s="304"/>
      <c r="E14" s="308">
        <f>E60</f>
        <v>9.9325159585557619E-3</v>
      </c>
      <c r="F14" s="23"/>
      <c r="G14" s="305" t="s">
        <v>558</v>
      </c>
      <c r="H14" s="300">
        <f t="shared" si="1"/>
        <v>4</v>
      </c>
    </row>
    <row r="15" spans="1:8" x14ac:dyDescent="0.35">
      <c r="A15" s="300">
        <f t="shared" si="0"/>
        <v>5</v>
      </c>
      <c r="B15" s="297"/>
      <c r="C15" s="299"/>
      <c r="D15" s="299"/>
      <c r="E15" s="310"/>
      <c r="F15" s="311"/>
      <c r="G15" s="305"/>
      <c r="H15" s="300">
        <f t="shared" si="1"/>
        <v>5</v>
      </c>
    </row>
    <row r="16" spans="1:8" x14ac:dyDescent="0.35">
      <c r="A16" s="300">
        <f t="shared" si="0"/>
        <v>6</v>
      </c>
      <c r="B16" s="297" t="s">
        <v>62</v>
      </c>
      <c r="C16" s="299"/>
      <c r="D16" s="299"/>
      <c r="E16" s="643">
        <f>E65</f>
        <v>1.0972402310643796E-2</v>
      </c>
      <c r="F16" s="311"/>
      <c r="G16" s="305" t="s">
        <v>395</v>
      </c>
      <c r="H16" s="300">
        <f t="shared" si="1"/>
        <v>6</v>
      </c>
    </row>
    <row r="17" spans="1:8" x14ac:dyDescent="0.35">
      <c r="A17" s="300">
        <f t="shared" si="0"/>
        <v>7</v>
      </c>
      <c r="B17" s="297"/>
      <c r="C17" s="299"/>
      <c r="D17" s="299"/>
      <c r="E17" s="310"/>
      <c r="F17" s="311"/>
      <c r="G17" s="305"/>
      <c r="H17" s="300">
        <f t="shared" si="1"/>
        <v>7</v>
      </c>
    </row>
    <row r="18" spans="1:8" x14ac:dyDescent="0.35">
      <c r="A18" s="300">
        <f t="shared" si="0"/>
        <v>8</v>
      </c>
      <c r="B18" s="303" t="s">
        <v>63</v>
      </c>
      <c r="C18" s="304"/>
      <c r="D18" s="304"/>
      <c r="E18" s="308">
        <f>E70</f>
        <v>3.2396471705873188E-4</v>
      </c>
      <c r="F18" s="309"/>
      <c r="G18" s="305" t="s">
        <v>559</v>
      </c>
      <c r="H18" s="300">
        <f t="shared" si="1"/>
        <v>8</v>
      </c>
    </row>
    <row r="19" spans="1:8" x14ac:dyDescent="0.35">
      <c r="A19" s="300">
        <f t="shared" si="0"/>
        <v>9</v>
      </c>
      <c r="B19" s="296"/>
      <c r="C19" s="306"/>
      <c r="D19" s="306"/>
      <c r="E19" s="307"/>
      <c r="F19" s="301"/>
      <c r="G19" s="305"/>
      <c r="H19" s="300">
        <f t="shared" si="1"/>
        <v>9</v>
      </c>
    </row>
    <row r="20" spans="1:8" x14ac:dyDescent="0.35">
      <c r="A20" s="300">
        <f t="shared" si="0"/>
        <v>10</v>
      </c>
      <c r="B20" s="303" t="s">
        <v>64</v>
      </c>
      <c r="C20" s="306"/>
      <c r="D20" s="306"/>
      <c r="E20" s="308">
        <f>E83</f>
        <v>1.7637456981842853E-3</v>
      </c>
      <c r="F20" s="301"/>
      <c r="G20" s="305" t="s">
        <v>560</v>
      </c>
      <c r="H20" s="300">
        <f t="shared" si="1"/>
        <v>10</v>
      </c>
    </row>
    <row r="21" spans="1:8" x14ac:dyDescent="0.35">
      <c r="A21" s="300">
        <f t="shared" si="0"/>
        <v>11</v>
      </c>
      <c r="B21" s="296"/>
      <c r="C21" s="306"/>
      <c r="D21" s="306"/>
      <c r="E21" s="307"/>
      <c r="F21" s="301"/>
      <c r="G21" s="305"/>
      <c r="H21" s="300">
        <f t="shared" si="1"/>
        <v>11</v>
      </c>
    </row>
    <row r="22" spans="1:8" x14ac:dyDescent="0.35">
      <c r="A22" s="300">
        <f t="shared" si="0"/>
        <v>12</v>
      </c>
      <c r="B22" s="303" t="s">
        <v>65</v>
      </c>
      <c r="C22" s="304"/>
      <c r="D22" s="304"/>
      <c r="E22" s="308">
        <f>E100</f>
        <v>4.8191312980864036E-3</v>
      </c>
      <c r="F22" s="309"/>
      <c r="G22" s="305" t="s">
        <v>561</v>
      </c>
      <c r="H22" s="300">
        <f t="shared" si="1"/>
        <v>12</v>
      </c>
    </row>
    <row r="23" spans="1:8" x14ac:dyDescent="0.35">
      <c r="A23" s="300">
        <f t="shared" si="0"/>
        <v>13</v>
      </c>
      <c r="B23" s="312"/>
      <c r="C23" s="313"/>
      <c r="D23" s="313"/>
      <c r="E23" s="314"/>
      <c r="F23" s="315"/>
      <c r="G23" s="305"/>
      <c r="H23" s="300">
        <f t="shared" si="1"/>
        <v>13</v>
      </c>
    </row>
    <row r="24" spans="1:8" x14ac:dyDescent="0.35">
      <c r="A24" s="300">
        <f t="shared" si="0"/>
        <v>14</v>
      </c>
      <c r="B24" s="303" t="s">
        <v>66</v>
      </c>
      <c r="C24" s="304"/>
      <c r="D24" s="304"/>
      <c r="E24" s="727">
        <f>SUM(E12:E22)</f>
        <v>3.4428162822615245E-2</v>
      </c>
      <c r="F24" s="23"/>
      <c r="G24" s="305" t="s">
        <v>562</v>
      </c>
      <c r="H24" s="300">
        <f t="shared" si="1"/>
        <v>14</v>
      </c>
    </row>
    <row r="25" spans="1:8" x14ac:dyDescent="0.35">
      <c r="A25" s="300">
        <f t="shared" si="0"/>
        <v>15</v>
      </c>
      <c r="B25" s="296"/>
      <c r="C25" s="306"/>
      <c r="D25" s="306"/>
      <c r="E25" s="316"/>
      <c r="F25" s="317"/>
      <c r="G25" s="305"/>
      <c r="H25" s="300">
        <f t="shared" si="1"/>
        <v>15</v>
      </c>
    </row>
    <row r="26" spans="1:8" x14ac:dyDescent="0.35">
      <c r="A26" s="300">
        <f t="shared" si="0"/>
        <v>16</v>
      </c>
      <c r="B26" s="297" t="s">
        <v>67</v>
      </c>
      <c r="C26" s="318">
        <v>1.0274999999999999E-2</v>
      </c>
      <c r="D26" s="306"/>
      <c r="E26" s="644">
        <f>E24*C26</f>
        <v>3.537493730023716E-4</v>
      </c>
      <c r="F26" s="319"/>
      <c r="G26" s="305" t="s">
        <v>563</v>
      </c>
      <c r="H26" s="300">
        <f t="shared" si="1"/>
        <v>16</v>
      </c>
    </row>
    <row r="27" spans="1:8" x14ac:dyDescent="0.35">
      <c r="A27" s="300">
        <f t="shared" si="0"/>
        <v>17</v>
      </c>
      <c r="B27" s="296"/>
      <c r="C27" s="306"/>
      <c r="D27" s="306"/>
      <c r="E27" s="320"/>
      <c r="F27" s="321"/>
      <c r="G27" s="305"/>
      <c r="H27" s="300">
        <f t="shared" si="1"/>
        <v>17</v>
      </c>
    </row>
    <row r="28" spans="1:8" ht="16" thickBot="1" x14ac:dyDescent="0.4">
      <c r="A28" s="300">
        <f t="shared" si="0"/>
        <v>18</v>
      </c>
      <c r="B28" s="296" t="s">
        <v>68</v>
      </c>
      <c r="C28" s="306"/>
      <c r="D28" s="306"/>
      <c r="E28" s="557">
        <f>E24+E26</f>
        <v>3.4781912195617617E-2</v>
      </c>
      <c r="F28" s="23" t="s">
        <v>24</v>
      </c>
      <c r="G28" s="305" t="s">
        <v>564</v>
      </c>
      <c r="H28" s="300">
        <f t="shared" si="1"/>
        <v>18</v>
      </c>
    </row>
    <row r="29" spans="1:8" ht="16" thickTop="1" x14ac:dyDescent="0.35">
      <c r="A29" s="300">
        <f t="shared" si="0"/>
        <v>19</v>
      </c>
      <c r="B29" s="297"/>
      <c r="C29" s="299"/>
      <c r="D29" s="299"/>
      <c r="E29" s="306"/>
      <c r="F29" s="296"/>
      <c r="G29" s="296"/>
      <c r="H29" s="300">
        <f t="shared" si="1"/>
        <v>19</v>
      </c>
    </row>
    <row r="30" spans="1:8" x14ac:dyDescent="0.35">
      <c r="A30" s="300">
        <f t="shared" si="0"/>
        <v>20</v>
      </c>
      <c r="B30" s="302" t="s">
        <v>69</v>
      </c>
      <c r="C30" s="322"/>
      <c r="D30" s="322"/>
      <c r="E30" s="299"/>
      <c r="F30" s="297"/>
      <c r="G30" s="296"/>
      <c r="H30" s="300">
        <f t="shared" si="1"/>
        <v>20</v>
      </c>
    </row>
    <row r="31" spans="1:8" x14ac:dyDescent="0.35">
      <c r="A31" s="300">
        <f t="shared" si="0"/>
        <v>21</v>
      </c>
      <c r="B31" s="303" t="s">
        <v>70</v>
      </c>
      <c r="C31" s="304"/>
      <c r="D31" s="304"/>
      <c r="E31" s="241">
        <v>27000</v>
      </c>
      <c r="F31" s="301"/>
      <c r="G31" s="305" t="s">
        <v>71</v>
      </c>
      <c r="H31" s="300">
        <f t="shared" si="1"/>
        <v>21</v>
      </c>
    </row>
    <row r="32" spans="1:8" x14ac:dyDescent="0.35">
      <c r="A32" s="300">
        <f t="shared" si="0"/>
        <v>22</v>
      </c>
      <c r="B32" s="303"/>
      <c r="C32" s="304"/>
      <c r="D32" s="304"/>
      <c r="E32" s="304"/>
      <c r="F32" s="303"/>
      <c r="G32" s="305"/>
      <c r="H32" s="300">
        <f t="shared" si="1"/>
        <v>22</v>
      </c>
    </row>
    <row r="33" spans="1:8" x14ac:dyDescent="0.35">
      <c r="A33" s="300">
        <f t="shared" si="0"/>
        <v>23</v>
      </c>
      <c r="B33" s="303" t="s">
        <v>72</v>
      </c>
      <c r="C33" s="304"/>
      <c r="D33" s="304"/>
      <c r="E33" s="556">
        <f>+E28</f>
        <v>3.4781912195617617E-2</v>
      </c>
      <c r="F33" s="23" t="s">
        <v>24</v>
      </c>
      <c r="G33" s="305" t="s">
        <v>565</v>
      </c>
      <c r="H33" s="300">
        <f t="shared" si="1"/>
        <v>23</v>
      </c>
    </row>
    <row r="34" spans="1:8" x14ac:dyDescent="0.35">
      <c r="A34" s="300">
        <f t="shared" si="0"/>
        <v>24</v>
      </c>
      <c r="B34" s="296"/>
      <c r="C34" s="306"/>
      <c r="D34" s="306"/>
      <c r="E34" s="323"/>
      <c r="F34" s="324"/>
      <c r="G34" s="305"/>
      <c r="H34" s="300">
        <f t="shared" si="1"/>
        <v>24</v>
      </c>
    </row>
    <row r="35" spans="1:8" ht="16" thickBot="1" x14ac:dyDescent="0.4">
      <c r="A35" s="300">
        <f t="shared" si="0"/>
        <v>25</v>
      </c>
      <c r="B35" s="296" t="s">
        <v>73</v>
      </c>
      <c r="C35" s="304"/>
      <c r="D35" s="304"/>
      <c r="E35" s="325">
        <f>E31*E33</f>
        <v>939.11162928167562</v>
      </c>
      <c r="F35" s="23" t="s">
        <v>24</v>
      </c>
      <c r="G35" s="305" t="s">
        <v>566</v>
      </c>
      <c r="H35" s="300">
        <f t="shared" si="1"/>
        <v>25</v>
      </c>
    </row>
    <row r="36" spans="1:8" ht="16" thickTop="1" x14ac:dyDescent="0.35">
      <c r="A36" s="300"/>
      <c r="B36" s="296"/>
      <c r="C36" s="303"/>
      <c r="D36" s="303"/>
      <c r="E36" s="326"/>
      <c r="F36" s="327"/>
      <c r="G36" s="305"/>
      <c r="H36" s="300"/>
    </row>
    <row r="37" spans="1:8" x14ac:dyDescent="0.35">
      <c r="A37" s="300"/>
      <c r="B37" s="296"/>
      <c r="C37" s="303"/>
      <c r="D37" s="303"/>
      <c r="E37" s="326"/>
      <c r="F37" s="327"/>
      <c r="G37" s="305"/>
      <c r="H37" s="300"/>
    </row>
    <row r="38" spans="1:8" x14ac:dyDescent="0.35">
      <c r="A38" s="23" t="s">
        <v>24</v>
      </c>
      <c r="B38" s="296" t="str">
        <f>'Pg2 App XII C5 Comparison'!B57</f>
        <v>Items in BOLD have changed to correct the over-allocation of "Duplicate Charges (Company Energy Use)" Credit in FERC Account no. 929.</v>
      </c>
      <c r="C38" s="303"/>
      <c r="D38" s="303"/>
      <c r="E38" s="326"/>
      <c r="F38" s="327"/>
      <c r="G38" s="305"/>
      <c r="H38" s="300"/>
    </row>
    <row r="39" spans="1:8" x14ac:dyDescent="0.35">
      <c r="A39" s="23"/>
      <c r="B39" s="296"/>
      <c r="C39" s="303"/>
      <c r="D39" s="303"/>
      <c r="E39" s="326"/>
      <c r="F39" s="327"/>
      <c r="G39" s="305"/>
      <c r="H39" s="300"/>
    </row>
    <row r="40" spans="1:8" x14ac:dyDescent="0.35">
      <c r="A40" s="299"/>
      <c r="B40" s="296"/>
      <c r="C40" s="296"/>
      <c r="D40" s="296"/>
      <c r="E40" s="312"/>
      <c r="F40" s="312"/>
      <c r="G40" s="297"/>
      <c r="H40" s="156"/>
    </row>
    <row r="41" spans="1:8" x14ac:dyDescent="0.35">
      <c r="A41" s="299"/>
      <c r="B41" s="808" t="str">
        <f>B2</f>
        <v>SAN DIEGO GAS &amp; ELECTRIC COMPANY</v>
      </c>
      <c r="C41" s="808"/>
      <c r="D41" s="808"/>
      <c r="E41" s="808"/>
      <c r="F41" s="808"/>
      <c r="G41" s="808"/>
      <c r="H41" s="156"/>
    </row>
    <row r="42" spans="1:8" x14ac:dyDescent="0.35">
      <c r="B42" s="808" t="str">
        <f>B3</f>
        <v>CITIZENS' SHARE OF THE SX-PQ UNDERGROUND LINE SEGMENT</v>
      </c>
      <c r="C42" s="808"/>
      <c r="D42" s="808"/>
      <c r="E42" s="808"/>
      <c r="F42" s="808"/>
      <c r="G42" s="808"/>
      <c r="H42" s="313"/>
    </row>
    <row r="43" spans="1:8" x14ac:dyDescent="0.35">
      <c r="B43" s="809" t="str">
        <f>B4</f>
        <v xml:space="preserve">Section 2 - Non-Direct Expense Cost Component </v>
      </c>
      <c r="C43" s="809"/>
      <c r="D43" s="809"/>
      <c r="E43" s="809"/>
      <c r="F43" s="809"/>
      <c r="G43" s="809"/>
      <c r="H43" s="306"/>
    </row>
    <row r="44" spans="1:8" x14ac:dyDescent="0.35">
      <c r="B44" s="810" t="str">
        <f>B5</f>
        <v>Base Period &amp; True-Up Period 12 - Months Ending December 31, 2021</v>
      </c>
      <c r="C44" s="810"/>
      <c r="D44" s="810"/>
      <c r="E44" s="810"/>
      <c r="F44" s="810"/>
      <c r="G44" s="810"/>
      <c r="H44" s="306"/>
    </row>
    <row r="45" spans="1:8" x14ac:dyDescent="0.35">
      <c r="B45" s="811" t="str">
        <f>B6</f>
        <v>($1,000)</v>
      </c>
      <c r="C45" s="805"/>
      <c r="D45" s="805"/>
      <c r="E45" s="805"/>
      <c r="F45" s="805"/>
      <c r="G45" s="805"/>
      <c r="H45" s="83"/>
    </row>
    <row r="46" spans="1:8" x14ac:dyDescent="0.35">
      <c r="A46" s="328"/>
      <c r="B46" s="296"/>
      <c r="C46" s="296"/>
      <c r="D46" s="296"/>
      <c r="E46" s="296"/>
      <c r="F46" s="296"/>
      <c r="G46" s="296"/>
      <c r="H46" s="156"/>
    </row>
    <row r="47" spans="1:8" x14ac:dyDescent="0.35">
      <c r="A47" s="300" t="s">
        <v>2</v>
      </c>
      <c r="B47" s="296"/>
      <c r="C47" s="296"/>
      <c r="D47" s="296"/>
      <c r="E47" s="469"/>
      <c r="F47" s="469"/>
      <c r="G47" s="296"/>
      <c r="H47" s="300" t="s">
        <v>2</v>
      </c>
    </row>
    <row r="48" spans="1:8" x14ac:dyDescent="0.35">
      <c r="A48" s="300" t="s">
        <v>3</v>
      </c>
      <c r="B48" s="296"/>
      <c r="C48" s="296"/>
      <c r="D48" s="296"/>
      <c r="E48" s="642" t="s">
        <v>5</v>
      </c>
      <c r="F48" s="305"/>
      <c r="G48" s="642" t="s">
        <v>6</v>
      </c>
      <c r="H48" s="300" t="s">
        <v>3</v>
      </c>
    </row>
    <row r="49" spans="1:10" x14ac:dyDescent="0.35">
      <c r="A49" s="300"/>
      <c r="B49" s="296"/>
      <c r="C49" s="296"/>
      <c r="D49" s="296"/>
      <c r="E49" s="469"/>
      <c r="F49" s="469"/>
      <c r="G49" s="296"/>
      <c r="H49" s="300"/>
    </row>
    <row r="50" spans="1:10" x14ac:dyDescent="0.35">
      <c r="A50" s="300">
        <v>1</v>
      </c>
      <c r="B50" s="329" t="s">
        <v>74</v>
      </c>
      <c r="C50" s="329"/>
      <c r="D50" s="329"/>
      <c r="E50" s="491">
        <v>5688496.0150807938</v>
      </c>
      <c r="F50" s="469"/>
      <c r="G50" s="305" t="s">
        <v>682</v>
      </c>
      <c r="H50" s="300">
        <f>A50</f>
        <v>1</v>
      </c>
    </row>
    <row r="51" spans="1:10" x14ac:dyDescent="0.35">
      <c r="A51" s="300">
        <f>A50+1</f>
        <v>2</v>
      </c>
      <c r="B51" s="296"/>
      <c r="C51" s="296"/>
      <c r="D51" s="296"/>
      <c r="E51" s="295"/>
      <c r="F51" s="469"/>
      <c r="G51" s="296"/>
      <c r="H51" s="300">
        <f>H50+1</f>
        <v>2</v>
      </c>
    </row>
    <row r="52" spans="1:10" x14ac:dyDescent="0.35">
      <c r="A52" s="300">
        <f t="shared" ref="A52:A100" si="2">A51+1</f>
        <v>3</v>
      </c>
      <c r="B52" s="302" t="s">
        <v>75</v>
      </c>
      <c r="C52" s="302"/>
      <c r="D52" s="302"/>
      <c r="E52" s="330"/>
      <c r="F52" s="331"/>
      <c r="G52" s="296"/>
      <c r="H52" s="300">
        <f t="shared" ref="H52:H100" si="3">H51+1</f>
        <v>3</v>
      </c>
    </row>
    <row r="53" spans="1:10" x14ac:dyDescent="0.35">
      <c r="A53" s="300">
        <f t="shared" si="2"/>
        <v>4</v>
      </c>
      <c r="B53" s="303" t="s">
        <v>76</v>
      </c>
      <c r="C53" s="303"/>
      <c r="D53" s="303"/>
      <c r="E53" s="645">
        <v>37637.381189999978</v>
      </c>
      <c r="F53" s="469"/>
      <c r="G53" s="305" t="s">
        <v>508</v>
      </c>
      <c r="H53" s="300">
        <f t="shared" si="3"/>
        <v>4</v>
      </c>
      <c r="J53" s="332"/>
    </row>
    <row r="54" spans="1:10" x14ac:dyDescent="0.35">
      <c r="A54" s="300">
        <f t="shared" si="2"/>
        <v>5</v>
      </c>
      <c r="B54" s="303"/>
      <c r="C54" s="303"/>
      <c r="D54" s="303"/>
      <c r="E54" s="242"/>
      <c r="F54" s="333"/>
      <c r="G54" s="305"/>
      <c r="H54" s="300">
        <f t="shared" si="3"/>
        <v>5</v>
      </c>
      <c r="J54" s="332"/>
    </row>
    <row r="55" spans="1:10" x14ac:dyDescent="0.35">
      <c r="A55" s="300">
        <f t="shared" si="2"/>
        <v>6</v>
      </c>
      <c r="B55" s="303" t="s">
        <v>77</v>
      </c>
      <c r="C55" s="296"/>
      <c r="D55" s="296"/>
      <c r="E55" s="334">
        <f>E53/E50</f>
        <v>6.6164028400862674E-3</v>
      </c>
      <c r="F55" s="335"/>
      <c r="G55" s="305" t="s">
        <v>78</v>
      </c>
      <c r="H55" s="300">
        <f t="shared" si="3"/>
        <v>6</v>
      </c>
      <c r="J55" s="332"/>
    </row>
    <row r="56" spans="1:10" x14ac:dyDescent="0.35">
      <c r="A56" s="300">
        <f t="shared" si="2"/>
        <v>7</v>
      </c>
      <c r="B56" s="303"/>
      <c r="C56" s="303"/>
      <c r="D56" s="303"/>
      <c r="E56" s="336"/>
      <c r="F56" s="337"/>
      <c r="G56" s="305"/>
      <c r="H56" s="300">
        <f t="shared" si="3"/>
        <v>7</v>
      </c>
    </row>
    <row r="57" spans="1:10" x14ac:dyDescent="0.35">
      <c r="A57" s="300">
        <f t="shared" si="2"/>
        <v>8</v>
      </c>
      <c r="B57" s="302" t="s">
        <v>79</v>
      </c>
      <c r="C57" s="302"/>
      <c r="D57" s="302"/>
      <c r="E57" s="338"/>
      <c r="F57" s="339"/>
      <c r="G57" s="340"/>
      <c r="H57" s="300">
        <f t="shared" si="3"/>
        <v>8</v>
      </c>
    </row>
    <row r="58" spans="1:10" x14ac:dyDescent="0.35">
      <c r="A58" s="300">
        <f t="shared" si="2"/>
        <v>9</v>
      </c>
      <c r="B58" s="303" t="s">
        <v>80</v>
      </c>
      <c r="C58" s="303"/>
      <c r="D58" s="303"/>
      <c r="E58" s="663">
        <f>'Pg8 Rev Stmt AH'!E52</f>
        <v>56501.077449970842</v>
      </c>
      <c r="F58" s="23" t="s">
        <v>24</v>
      </c>
      <c r="G58" s="305" t="s">
        <v>666</v>
      </c>
      <c r="H58" s="300">
        <f t="shared" si="3"/>
        <v>9</v>
      </c>
    </row>
    <row r="59" spans="1:10" x14ac:dyDescent="0.35">
      <c r="A59" s="300">
        <f t="shared" si="2"/>
        <v>10</v>
      </c>
      <c r="B59" s="296"/>
      <c r="C59" s="296"/>
      <c r="D59" s="296"/>
      <c r="E59" s="338"/>
      <c r="F59" s="339"/>
      <c r="G59" s="305"/>
      <c r="H59" s="300">
        <f t="shared" si="3"/>
        <v>10</v>
      </c>
    </row>
    <row r="60" spans="1:10" x14ac:dyDescent="0.35">
      <c r="A60" s="300">
        <f t="shared" si="2"/>
        <v>11</v>
      </c>
      <c r="B60" s="341" t="s">
        <v>81</v>
      </c>
      <c r="C60" s="340"/>
      <c r="D60" s="340"/>
      <c r="E60" s="334">
        <f>E58/E50</f>
        <v>9.9325159585557619E-3</v>
      </c>
      <c r="F60" s="23"/>
      <c r="G60" s="305" t="s">
        <v>82</v>
      </c>
      <c r="H60" s="300">
        <f t="shared" si="3"/>
        <v>11</v>
      </c>
    </row>
    <row r="61" spans="1:10" x14ac:dyDescent="0.35">
      <c r="A61" s="300">
        <f t="shared" si="2"/>
        <v>12</v>
      </c>
      <c r="B61" s="340"/>
      <c r="C61" s="340"/>
      <c r="D61" s="340"/>
      <c r="E61" s="342"/>
      <c r="F61" s="343"/>
      <c r="G61" s="305"/>
      <c r="H61" s="300">
        <f t="shared" si="3"/>
        <v>12</v>
      </c>
    </row>
    <row r="62" spans="1:10" x14ac:dyDescent="0.35">
      <c r="A62" s="300">
        <f t="shared" si="2"/>
        <v>13</v>
      </c>
      <c r="B62" s="302" t="s">
        <v>83</v>
      </c>
      <c r="C62" s="340"/>
      <c r="D62" s="340"/>
      <c r="E62" s="342"/>
      <c r="F62" s="343"/>
      <c r="G62" s="305"/>
      <c r="H62" s="300">
        <f t="shared" si="3"/>
        <v>13</v>
      </c>
    </row>
    <row r="63" spans="1:10" x14ac:dyDescent="0.35">
      <c r="A63" s="300">
        <f t="shared" si="2"/>
        <v>14</v>
      </c>
      <c r="B63" s="341" t="s">
        <v>62</v>
      </c>
      <c r="C63" s="340"/>
      <c r="D63" s="340"/>
      <c r="E63" s="646">
        <v>62416.466819960529</v>
      </c>
      <c r="F63" s="343"/>
      <c r="G63" s="305" t="s">
        <v>683</v>
      </c>
      <c r="H63" s="300">
        <f t="shared" si="3"/>
        <v>14</v>
      </c>
    </row>
    <row r="64" spans="1:10" x14ac:dyDescent="0.35">
      <c r="A64" s="300">
        <f t="shared" si="2"/>
        <v>15</v>
      </c>
      <c r="B64" s="340"/>
      <c r="C64" s="340"/>
      <c r="D64" s="340"/>
      <c r="E64" s="338"/>
      <c r="F64" s="343"/>
      <c r="G64" s="305"/>
      <c r="H64" s="300">
        <f t="shared" si="3"/>
        <v>15</v>
      </c>
    </row>
    <row r="65" spans="1:8" x14ac:dyDescent="0.35">
      <c r="A65" s="300">
        <f t="shared" si="2"/>
        <v>16</v>
      </c>
      <c r="B65" s="341" t="s">
        <v>84</v>
      </c>
      <c r="C65" s="340"/>
      <c r="D65" s="340"/>
      <c r="E65" s="334">
        <f>E63/E50</f>
        <v>1.0972402310643796E-2</v>
      </c>
      <c r="F65" s="343"/>
      <c r="G65" s="305" t="s">
        <v>85</v>
      </c>
      <c r="H65" s="300">
        <f t="shared" si="3"/>
        <v>16</v>
      </c>
    </row>
    <row r="66" spans="1:8" x14ac:dyDescent="0.35">
      <c r="A66" s="300">
        <f t="shared" si="2"/>
        <v>17</v>
      </c>
      <c r="B66" s="340"/>
      <c r="C66" s="340"/>
      <c r="D66" s="340"/>
      <c r="E66" s="342"/>
      <c r="F66" s="343"/>
      <c r="G66" s="305"/>
      <c r="H66" s="300">
        <f t="shared" si="3"/>
        <v>17</v>
      </c>
    </row>
    <row r="67" spans="1:8" x14ac:dyDescent="0.35">
      <c r="A67" s="300">
        <f t="shared" si="2"/>
        <v>18</v>
      </c>
      <c r="B67" s="302" t="s">
        <v>86</v>
      </c>
      <c r="C67" s="302"/>
      <c r="D67" s="302"/>
      <c r="E67" s="342"/>
      <c r="F67" s="343"/>
      <c r="G67" s="305"/>
      <c r="H67" s="300">
        <f t="shared" si="3"/>
        <v>18</v>
      </c>
    </row>
    <row r="68" spans="1:8" x14ac:dyDescent="0.35">
      <c r="A68" s="300">
        <f t="shared" si="2"/>
        <v>19</v>
      </c>
      <c r="B68" s="303" t="s">
        <v>63</v>
      </c>
      <c r="C68" s="303"/>
      <c r="D68" s="303"/>
      <c r="E68" s="646">
        <v>1842.8720020153733</v>
      </c>
      <c r="F68" s="469"/>
      <c r="G68" s="305" t="s">
        <v>87</v>
      </c>
      <c r="H68" s="300">
        <f t="shared" si="3"/>
        <v>19</v>
      </c>
    </row>
    <row r="69" spans="1:8" x14ac:dyDescent="0.35">
      <c r="A69" s="300">
        <f t="shared" si="2"/>
        <v>20</v>
      </c>
      <c r="B69" s="340"/>
      <c r="C69" s="340"/>
      <c r="D69" s="340"/>
      <c r="E69" s="342"/>
      <c r="F69" s="343"/>
      <c r="G69" s="305"/>
      <c r="H69" s="300">
        <f t="shared" si="3"/>
        <v>20</v>
      </c>
    </row>
    <row r="70" spans="1:8" x14ac:dyDescent="0.35">
      <c r="A70" s="300">
        <f t="shared" si="2"/>
        <v>21</v>
      </c>
      <c r="B70" s="341" t="s">
        <v>88</v>
      </c>
      <c r="C70" s="340"/>
      <c r="D70" s="340"/>
      <c r="E70" s="334">
        <f>E68/E50</f>
        <v>3.2396471705873188E-4</v>
      </c>
      <c r="F70" s="335"/>
      <c r="G70" s="305" t="s">
        <v>89</v>
      </c>
      <c r="H70" s="300">
        <f t="shared" si="3"/>
        <v>21</v>
      </c>
    </row>
    <row r="71" spans="1:8" x14ac:dyDescent="0.35">
      <c r="A71" s="300">
        <f t="shared" si="2"/>
        <v>22</v>
      </c>
      <c r="B71" s="340"/>
      <c r="C71" s="340"/>
      <c r="D71" s="340"/>
      <c r="E71" s="342"/>
      <c r="F71" s="343"/>
      <c r="G71" s="305"/>
      <c r="H71" s="300">
        <f t="shared" si="3"/>
        <v>22</v>
      </c>
    </row>
    <row r="72" spans="1:8" x14ac:dyDescent="0.35">
      <c r="A72" s="300">
        <f t="shared" si="2"/>
        <v>23</v>
      </c>
      <c r="B72" s="302" t="s">
        <v>90</v>
      </c>
      <c r="C72" s="302"/>
      <c r="D72" s="302"/>
      <c r="E72" s="344"/>
      <c r="F72" s="345"/>
      <c r="G72" s="305"/>
      <c r="H72" s="300">
        <f t="shared" si="3"/>
        <v>23</v>
      </c>
    </row>
    <row r="73" spans="1:8" x14ac:dyDescent="0.35">
      <c r="A73" s="300">
        <f t="shared" si="2"/>
        <v>24</v>
      </c>
      <c r="B73" s="346" t="s">
        <v>91</v>
      </c>
      <c r="C73" s="296"/>
      <c r="D73" s="296"/>
      <c r="E73" s="344"/>
      <c r="F73" s="345"/>
      <c r="G73" s="305"/>
      <c r="H73" s="300">
        <f t="shared" si="3"/>
        <v>24</v>
      </c>
    </row>
    <row r="74" spans="1:8" x14ac:dyDescent="0.35">
      <c r="A74" s="300">
        <f t="shared" si="2"/>
        <v>25</v>
      </c>
      <c r="B74" s="303" t="s">
        <v>92</v>
      </c>
      <c r="C74" s="303"/>
      <c r="D74" s="303"/>
      <c r="E74" s="347">
        <v>47442.662369609825</v>
      </c>
      <c r="F74" s="469"/>
      <c r="G74" s="305" t="s">
        <v>93</v>
      </c>
      <c r="H74" s="300">
        <f t="shared" si="3"/>
        <v>25</v>
      </c>
    </row>
    <row r="75" spans="1:8" x14ac:dyDescent="0.35">
      <c r="A75" s="300">
        <f t="shared" si="2"/>
        <v>26</v>
      </c>
      <c r="B75" s="303" t="s">
        <v>94</v>
      </c>
      <c r="C75" s="303"/>
      <c r="D75" s="303"/>
      <c r="E75" s="348">
        <v>40928.96333129039</v>
      </c>
      <c r="F75" s="469"/>
      <c r="G75" s="305" t="s">
        <v>95</v>
      </c>
      <c r="H75" s="300">
        <f t="shared" si="3"/>
        <v>26</v>
      </c>
    </row>
    <row r="76" spans="1:8" x14ac:dyDescent="0.35">
      <c r="A76" s="300">
        <f t="shared" si="2"/>
        <v>27</v>
      </c>
      <c r="B76" s="303" t="s">
        <v>96</v>
      </c>
      <c r="C76" s="303"/>
      <c r="D76" s="303"/>
      <c r="E76" s="349">
        <f>'Pg9 Rev Stmt AL '!E29</f>
        <v>11767.307329996353</v>
      </c>
      <c r="F76" s="23" t="s">
        <v>24</v>
      </c>
      <c r="G76" s="305" t="s">
        <v>624</v>
      </c>
      <c r="H76" s="300">
        <f t="shared" si="3"/>
        <v>27</v>
      </c>
    </row>
    <row r="77" spans="1:8" x14ac:dyDescent="0.35">
      <c r="A77" s="300">
        <f t="shared" si="2"/>
        <v>28</v>
      </c>
      <c r="B77" s="303" t="s">
        <v>97</v>
      </c>
      <c r="C77" s="296"/>
      <c r="D77" s="296"/>
      <c r="E77" s="350">
        <f>SUM(E74:E76)</f>
        <v>100138.93303089657</v>
      </c>
      <c r="F77" s="23" t="s">
        <v>24</v>
      </c>
      <c r="G77" s="305" t="s">
        <v>98</v>
      </c>
      <c r="H77" s="300">
        <f t="shared" si="3"/>
        <v>28</v>
      </c>
    </row>
    <row r="78" spans="1:8" x14ac:dyDescent="0.35">
      <c r="A78" s="300">
        <f t="shared" si="2"/>
        <v>29</v>
      </c>
      <c r="B78" s="296"/>
      <c r="C78" s="296"/>
      <c r="D78" s="296"/>
      <c r="E78" s="351"/>
      <c r="F78" s="352"/>
      <c r="G78" s="305"/>
      <c r="H78" s="300">
        <f t="shared" si="3"/>
        <v>29</v>
      </c>
    </row>
    <row r="79" spans="1:8" x14ac:dyDescent="0.35">
      <c r="A79" s="300">
        <f t="shared" si="2"/>
        <v>30</v>
      </c>
      <c r="B79" s="303" t="s">
        <v>99</v>
      </c>
      <c r="C79" s="303"/>
      <c r="D79" s="303"/>
      <c r="E79" s="353">
        <f>'Pg11 As Filed Stmt AV FERC Adj'!G111</f>
        <v>0.10019140480198274</v>
      </c>
      <c r="F79" s="469"/>
      <c r="G79" s="305" t="s">
        <v>697</v>
      </c>
      <c r="H79" s="300">
        <f t="shared" si="3"/>
        <v>30</v>
      </c>
    </row>
    <row r="80" spans="1:8" x14ac:dyDescent="0.35">
      <c r="A80" s="300">
        <f t="shared" si="2"/>
        <v>31</v>
      </c>
      <c r="B80" s="296"/>
      <c r="C80" s="296"/>
      <c r="D80" s="296"/>
      <c r="E80" s="351"/>
      <c r="F80" s="352"/>
      <c r="G80" s="305"/>
      <c r="H80" s="300">
        <f t="shared" si="3"/>
        <v>31</v>
      </c>
    </row>
    <row r="81" spans="1:9" x14ac:dyDescent="0.35">
      <c r="A81" s="300">
        <f t="shared" si="2"/>
        <v>32</v>
      </c>
      <c r="B81" s="303" t="s">
        <v>100</v>
      </c>
      <c r="C81" s="296"/>
      <c r="D81" s="296"/>
      <c r="E81" s="553">
        <f>E77*E79</f>
        <v>10033.060375737199</v>
      </c>
      <c r="F81" s="23" t="s">
        <v>24</v>
      </c>
      <c r="G81" s="305" t="s">
        <v>101</v>
      </c>
      <c r="H81" s="300">
        <f t="shared" si="3"/>
        <v>32</v>
      </c>
    </row>
    <row r="82" spans="1:9" x14ac:dyDescent="0.35">
      <c r="A82" s="300">
        <f t="shared" si="2"/>
        <v>33</v>
      </c>
      <c r="B82" s="296"/>
      <c r="C82" s="296"/>
      <c r="D82" s="296"/>
      <c r="E82" s="351"/>
      <c r="F82" s="352"/>
      <c r="G82" s="305"/>
      <c r="H82" s="300">
        <f t="shared" si="3"/>
        <v>33</v>
      </c>
    </row>
    <row r="83" spans="1:9" x14ac:dyDescent="0.35">
      <c r="A83" s="300">
        <f t="shared" si="2"/>
        <v>34</v>
      </c>
      <c r="B83" s="303" t="s">
        <v>102</v>
      </c>
      <c r="C83" s="296"/>
      <c r="D83" s="296"/>
      <c r="E83" s="334">
        <f>E81/E50</f>
        <v>1.7637456981842853E-3</v>
      </c>
      <c r="F83" s="335"/>
      <c r="G83" s="305" t="s">
        <v>103</v>
      </c>
      <c r="H83" s="300">
        <f t="shared" si="3"/>
        <v>34</v>
      </c>
    </row>
    <row r="84" spans="1:9" x14ac:dyDescent="0.35">
      <c r="A84" s="300">
        <f t="shared" si="2"/>
        <v>35</v>
      </c>
      <c r="B84" s="303"/>
      <c r="C84" s="296"/>
      <c r="D84" s="296"/>
      <c r="E84" s="354"/>
      <c r="F84" s="335"/>
      <c r="G84" s="305"/>
      <c r="H84" s="300">
        <f t="shared" si="3"/>
        <v>35</v>
      </c>
    </row>
    <row r="85" spans="1:9" x14ac:dyDescent="0.35">
      <c r="A85" s="300">
        <f t="shared" si="2"/>
        <v>36</v>
      </c>
      <c r="B85" s="302" t="s">
        <v>104</v>
      </c>
      <c r="C85" s="355"/>
      <c r="D85" s="355"/>
      <c r="E85" s="356"/>
      <c r="F85" s="356"/>
      <c r="G85" s="356"/>
      <c r="H85" s="300">
        <f t="shared" si="3"/>
        <v>36</v>
      </c>
    </row>
    <row r="86" spans="1:9" x14ac:dyDescent="0.35">
      <c r="A86" s="300">
        <f t="shared" si="2"/>
        <v>37</v>
      </c>
      <c r="B86" s="303" t="s">
        <v>105</v>
      </c>
      <c r="C86" s="355"/>
      <c r="D86" s="355"/>
      <c r="E86" s="123">
        <v>32319.855416885912</v>
      </c>
      <c r="F86" s="356"/>
      <c r="G86" s="305" t="s">
        <v>685</v>
      </c>
      <c r="H86" s="300">
        <f t="shared" si="3"/>
        <v>37</v>
      </c>
    </row>
    <row r="87" spans="1:9" x14ac:dyDescent="0.35">
      <c r="A87" s="300">
        <f t="shared" si="2"/>
        <v>38</v>
      </c>
      <c r="B87" s="302"/>
      <c r="C87" s="355"/>
      <c r="D87" s="355"/>
      <c r="E87" s="356"/>
      <c r="F87" s="356"/>
      <c r="G87" s="731"/>
      <c r="H87" s="300">
        <f t="shared" si="3"/>
        <v>38</v>
      </c>
    </row>
    <row r="88" spans="1:9" x14ac:dyDescent="0.35">
      <c r="A88" s="300">
        <f t="shared" si="2"/>
        <v>39</v>
      </c>
      <c r="B88" s="303" t="s">
        <v>106</v>
      </c>
      <c r="C88" s="355"/>
      <c r="D88" s="355"/>
      <c r="E88" s="647">
        <v>81059.121812139405</v>
      </c>
      <c r="F88" s="356"/>
      <c r="G88" s="305" t="s">
        <v>686</v>
      </c>
      <c r="H88" s="300">
        <f t="shared" si="3"/>
        <v>39</v>
      </c>
    </row>
    <row r="89" spans="1:9" ht="18" x14ac:dyDescent="0.6">
      <c r="A89" s="300">
        <f t="shared" si="2"/>
        <v>40</v>
      </c>
      <c r="B89" s="355"/>
      <c r="C89" s="357"/>
      <c r="D89" s="357"/>
      <c r="E89" s="648"/>
      <c r="F89" s="358"/>
      <c r="G89" s="355"/>
      <c r="H89" s="300">
        <f t="shared" si="3"/>
        <v>40</v>
      </c>
    </row>
    <row r="90" spans="1:9" x14ac:dyDescent="0.35">
      <c r="A90" s="300">
        <f t="shared" si="2"/>
        <v>41</v>
      </c>
      <c r="B90" s="303" t="s">
        <v>107</v>
      </c>
      <c r="C90" s="357"/>
      <c r="D90" s="357"/>
      <c r="E90" s="649">
        <f>E86+E88</f>
        <v>113378.97722902532</v>
      </c>
      <c r="F90" s="359"/>
      <c r="G90" s="305" t="s">
        <v>108</v>
      </c>
      <c r="H90" s="300">
        <f t="shared" si="3"/>
        <v>41</v>
      </c>
    </row>
    <row r="91" spans="1:9" x14ac:dyDescent="0.35">
      <c r="A91" s="300">
        <f t="shared" si="2"/>
        <v>42</v>
      </c>
      <c r="B91" s="360"/>
      <c r="C91" s="357"/>
      <c r="D91" s="357"/>
      <c r="E91" s="650"/>
      <c r="F91" s="359"/>
      <c r="G91" s="361"/>
      <c r="H91" s="300">
        <f t="shared" si="3"/>
        <v>42</v>
      </c>
    </row>
    <row r="92" spans="1:9" x14ac:dyDescent="0.35">
      <c r="A92" s="300">
        <f t="shared" si="2"/>
        <v>43</v>
      </c>
      <c r="B92" s="303" t="s">
        <v>99</v>
      </c>
      <c r="C92" s="357"/>
      <c r="D92" s="357"/>
      <c r="E92" s="651">
        <f>E79</f>
        <v>0.10019140480198274</v>
      </c>
      <c r="F92" s="359"/>
      <c r="G92" s="305" t="s">
        <v>109</v>
      </c>
      <c r="H92" s="300">
        <f t="shared" si="3"/>
        <v>43</v>
      </c>
    </row>
    <row r="93" spans="1:9" x14ac:dyDescent="0.35">
      <c r="A93" s="300">
        <f t="shared" si="2"/>
        <v>44</v>
      </c>
      <c r="B93" s="355"/>
      <c r="C93" s="357"/>
      <c r="D93" s="357"/>
      <c r="E93" s="362"/>
      <c r="F93" s="363"/>
      <c r="G93" s="355"/>
      <c r="H93" s="300">
        <f t="shared" si="3"/>
        <v>44</v>
      </c>
    </row>
    <row r="94" spans="1:9" x14ac:dyDescent="0.35">
      <c r="A94" s="300">
        <f t="shared" si="2"/>
        <v>45</v>
      </c>
      <c r="B94" s="303" t="s">
        <v>110</v>
      </c>
      <c r="C94" s="357"/>
      <c r="D94" s="357"/>
      <c r="E94" s="364">
        <f>E90*E92</f>
        <v>11359.599003588059</v>
      </c>
      <c r="F94" s="365"/>
      <c r="G94" s="305" t="s">
        <v>111</v>
      </c>
      <c r="H94" s="300">
        <f t="shared" si="3"/>
        <v>45</v>
      </c>
    </row>
    <row r="95" spans="1:9" x14ac:dyDescent="0.35">
      <c r="A95" s="300">
        <f t="shared" si="2"/>
        <v>46</v>
      </c>
      <c r="B95" s="360"/>
      <c r="C95" s="357"/>
      <c r="D95" s="357"/>
      <c r="E95" s="366"/>
      <c r="F95" s="365"/>
      <c r="G95" s="361"/>
      <c r="H95" s="300">
        <f t="shared" si="3"/>
        <v>46</v>
      </c>
    </row>
    <row r="96" spans="1:9" x14ac:dyDescent="0.35">
      <c r="A96" s="300">
        <f t="shared" si="2"/>
        <v>47</v>
      </c>
      <c r="B96" s="303" t="s">
        <v>112</v>
      </c>
      <c r="C96" s="357"/>
      <c r="D96" s="357"/>
      <c r="E96" s="652">
        <v>16054.010181727583</v>
      </c>
      <c r="F96" s="365"/>
      <c r="G96" s="305" t="s">
        <v>113</v>
      </c>
      <c r="H96" s="300">
        <f t="shared" si="3"/>
        <v>47</v>
      </c>
      <c r="I96" s="357"/>
    </row>
    <row r="97" spans="1:8" x14ac:dyDescent="0.35">
      <c r="A97" s="300">
        <f t="shared" si="2"/>
        <v>48</v>
      </c>
      <c r="B97" s="303"/>
      <c r="C97" s="357"/>
      <c r="D97" s="357"/>
      <c r="E97" s="212"/>
      <c r="F97" s="365"/>
      <c r="G97" s="305"/>
      <c r="H97" s="300">
        <f t="shared" si="3"/>
        <v>48</v>
      </c>
    </row>
    <row r="98" spans="1:8" x14ac:dyDescent="0.35">
      <c r="A98" s="300">
        <f t="shared" si="2"/>
        <v>49</v>
      </c>
      <c r="B98" s="303" t="s">
        <v>114</v>
      </c>
      <c r="C98" s="357"/>
      <c r="D98" s="357"/>
      <c r="E98" s="212">
        <f>E94+E96</f>
        <v>27413.609185315639</v>
      </c>
      <c r="F98" s="365"/>
      <c r="G98" s="305" t="s">
        <v>115</v>
      </c>
      <c r="H98" s="300">
        <f t="shared" si="3"/>
        <v>49</v>
      </c>
    </row>
    <row r="99" spans="1:8" x14ac:dyDescent="0.35">
      <c r="A99" s="300">
        <f t="shared" si="2"/>
        <v>50</v>
      </c>
      <c r="B99" s="355"/>
      <c r="C99" s="357"/>
      <c r="D99" s="357"/>
      <c r="E99" s="367"/>
      <c r="F99" s="355"/>
      <c r="G99" s="355"/>
      <c r="H99" s="300">
        <f t="shared" si="3"/>
        <v>50</v>
      </c>
    </row>
    <row r="100" spans="1:8" ht="16" thickBot="1" x14ac:dyDescent="0.4">
      <c r="A100" s="300">
        <f t="shared" si="2"/>
        <v>51</v>
      </c>
      <c r="B100" s="303" t="s">
        <v>116</v>
      </c>
      <c r="C100" s="357"/>
      <c r="D100" s="357"/>
      <c r="E100" s="368">
        <f>E98/E50</f>
        <v>4.8191312980864036E-3</v>
      </c>
      <c r="F100" s="369"/>
      <c r="G100" s="305" t="s">
        <v>117</v>
      </c>
      <c r="H100" s="300">
        <f t="shared" si="3"/>
        <v>51</v>
      </c>
    </row>
    <row r="101" spans="1:8" ht="16" thickTop="1" x14ac:dyDescent="0.35">
      <c r="A101" s="306"/>
    </row>
    <row r="102" spans="1:8" x14ac:dyDescent="0.35">
      <c r="A102" s="306"/>
    </row>
    <row r="103" spans="1:8" x14ac:dyDescent="0.35">
      <c r="A103" s="23" t="s">
        <v>24</v>
      </c>
      <c r="B103" s="296" t="str">
        <f>'Pg3 Rev App XII C5'!B56</f>
        <v>Items in BOLD have changed to correct the over-allocation of "Duplicate Charges (Company Energy Use)" Credit in FERC Account no. 929.</v>
      </c>
    </row>
    <row r="104" spans="1:8" x14ac:dyDescent="0.35">
      <c r="A104" s="306"/>
    </row>
    <row r="105" spans="1:8" x14ac:dyDescent="0.35">
      <c r="A105" s="306"/>
    </row>
    <row r="106" spans="1:8" x14ac:dyDescent="0.35">
      <c r="A106" s="306"/>
    </row>
    <row r="107" spans="1:8" x14ac:dyDescent="0.35">
      <c r="A107" s="306"/>
    </row>
    <row r="108" spans="1:8" x14ac:dyDescent="0.35">
      <c r="A108" s="306"/>
    </row>
    <row r="109" spans="1:8" x14ac:dyDescent="0.35">
      <c r="A109" s="306"/>
    </row>
    <row r="110" spans="1:8" x14ac:dyDescent="0.35">
      <c r="A110" s="306"/>
    </row>
    <row r="111" spans="1:8" x14ac:dyDescent="0.35">
      <c r="A111" s="306"/>
    </row>
    <row r="112" spans="1:8" x14ac:dyDescent="0.35">
      <c r="A112" s="306"/>
    </row>
    <row r="113" spans="1:1" x14ac:dyDescent="0.35">
      <c r="A113" s="306"/>
    </row>
    <row r="114" spans="1:1" x14ac:dyDescent="0.35">
      <c r="A114" s="306"/>
    </row>
    <row r="115" spans="1:1" x14ac:dyDescent="0.35">
      <c r="A115" s="306"/>
    </row>
    <row r="116" spans="1:1" x14ac:dyDescent="0.35">
      <c r="A116" s="306"/>
    </row>
    <row r="117" spans="1:1" x14ac:dyDescent="0.35">
      <c r="A117" s="306"/>
    </row>
    <row r="118" spans="1:1" x14ac:dyDescent="0.35">
      <c r="A118" s="306"/>
    </row>
    <row r="119" spans="1:1" x14ac:dyDescent="0.35">
      <c r="A119" s="306"/>
    </row>
    <row r="120" spans="1:1" x14ac:dyDescent="0.35">
      <c r="A120" s="306"/>
    </row>
    <row r="121" spans="1:1" x14ac:dyDescent="0.35">
      <c r="A121" s="306"/>
    </row>
    <row r="122" spans="1:1" x14ac:dyDescent="0.35">
      <c r="A122" s="306"/>
    </row>
    <row r="123" spans="1:1" x14ac:dyDescent="0.35">
      <c r="A123" s="306"/>
    </row>
    <row r="124" spans="1:1" x14ac:dyDescent="0.35">
      <c r="A124" s="306"/>
    </row>
    <row r="125" spans="1:1" x14ac:dyDescent="0.35">
      <c r="A125" s="306"/>
    </row>
    <row r="126" spans="1:1" x14ac:dyDescent="0.35">
      <c r="A126" s="306"/>
    </row>
    <row r="127" spans="1:1" x14ac:dyDescent="0.35">
      <c r="A127" s="306"/>
    </row>
    <row r="128" spans="1:1" x14ac:dyDescent="0.35">
      <c r="A128" s="306"/>
    </row>
    <row r="129" spans="1:1" x14ac:dyDescent="0.35">
      <c r="A129" s="306"/>
    </row>
    <row r="130" spans="1:1" x14ac:dyDescent="0.35">
      <c r="A130" s="306"/>
    </row>
    <row r="131" spans="1:1" x14ac:dyDescent="0.35">
      <c r="A131" s="306"/>
    </row>
    <row r="132" spans="1:1" x14ac:dyDescent="0.35">
      <c r="A132" s="306"/>
    </row>
    <row r="133" spans="1:1" x14ac:dyDescent="0.35">
      <c r="A133" s="306"/>
    </row>
    <row r="134" spans="1:1" x14ac:dyDescent="0.35">
      <c r="A134" s="306"/>
    </row>
    <row r="135" spans="1:1" x14ac:dyDescent="0.35">
      <c r="A135" s="306"/>
    </row>
    <row r="136" spans="1:1" x14ac:dyDescent="0.35">
      <c r="A136" s="306"/>
    </row>
    <row r="137" spans="1:1" x14ac:dyDescent="0.35">
      <c r="A137" s="306"/>
    </row>
    <row r="138" spans="1:1" x14ac:dyDescent="0.35">
      <c r="A138" s="306"/>
    </row>
    <row r="139" spans="1:1" x14ac:dyDescent="0.35">
      <c r="A139" s="306"/>
    </row>
    <row r="140" spans="1:1" x14ac:dyDescent="0.35">
      <c r="A140" s="306"/>
    </row>
    <row r="141" spans="1:1" x14ac:dyDescent="0.35">
      <c r="A141" s="306"/>
    </row>
    <row r="142" spans="1:1" x14ac:dyDescent="0.35">
      <c r="A142" s="306"/>
    </row>
    <row r="143" spans="1:1" x14ac:dyDescent="0.35">
      <c r="A143" s="306"/>
    </row>
    <row r="144" spans="1:1" x14ac:dyDescent="0.35">
      <c r="A144" s="306"/>
    </row>
    <row r="145" spans="1:6" x14ac:dyDescent="0.35">
      <c r="A145" s="306"/>
    </row>
    <row r="146" spans="1:6" x14ac:dyDescent="0.35">
      <c r="A146" s="306"/>
    </row>
    <row r="147" spans="1:6" x14ac:dyDescent="0.35">
      <c r="A147" s="306"/>
    </row>
    <row r="148" spans="1:6" x14ac:dyDescent="0.35">
      <c r="A148" s="306"/>
    </row>
    <row r="149" spans="1:6" x14ac:dyDescent="0.35">
      <c r="A149" s="306"/>
    </row>
    <row r="150" spans="1:6" x14ac:dyDescent="0.35">
      <c r="A150" s="306"/>
    </row>
    <row r="151" spans="1:6" x14ac:dyDescent="0.35">
      <c r="A151" s="306"/>
    </row>
    <row r="152" spans="1:6" x14ac:dyDescent="0.35">
      <c r="A152" s="306"/>
    </row>
    <row r="153" spans="1:6" x14ac:dyDescent="0.35">
      <c r="A153" s="306"/>
    </row>
    <row r="154" spans="1:6" x14ac:dyDescent="0.35">
      <c r="A154" s="306"/>
    </row>
    <row r="155" spans="1:6" x14ac:dyDescent="0.35">
      <c r="A155" s="306"/>
      <c r="B155" s="297"/>
      <c r="C155" s="297"/>
      <c r="D155" s="297"/>
      <c r="E155" s="297"/>
      <c r="F155" s="297"/>
    </row>
    <row r="156" spans="1:6" x14ac:dyDescent="0.35">
      <c r="A156" s="306"/>
      <c r="B156" s="297"/>
      <c r="C156" s="297"/>
      <c r="D156" s="297"/>
      <c r="E156" s="297"/>
      <c r="F156" s="297"/>
    </row>
    <row r="161" spans="1:6" x14ac:dyDescent="0.35">
      <c r="A161" s="299"/>
      <c r="B161" s="297"/>
      <c r="C161" s="297"/>
      <c r="D161" s="297"/>
      <c r="E161" s="370"/>
      <c r="F161" s="370"/>
    </row>
  </sheetData>
  <mergeCells count="10">
    <mergeCell ref="B42:G42"/>
    <mergeCell ref="B43:G43"/>
    <mergeCell ref="B44:G44"/>
    <mergeCell ref="B45:G45"/>
    <mergeCell ref="B2:G2"/>
    <mergeCell ref="B3:G3"/>
    <mergeCell ref="B4:G4"/>
    <mergeCell ref="B5:G5"/>
    <mergeCell ref="B6:G6"/>
    <mergeCell ref="B41:G41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2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93.1796875" style="17" bestFit="1" customWidth="1"/>
    <col min="3" max="3" width="10.453125" style="17" customWidth="1"/>
    <col min="4" max="4" width="1.54296875" style="17" customWidth="1"/>
    <col min="5" max="5" width="16.81640625" style="17" customWidth="1"/>
    <col min="6" max="6" width="1.54296875" style="17" customWidth="1"/>
    <col min="7" max="7" width="43.453125" style="17" customWidth="1"/>
    <col min="8" max="8" width="5.1796875" style="33" customWidth="1"/>
    <col min="9" max="9" width="8.81640625" style="17"/>
    <col min="10" max="10" width="9.81640625" style="17" bestFit="1" customWidth="1"/>
    <col min="11" max="16384" width="8.81640625" style="17"/>
  </cols>
  <sheetData>
    <row r="1" spans="1:8" x14ac:dyDescent="0.35">
      <c r="A1" s="519" t="s">
        <v>699</v>
      </c>
    </row>
    <row r="2" spans="1:8" x14ac:dyDescent="0.35">
      <c r="A2" s="721"/>
      <c r="B2" s="296"/>
      <c r="C2" s="296"/>
      <c r="D2" s="296"/>
      <c r="E2" s="722"/>
      <c r="F2" s="722"/>
      <c r="G2" s="722"/>
      <c r="H2" s="723"/>
    </row>
    <row r="3" spans="1:8" x14ac:dyDescent="0.35">
      <c r="A3" s="295"/>
      <c r="B3" s="809" t="s">
        <v>14</v>
      </c>
      <c r="C3" s="809"/>
      <c r="D3" s="809"/>
      <c r="E3" s="809"/>
      <c r="F3" s="809"/>
      <c r="G3" s="809"/>
      <c r="H3" s="723"/>
    </row>
    <row r="4" spans="1:8" x14ac:dyDescent="0.35">
      <c r="B4" s="809" t="s">
        <v>581</v>
      </c>
      <c r="C4" s="809"/>
      <c r="D4" s="809"/>
      <c r="E4" s="809"/>
      <c r="F4" s="809"/>
      <c r="G4" s="809"/>
      <c r="H4" s="295"/>
    </row>
    <row r="5" spans="1:8" x14ac:dyDescent="0.35">
      <c r="B5" s="809" t="s">
        <v>58</v>
      </c>
      <c r="C5" s="809"/>
      <c r="D5" s="809"/>
      <c r="E5" s="809"/>
      <c r="F5" s="809"/>
      <c r="G5" s="809"/>
      <c r="H5" s="295"/>
    </row>
    <row r="6" spans="1:8" x14ac:dyDescent="0.35">
      <c r="B6" s="810" t="s">
        <v>476</v>
      </c>
      <c r="C6" s="810"/>
      <c r="D6" s="810"/>
      <c r="E6" s="810"/>
      <c r="F6" s="810"/>
      <c r="G6" s="810"/>
      <c r="H6" s="295"/>
    </row>
    <row r="7" spans="1:8" x14ac:dyDescent="0.35">
      <c r="B7" s="811" t="s">
        <v>1</v>
      </c>
      <c r="C7" s="811"/>
      <c r="D7" s="811"/>
      <c r="E7" s="811"/>
      <c r="F7" s="811"/>
      <c r="G7" s="811"/>
      <c r="H7" s="298"/>
    </row>
    <row r="8" spans="1:8" x14ac:dyDescent="0.35">
      <c r="A8" s="724"/>
      <c r="B8" s="469"/>
      <c r="C8" s="469"/>
      <c r="D8" s="469"/>
      <c r="E8" s="469"/>
      <c r="F8" s="469"/>
      <c r="G8" s="722"/>
      <c r="H8" s="723"/>
    </row>
    <row r="9" spans="1:8" x14ac:dyDescent="0.35">
      <c r="A9" s="300" t="s">
        <v>2</v>
      </c>
      <c r="B9" s="296"/>
      <c r="C9" s="296"/>
      <c r="D9" s="296"/>
      <c r="E9" s="469"/>
      <c r="F9" s="469"/>
      <c r="G9" s="296"/>
      <c r="H9" s="300" t="s">
        <v>2</v>
      </c>
    </row>
    <row r="10" spans="1:8" x14ac:dyDescent="0.35">
      <c r="A10" s="300" t="s">
        <v>3</v>
      </c>
      <c r="B10" s="296"/>
      <c r="C10" s="296"/>
      <c r="D10" s="296"/>
      <c r="E10" s="725" t="s">
        <v>5</v>
      </c>
      <c r="F10" s="301"/>
      <c r="G10" s="725" t="s">
        <v>6</v>
      </c>
      <c r="H10" s="300" t="s">
        <v>3</v>
      </c>
    </row>
    <row r="11" spans="1:8" x14ac:dyDescent="0.35">
      <c r="A11" s="300"/>
      <c r="B11" s="296"/>
      <c r="C11" s="296"/>
      <c r="D11" s="296"/>
      <c r="E11" s="469"/>
      <c r="F11" s="301"/>
      <c r="G11" s="469"/>
      <c r="H11" s="300"/>
    </row>
    <row r="12" spans="1:8" x14ac:dyDescent="0.35">
      <c r="A12" s="300">
        <v>1</v>
      </c>
      <c r="B12" s="302" t="s">
        <v>59</v>
      </c>
      <c r="C12" s="302"/>
      <c r="D12" s="302"/>
      <c r="E12" s="722"/>
      <c r="F12" s="722"/>
      <c r="G12" s="469"/>
      <c r="H12" s="300">
        <f>A12</f>
        <v>1</v>
      </c>
    </row>
    <row r="13" spans="1:8" x14ac:dyDescent="0.35">
      <c r="A13" s="300">
        <f>A12+1</f>
        <v>2</v>
      </c>
      <c r="B13" s="303" t="s">
        <v>60</v>
      </c>
      <c r="C13" s="304"/>
      <c r="D13" s="304"/>
      <c r="E13" s="308">
        <f>E56</f>
        <v>6.6164028400862674E-3</v>
      </c>
      <c r="F13" s="309"/>
      <c r="G13" s="305" t="s">
        <v>557</v>
      </c>
      <c r="H13" s="300">
        <f>H12+1</f>
        <v>2</v>
      </c>
    </row>
    <row r="14" spans="1:8" x14ac:dyDescent="0.35">
      <c r="A14" s="300">
        <f t="shared" ref="A14:A36" si="0">A13+1</f>
        <v>3</v>
      </c>
      <c r="B14" s="296"/>
      <c r="C14" s="306"/>
      <c r="D14" s="306"/>
      <c r="E14" s="307"/>
      <c r="F14" s="301"/>
      <c r="G14" s="305"/>
      <c r="H14" s="300">
        <f t="shared" ref="H14:H36" si="1">H13+1</f>
        <v>3</v>
      </c>
    </row>
    <row r="15" spans="1:8" x14ac:dyDescent="0.35">
      <c r="A15" s="300">
        <f t="shared" si="0"/>
        <v>4</v>
      </c>
      <c r="B15" s="303" t="s">
        <v>61</v>
      </c>
      <c r="C15" s="304"/>
      <c r="D15" s="304"/>
      <c r="E15" s="308">
        <f>E61</f>
        <v>9.8734746821278665E-3</v>
      </c>
      <c r="F15" s="23"/>
      <c r="G15" s="305" t="s">
        <v>558</v>
      </c>
      <c r="H15" s="300">
        <f t="shared" si="1"/>
        <v>4</v>
      </c>
    </row>
    <row r="16" spans="1:8" x14ac:dyDescent="0.35">
      <c r="A16" s="300">
        <f t="shared" si="0"/>
        <v>5</v>
      </c>
      <c r="B16" s="722"/>
      <c r="C16" s="724"/>
      <c r="D16" s="724"/>
      <c r="E16" s="310"/>
      <c r="F16" s="311"/>
      <c r="G16" s="305"/>
      <c r="H16" s="300">
        <f t="shared" si="1"/>
        <v>5</v>
      </c>
    </row>
    <row r="17" spans="1:8" x14ac:dyDescent="0.35">
      <c r="A17" s="300">
        <f t="shared" si="0"/>
        <v>6</v>
      </c>
      <c r="B17" s="722" t="s">
        <v>62</v>
      </c>
      <c r="C17" s="724"/>
      <c r="D17" s="724"/>
      <c r="E17" s="643">
        <f>E66</f>
        <v>1.0972402310643796E-2</v>
      </c>
      <c r="F17" s="311"/>
      <c r="G17" s="305" t="s">
        <v>395</v>
      </c>
      <c r="H17" s="300">
        <f t="shared" si="1"/>
        <v>6</v>
      </c>
    </row>
    <row r="18" spans="1:8" x14ac:dyDescent="0.35">
      <c r="A18" s="300">
        <f t="shared" si="0"/>
        <v>7</v>
      </c>
      <c r="B18" s="722"/>
      <c r="C18" s="724"/>
      <c r="D18" s="724"/>
      <c r="E18" s="310"/>
      <c r="F18" s="311"/>
      <c r="G18" s="305"/>
      <c r="H18" s="300">
        <f t="shared" si="1"/>
        <v>7</v>
      </c>
    </row>
    <row r="19" spans="1:8" x14ac:dyDescent="0.35">
      <c r="A19" s="300">
        <f t="shared" si="0"/>
        <v>8</v>
      </c>
      <c r="B19" s="303" t="s">
        <v>63</v>
      </c>
      <c r="C19" s="304"/>
      <c r="D19" s="304"/>
      <c r="E19" s="308">
        <f>E71</f>
        <v>3.2396471705873188E-4</v>
      </c>
      <c r="F19" s="309"/>
      <c r="G19" s="305" t="s">
        <v>559</v>
      </c>
      <c r="H19" s="300">
        <f t="shared" si="1"/>
        <v>8</v>
      </c>
    </row>
    <row r="20" spans="1:8" x14ac:dyDescent="0.35">
      <c r="A20" s="300">
        <f t="shared" si="0"/>
        <v>9</v>
      </c>
      <c r="B20" s="296"/>
      <c r="C20" s="306"/>
      <c r="D20" s="306"/>
      <c r="E20" s="307"/>
      <c r="F20" s="301"/>
      <c r="G20" s="305"/>
      <c r="H20" s="300">
        <f t="shared" si="1"/>
        <v>9</v>
      </c>
    </row>
    <row r="21" spans="1:8" x14ac:dyDescent="0.35">
      <c r="A21" s="300">
        <f t="shared" si="0"/>
        <v>10</v>
      </c>
      <c r="B21" s="303" t="s">
        <v>64</v>
      </c>
      <c r="C21" s="306"/>
      <c r="D21" s="306"/>
      <c r="E21" s="308">
        <f>E84</f>
        <v>1.7630062696309585E-3</v>
      </c>
      <c r="F21" s="301"/>
      <c r="G21" s="305" t="s">
        <v>560</v>
      </c>
      <c r="H21" s="300">
        <f t="shared" si="1"/>
        <v>10</v>
      </c>
    </row>
    <row r="22" spans="1:8" x14ac:dyDescent="0.35">
      <c r="A22" s="300">
        <f t="shared" si="0"/>
        <v>11</v>
      </c>
      <c r="B22" s="296"/>
      <c r="C22" s="306"/>
      <c r="D22" s="306"/>
      <c r="E22" s="307"/>
      <c r="F22" s="301"/>
      <c r="G22" s="305"/>
      <c r="H22" s="300">
        <f t="shared" si="1"/>
        <v>11</v>
      </c>
    </row>
    <row r="23" spans="1:8" x14ac:dyDescent="0.35">
      <c r="A23" s="300">
        <f t="shared" si="0"/>
        <v>12</v>
      </c>
      <c r="B23" s="303" t="s">
        <v>65</v>
      </c>
      <c r="C23" s="304"/>
      <c r="D23" s="304"/>
      <c r="E23" s="308">
        <f>E101</f>
        <v>4.8191312980864036E-3</v>
      </c>
      <c r="F23" s="309"/>
      <c r="G23" s="305" t="s">
        <v>561</v>
      </c>
      <c r="H23" s="300">
        <f t="shared" si="1"/>
        <v>12</v>
      </c>
    </row>
    <row r="24" spans="1:8" x14ac:dyDescent="0.35">
      <c r="A24" s="300">
        <f t="shared" si="0"/>
        <v>13</v>
      </c>
      <c r="B24" s="312"/>
      <c r="C24" s="313"/>
      <c r="D24" s="313"/>
      <c r="E24" s="314"/>
      <c r="F24" s="315"/>
      <c r="G24" s="305"/>
      <c r="H24" s="300">
        <f t="shared" si="1"/>
        <v>13</v>
      </c>
    </row>
    <row r="25" spans="1:8" x14ac:dyDescent="0.35">
      <c r="A25" s="300">
        <f t="shared" si="0"/>
        <v>14</v>
      </c>
      <c r="B25" s="303" t="s">
        <v>66</v>
      </c>
      <c r="C25" s="304"/>
      <c r="D25" s="304"/>
      <c r="E25" s="556">
        <f>SUM(E13:E23)</f>
        <v>3.4368382117634017E-2</v>
      </c>
      <c r="F25" s="23" t="s">
        <v>24</v>
      </c>
      <c r="G25" s="305" t="s">
        <v>562</v>
      </c>
      <c r="H25" s="300">
        <f t="shared" si="1"/>
        <v>14</v>
      </c>
    </row>
    <row r="26" spans="1:8" x14ac:dyDescent="0.35">
      <c r="A26" s="300">
        <f t="shared" si="0"/>
        <v>15</v>
      </c>
      <c r="B26" s="296"/>
      <c r="C26" s="306"/>
      <c r="D26" s="306"/>
      <c r="E26" s="316"/>
      <c r="F26" s="317"/>
      <c r="G26" s="305"/>
      <c r="H26" s="300">
        <f t="shared" si="1"/>
        <v>15</v>
      </c>
    </row>
    <row r="27" spans="1:8" x14ac:dyDescent="0.35">
      <c r="A27" s="300">
        <f t="shared" si="0"/>
        <v>16</v>
      </c>
      <c r="B27" s="722" t="s">
        <v>67</v>
      </c>
      <c r="C27" s="318">
        <v>1.0274999999999999E-2</v>
      </c>
      <c r="D27" s="306"/>
      <c r="E27" s="644">
        <f>E25*C27</f>
        <v>3.5313512625868951E-4</v>
      </c>
      <c r="F27" s="319"/>
      <c r="G27" s="305" t="s">
        <v>563</v>
      </c>
      <c r="H27" s="300">
        <f t="shared" si="1"/>
        <v>16</v>
      </c>
    </row>
    <row r="28" spans="1:8" x14ac:dyDescent="0.35">
      <c r="A28" s="300">
        <f t="shared" si="0"/>
        <v>17</v>
      </c>
      <c r="B28" s="296"/>
      <c r="C28" s="306"/>
      <c r="D28" s="306"/>
      <c r="E28" s="320"/>
      <c r="F28" s="321"/>
      <c r="G28" s="305"/>
      <c r="H28" s="300">
        <f t="shared" si="1"/>
        <v>17</v>
      </c>
    </row>
    <row r="29" spans="1:8" ht="16" thickBot="1" x14ac:dyDescent="0.4">
      <c r="A29" s="300">
        <f t="shared" si="0"/>
        <v>18</v>
      </c>
      <c r="B29" s="296" t="s">
        <v>68</v>
      </c>
      <c r="C29" s="306"/>
      <c r="D29" s="306"/>
      <c r="E29" s="726">
        <f>E25+E27</f>
        <v>3.4721517243892705E-2</v>
      </c>
      <c r="F29" s="23"/>
      <c r="G29" s="305" t="s">
        <v>564</v>
      </c>
      <c r="H29" s="300">
        <f t="shared" si="1"/>
        <v>18</v>
      </c>
    </row>
    <row r="30" spans="1:8" ht="16" thickTop="1" x14ac:dyDescent="0.35">
      <c r="A30" s="300">
        <f t="shared" si="0"/>
        <v>19</v>
      </c>
      <c r="B30" s="722"/>
      <c r="C30" s="724"/>
      <c r="D30" s="724"/>
      <c r="E30" s="306"/>
      <c r="F30" s="296"/>
      <c r="G30" s="296"/>
      <c r="H30" s="300">
        <f t="shared" si="1"/>
        <v>19</v>
      </c>
    </row>
    <row r="31" spans="1:8" x14ac:dyDescent="0.35">
      <c r="A31" s="300">
        <f t="shared" si="0"/>
        <v>20</v>
      </c>
      <c r="B31" s="302" t="s">
        <v>69</v>
      </c>
      <c r="C31" s="322"/>
      <c r="D31" s="322"/>
      <c r="E31" s="724"/>
      <c r="F31" s="722"/>
      <c r="G31" s="296"/>
      <c r="H31" s="300">
        <f t="shared" si="1"/>
        <v>20</v>
      </c>
    </row>
    <row r="32" spans="1:8" x14ac:dyDescent="0.35">
      <c r="A32" s="300">
        <f t="shared" si="0"/>
        <v>21</v>
      </c>
      <c r="B32" s="303" t="s">
        <v>70</v>
      </c>
      <c r="C32" s="304"/>
      <c r="D32" s="304"/>
      <c r="E32" s="241">
        <v>27000</v>
      </c>
      <c r="F32" s="301"/>
      <c r="G32" s="305" t="s">
        <v>71</v>
      </c>
      <c r="H32" s="300">
        <f t="shared" si="1"/>
        <v>21</v>
      </c>
    </row>
    <row r="33" spans="1:8" x14ac:dyDescent="0.35">
      <c r="A33" s="300">
        <f t="shared" si="0"/>
        <v>22</v>
      </c>
      <c r="B33" s="303"/>
      <c r="C33" s="304"/>
      <c r="D33" s="304"/>
      <c r="E33" s="304"/>
      <c r="F33" s="303"/>
      <c r="G33" s="305"/>
      <c r="H33" s="300">
        <f t="shared" si="1"/>
        <v>22</v>
      </c>
    </row>
    <row r="34" spans="1:8" x14ac:dyDescent="0.35">
      <c r="A34" s="300">
        <f t="shared" si="0"/>
        <v>23</v>
      </c>
      <c r="B34" s="303" t="s">
        <v>72</v>
      </c>
      <c r="C34" s="304"/>
      <c r="D34" s="304"/>
      <c r="E34" s="727">
        <f>+E29</f>
        <v>3.4721517243892705E-2</v>
      </c>
      <c r="F34" s="23"/>
      <c r="G34" s="305" t="s">
        <v>565</v>
      </c>
      <c r="H34" s="300">
        <f t="shared" si="1"/>
        <v>23</v>
      </c>
    </row>
    <row r="35" spans="1:8" x14ac:dyDescent="0.35">
      <c r="A35" s="300">
        <f t="shared" si="0"/>
        <v>24</v>
      </c>
      <c r="B35" s="296"/>
      <c r="C35" s="306"/>
      <c r="D35" s="306"/>
      <c r="E35" s="323"/>
      <c r="F35" s="324"/>
      <c r="G35" s="305"/>
      <c r="H35" s="300">
        <f t="shared" si="1"/>
        <v>24</v>
      </c>
    </row>
    <row r="36" spans="1:8" ht="16" thickBot="1" x14ac:dyDescent="0.4">
      <c r="A36" s="300">
        <f t="shared" si="0"/>
        <v>25</v>
      </c>
      <c r="B36" s="296" t="s">
        <v>73</v>
      </c>
      <c r="C36" s="304"/>
      <c r="D36" s="304"/>
      <c r="E36" s="728">
        <f>E32*E34</f>
        <v>937.48096558510304</v>
      </c>
      <c r="F36" s="23"/>
      <c r="G36" s="305" t="s">
        <v>566</v>
      </c>
      <c r="H36" s="300">
        <f t="shared" si="1"/>
        <v>25</v>
      </c>
    </row>
    <row r="37" spans="1:8" ht="16" thickTop="1" x14ac:dyDescent="0.35">
      <c r="A37" s="300"/>
      <c r="B37" s="296"/>
      <c r="C37" s="303"/>
      <c r="D37" s="303"/>
      <c r="E37" s="326"/>
      <c r="F37" s="327"/>
      <c r="G37" s="305"/>
      <c r="H37" s="300"/>
    </row>
    <row r="38" spans="1:8" x14ac:dyDescent="0.35">
      <c r="A38" s="300"/>
      <c r="B38" s="296"/>
      <c r="C38" s="303"/>
      <c r="D38" s="303"/>
      <c r="E38" s="326"/>
      <c r="F38" s="327"/>
      <c r="G38" s="305"/>
      <c r="H38" s="300"/>
    </row>
    <row r="39" spans="1:8" x14ac:dyDescent="0.35">
      <c r="A39" s="23" t="s">
        <v>24</v>
      </c>
      <c r="B39" s="296" t="s">
        <v>649</v>
      </c>
      <c r="C39" s="303"/>
      <c r="D39" s="303"/>
      <c r="E39" s="326"/>
      <c r="F39" s="327"/>
      <c r="G39" s="305"/>
      <c r="H39" s="300"/>
    </row>
    <row r="40" spans="1:8" x14ac:dyDescent="0.35">
      <c r="A40" s="23"/>
      <c r="B40" s="296"/>
      <c r="C40" s="303"/>
      <c r="D40" s="303"/>
      <c r="E40" s="326"/>
      <c r="F40" s="327"/>
      <c r="G40" s="305"/>
      <c r="H40" s="300"/>
    </row>
    <row r="41" spans="1:8" x14ac:dyDescent="0.35">
      <c r="A41" s="724"/>
      <c r="B41" s="296"/>
      <c r="C41" s="296"/>
      <c r="D41" s="296"/>
      <c r="E41" s="312"/>
      <c r="F41" s="312"/>
      <c r="G41" s="722"/>
      <c r="H41" s="723"/>
    </row>
    <row r="42" spans="1:8" x14ac:dyDescent="0.35">
      <c r="A42" s="724"/>
      <c r="B42" s="808" t="str">
        <f>B3</f>
        <v>SAN DIEGO GAS &amp; ELECTRIC COMPANY</v>
      </c>
      <c r="C42" s="808"/>
      <c r="D42" s="808"/>
      <c r="E42" s="808"/>
      <c r="F42" s="808"/>
      <c r="G42" s="808"/>
      <c r="H42" s="723"/>
    </row>
    <row r="43" spans="1:8" x14ac:dyDescent="0.35">
      <c r="B43" s="808" t="str">
        <f>B4</f>
        <v>CITIZENS' SHARE OF THE SX-PQ UNDERGROUND LINE SEGMENT</v>
      </c>
      <c r="C43" s="808"/>
      <c r="D43" s="808"/>
      <c r="E43" s="808"/>
      <c r="F43" s="808"/>
      <c r="G43" s="808"/>
      <c r="H43" s="313"/>
    </row>
    <row r="44" spans="1:8" x14ac:dyDescent="0.35">
      <c r="B44" s="809" t="str">
        <f>B5</f>
        <v xml:space="preserve">Section 2 - Non-Direct Expense Cost Component </v>
      </c>
      <c r="C44" s="809"/>
      <c r="D44" s="809"/>
      <c r="E44" s="809"/>
      <c r="F44" s="809"/>
      <c r="G44" s="809"/>
      <c r="H44" s="306"/>
    </row>
    <row r="45" spans="1:8" x14ac:dyDescent="0.35">
      <c r="B45" s="810" t="str">
        <f>B6</f>
        <v>Base Period &amp; True-Up Period 12 - Months Ending December 31, 2021</v>
      </c>
      <c r="C45" s="810"/>
      <c r="D45" s="810"/>
      <c r="E45" s="810"/>
      <c r="F45" s="810"/>
      <c r="G45" s="810"/>
      <c r="H45" s="306"/>
    </row>
    <row r="46" spans="1:8" x14ac:dyDescent="0.35">
      <c r="B46" s="811" t="str">
        <f>B7</f>
        <v>($1,000)</v>
      </c>
      <c r="C46" s="805"/>
      <c r="D46" s="805"/>
      <c r="E46" s="805"/>
      <c r="F46" s="805"/>
      <c r="G46" s="805"/>
      <c r="H46" s="83"/>
    </row>
    <row r="47" spans="1:8" x14ac:dyDescent="0.35">
      <c r="A47" s="328"/>
      <c r="B47" s="296"/>
      <c r="C47" s="296"/>
      <c r="D47" s="296"/>
      <c r="E47" s="296"/>
      <c r="F47" s="296"/>
      <c r="G47" s="296"/>
      <c r="H47" s="723"/>
    </row>
    <row r="48" spans="1:8" x14ac:dyDescent="0.35">
      <c r="A48" s="300" t="s">
        <v>2</v>
      </c>
      <c r="B48" s="296"/>
      <c r="C48" s="296"/>
      <c r="D48" s="296"/>
      <c r="E48" s="469"/>
      <c r="F48" s="469"/>
      <c r="G48" s="296"/>
      <c r="H48" s="300" t="s">
        <v>2</v>
      </c>
    </row>
    <row r="49" spans="1:10" x14ac:dyDescent="0.35">
      <c r="A49" s="300" t="s">
        <v>3</v>
      </c>
      <c r="B49" s="296"/>
      <c r="C49" s="296"/>
      <c r="D49" s="296"/>
      <c r="E49" s="725" t="s">
        <v>5</v>
      </c>
      <c r="F49" s="305"/>
      <c r="G49" s="725" t="s">
        <v>6</v>
      </c>
      <c r="H49" s="300" t="s">
        <v>3</v>
      </c>
    </row>
    <row r="50" spans="1:10" x14ac:dyDescent="0.35">
      <c r="A50" s="300"/>
      <c r="B50" s="296"/>
      <c r="C50" s="296"/>
      <c r="D50" s="296"/>
      <c r="E50" s="469"/>
      <c r="F50" s="469"/>
      <c r="G50" s="296"/>
      <c r="H50" s="300"/>
    </row>
    <row r="51" spans="1:10" x14ac:dyDescent="0.35">
      <c r="A51" s="300">
        <v>1</v>
      </c>
      <c r="B51" s="329" t="s">
        <v>74</v>
      </c>
      <c r="C51" s="329"/>
      <c r="D51" s="329"/>
      <c r="E51" s="729">
        <v>5688496.0150807938</v>
      </c>
      <c r="F51" s="23" t="s">
        <v>24</v>
      </c>
      <c r="G51" s="305" t="s">
        <v>682</v>
      </c>
      <c r="H51" s="300">
        <f>A51</f>
        <v>1</v>
      </c>
    </row>
    <row r="52" spans="1:10" x14ac:dyDescent="0.35">
      <c r="A52" s="300">
        <f>A51+1</f>
        <v>2</v>
      </c>
      <c r="B52" s="296"/>
      <c r="C52" s="296"/>
      <c r="D52" s="296"/>
      <c r="E52" s="295"/>
      <c r="F52" s="469"/>
      <c r="G52" s="296"/>
      <c r="H52" s="300">
        <f>H51+1</f>
        <v>2</v>
      </c>
    </row>
    <row r="53" spans="1:10" x14ac:dyDescent="0.35">
      <c r="A53" s="300">
        <f t="shared" ref="A53:A101" si="2">A52+1</f>
        <v>3</v>
      </c>
      <c r="B53" s="302" t="s">
        <v>75</v>
      </c>
      <c r="C53" s="302"/>
      <c r="D53" s="302"/>
      <c r="E53" s="330"/>
      <c r="F53" s="331"/>
      <c r="G53" s="296"/>
      <c r="H53" s="300">
        <f t="shared" ref="H53:H101" si="3">H52+1</f>
        <v>3</v>
      </c>
    </row>
    <row r="54" spans="1:10" x14ac:dyDescent="0.35">
      <c r="A54" s="300">
        <f t="shared" si="2"/>
        <v>4</v>
      </c>
      <c r="B54" s="303" t="s">
        <v>76</v>
      </c>
      <c r="C54" s="303"/>
      <c r="D54" s="303"/>
      <c r="E54" s="645">
        <v>37637.381189999978</v>
      </c>
      <c r="F54" s="469"/>
      <c r="G54" s="305" t="s">
        <v>508</v>
      </c>
      <c r="H54" s="300">
        <f t="shared" si="3"/>
        <v>4</v>
      </c>
      <c r="J54" s="332"/>
    </row>
    <row r="55" spans="1:10" x14ac:dyDescent="0.35">
      <c r="A55" s="300">
        <f t="shared" si="2"/>
        <v>5</v>
      </c>
      <c r="B55" s="303"/>
      <c r="C55" s="303"/>
      <c r="D55" s="303"/>
      <c r="E55" s="242"/>
      <c r="F55" s="333"/>
      <c r="G55" s="305"/>
      <c r="H55" s="300">
        <f t="shared" si="3"/>
        <v>5</v>
      </c>
      <c r="J55" s="332"/>
    </row>
    <row r="56" spans="1:10" x14ac:dyDescent="0.35">
      <c r="A56" s="300">
        <f t="shared" si="2"/>
        <v>6</v>
      </c>
      <c r="B56" s="303" t="s">
        <v>77</v>
      </c>
      <c r="C56" s="296"/>
      <c r="D56" s="296"/>
      <c r="E56" s="334">
        <f>E54/E51</f>
        <v>6.6164028400862674E-3</v>
      </c>
      <c r="F56" s="335"/>
      <c r="G56" s="305" t="s">
        <v>78</v>
      </c>
      <c r="H56" s="300">
        <f t="shared" si="3"/>
        <v>6</v>
      </c>
      <c r="J56" s="332"/>
    </row>
    <row r="57" spans="1:10" x14ac:dyDescent="0.35">
      <c r="A57" s="300">
        <f t="shared" si="2"/>
        <v>7</v>
      </c>
      <c r="B57" s="303"/>
      <c r="C57" s="303"/>
      <c r="D57" s="303"/>
      <c r="E57" s="336"/>
      <c r="F57" s="337"/>
      <c r="G57" s="305"/>
      <c r="H57" s="300">
        <f t="shared" si="3"/>
        <v>7</v>
      </c>
    </row>
    <row r="58" spans="1:10" x14ac:dyDescent="0.35">
      <c r="A58" s="300">
        <f t="shared" si="2"/>
        <v>8</v>
      </c>
      <c r="B58" s="302" t="s">
        <v>79</v>
      </c>
      <c r="C58" s="302"/>
      <c r="D58" s="302"/>
      <c r="E58" s="338"/>
      <c r="F58" s="339"/>
      <c r="G58" s="340"/>
      <c r="H58" s="300">
        <f t="shared" si="3"/>
        <v>8</v>
      </c>
    </row>
    <row r="59" spans="1:10" x14ac:dyDescent="0.35">
      <c r="A59" s="300">
        <f t="shared" si="2"/>
        <v>9</v>
      </c>
      <c r="B59" s="303" t="s">
        <v>80</v>
      </c>
      <c r="C59" s="303"/>
      <c r="D59" s="303"/>
      <c r="E59" s="663">
        <v>56165.221384285476</v>
      </c>
      <c r="F59" s="23" t="s">
        <v>24</v>
      </c>
      <c r="G59" s="305" t="s">
        <v>663</v>
      </c>
      <c r="H59" s="300">
        <f t="shared" si="3"/>
        <v>9</v>
      </c>
    </row>
    <row r="60" spans="1:10" x14ac:dyDescent="0.35">
      <c r="A60" s="300">
        <f t="shared" si="2"/>
        <v>10</v>
      </c>
      <c r="B60" s="296"/>
      <c r="C60" s="296"/>
      <c r="D60" s="296"/>
      <c r="E60" s="338"/>
      <c r="F60" s="339"/>
      <c r="G60" s="305"/>
      <c r="H60" s="300">
        <f t="shared" si="3"/>
        <v>10</v>
      </c>
    </row>
    <row r="61" spans="1:10" x14ac:dyDescent="0.35">
      <c r="A61" s="300">
        <f t="shared" si="2"/>
        <v>11</v>
      </c>
      <c r="B61" s="341" t="s">
        <v>81</v>
      </c>
      <c r="C61" s="340"/>
      <c r="D61" s="340"/>
      <c r="E61" s="334">
        <f>E59/E51</f>
        <v>9.8734746821278665E-3</v>
      </c>
      <c r="G61" s="305" t="s">
        <v>82</v>
      </c>
      <c r="H61" s="300">
        <f t="shared" si="3"/>
        <v>11</v>
      </c>
    </row>
    <row r="62" spans="1:10" x14ac:dyDescent="0.35">
      <c r="A62" s="300">
        <f t="shared" si="2"/>
        <v>12</v>
      </c>
      <c r="B62" s="340"/>
      <c r="C62" s="340"/>
      <c r="D62" s="340"/>
      <c r="E62" s="342"/>
      <c r="F62" s="343"/>
      <c r="G62" s="305"/>
      <c r="H62" s="300">
        <f t="shared" si="3"/>
        <v>12</v>
      </c>
    </row>
    <row r="63" spans="1:10" x14ac:dyDescent="0.35">
      <c r="A63" s="300">
        <f t="shared" si="2"/>
        <v>13</v>
      </c>
      <c r="B63" s="302" t="s">
        <v>83</v>
      </c>
      <c r="C63" s="340"/>
      <c r="D63" s="340"/>
      <c r="E63" s="342"/>
      <c r="F63" s="343"/>
      <c r="G63" s="305"/>
      <c r="H63" s="300">
        <f t="shared" si="3"/>
        <v>13</v>
      </c>
    </row>
    <row r="64" spans="1:10" x14ac:dyDescent="0.35">
      <c r="A64" s="300">
        <f t="shared" si="2"/>
        <v>14</v>
      </c>
      <c r="B64" s="341" t="s">
        <v>62</v>
      </c>
      <c r="C64" s="340"/>
      <c r="D64" s="340"/>
      <c r="E64" s="663">
        <v>62416.466819960529</v>
      </c>
      <c r="F64" s="23" t="s">
        <v>24</v>
      </c>
      <c r="G64" s="305" t="s">
        <v>683</v>
      </c>
      <c r="H64" s="300">
        <f t="shared" si="3"/>
        <v>14</v>
      </c>
    </row>
    <row r="65" spans="1:8" x14ac:dyDescent="0.35">
      <c r="A65" s="300">
        <f t="shared" si="2"/>
        <v>15</v>
      </c>
      <c r="B65" s="340"/>
      <c r="C65" s="340"/>
      <c r="D65" s="340"/>
      <c r="E65" s="338"/>
      <c r="F65" s="343"/>
      <c r="G65" s="305"/>
      <c r="H65" s="300">
        <f t="shared" si="3"/>
        <v>15</v>
      </c>
    </row>
    <row r="66" spans="1:8" x14ac:dyDescent="0.35">
      <c r="A66" s="300">
        <f t="shared" si="2"/>
        <v>16</v>
      </c>
      <c r="B66" s="341" t="s">
        <v>84</v>
      </c>
      <c r="C66" s="340"/>
      <c r="D66" s="340"/>
      <c r="E66" s="334">
        <f>E64/E51</f>
        <v>1.0972402310643796E-2</v>
      </c>
      <c r="F66" s="343"/>
      <c r="G66" s="305" t="s">
        <v>85</v>
      </c>
      <c r="H66" s="300">
        <f t="shared" si="3"/>
        <v>16</v>
      </c>
    </row>
    <row r="67" spans="1:8" x14ac:dyDescent="0.35">
      <c r="A67" s="300">
        <f t="shared" si="2"/>
        <v>17</v>
      </c>
      <c r="B67" s="340"/>
      <c r="C67" s="340"/>
      <c r="D67" s="340"/>
      <c r="E67" s="342"/>
      <c r="F67" s="343"/>
      <c r="G67" s="305"/>
      <c r="H67" s="300">
        <f t="shared" si="3"/>
        <v>17</v>
      </c>
    </row>
    <row r="68" spans="1:8" x14ac:dyDescent="0.35">
      <c r="A68" s="300">
        <f t="shared" si="2"/>
        <v>18</v>
      </c>
      <c r="B68" s="302" t="s">
        <v>86</v>
      </c>
      <c r="C68" s="302"/>
      <c r="D68" s="302"/>
      <c r="E68" s="342"/>
      <c r="F68" s="343"/>
      <c r="G68" s="305"/>
      <c r="H68" s="300">
        <f t="shared" si="3"/>
        <v>18</v>
      </c>
    </row>
    <row r="69" spans="1:8" x14ac:dyDescent="0.35">
      <c r="A69" s="300">
        <f t="shared" si="2"/>
        <v>19</v>
      </c>
      <c r="B69" s="303" t="s">
        <v>63</v>
      </c>
      <c r="C69" s="303"/>
      <c r="D69" s="303"/>
      <c r="E69" s="646">
        <v>1842.8720020153733</v>
      </c>
      <c r="F69" s="469"/>
      <c r="G69" s="305" t="s">
        <v>87</v>
      </c>
      <c r="H69" s="300">
        <f t="shared" si="3"/>
        <v>19</v>
      </c>
    </row>
    <row r="70" spans="1:8" x14ac:dyDescent="0.35">
      <c r="A70" s="300">
        <f t="shared" si="2"/>
        <v>20</v>
      </c>
      <c r="B70" s="340"/>
      <c r="C70" s="340"/>
      <c r="D70" s="340"/>
      <c r="E70" s="342"/>
      <c r="F70" s="343"/>
      <c r="G70" s="305"/>
      <c r="H70" s="300">
        <f t="shared" si="3"/>
        <v>20</v>
      </c>
    </row>
    <row r="71" spans="1:8" x14ac:dyDescent="0.35">
      <c r="A71" s="300">
        <f t="shared" si="2"/>
        <v>21</v>
      </c>
      <c r="B71" s="341" t="s">
        <v>88</v>
      </c>
      <c r="C71" s="340"/>
      <c r="D71" s="340"/>
      <c r="E71" s="334">
        <f>E69/E51</f>
        <v>3.2396471705873188E-4</v>
      </c>
      <c r="F71" s="335"/>
      <c r="G71" s="305" t="s">
        <v>89</v>
      </c>
      <c r="H71" s="300">
        <f t="shared" si="3"/>
        <v>21</v>
      </c>
    </row>
    <row r="72" spans="1:8" x14ac:dyDescent="0.35">
      <c r="A72" s="300">
        <f t="shared" si="2"/>
        <v>22</v>
      </c>
      <c r="B72" s="340"/>
      <c r="C72" s="340"/>
      <c r="D72" s="340"/>
      <c r="E72" s="342"/>
      <c r="F72" s="343"/>
      <c r="G72" s="305"/>
      <c r="H72" s="300">
        <f t="shared" si="3"/>
        <v>22</v>
      </c>
    </row>
    <row r="73" spans="1:8" x14ac:dyDescent="0.35">
      <c r="A73" s="300">
        <f t="shared" si="2"/>
        <v>23</v>
      </c>
      <c r="B73" s="302" t="s">
        <v>90</v>
      </c>
      <c r="C73" s="302"/>
      <c r="D73" s="302"/>
      <c r="E73" s="344"/>
      <c r="F73" s="345"/>
      <c r="G73" s="305"/>
      <c r="H73" s="300">
        <f t="shared" si="3"/>
        <v>23</v>
      </c>
    </row>
    <row r="74" spans="1:8" x14ac:dyDescent="0.35">
      <c r="A74" s="300">
        <f t="shared" si="2"/>
        <v>24</v>
      </c>
      <c r="B74" s="346" t="s">
        <v>91</v>
      </c>
      <c r="C74" s="296"/>
      <c r="D74" s="296"/>
      <c r="E74" s="344"/>
      <c r="F74" s="345"/>
      <c r="G74" s="305"/>
      <c r="H74" s="300">
        <f t="shared" si="3"/>
        <v>24</v>
      </c>
    </row>
    <row r="75" spans="1:8" x14ac:dyDescent="0.35">
      <c r="A75" s="300">
        <f t="shared" si="2"/>
        <v>25</v>
      </c>
      <c r="B75" s="303" t="s">
        <v>92</v>
      </c>
      <c r="C75" s="303"/>
      <c r="D75" s="303"/>
      <c r="E75" s="730">
        <v>47442.662369609825</v>
      </c>
      <c r="F75" s="23" t="s">
        <v>24</v>
      </c>
      <c r="G75" s="305" t="s">
        <v>668</v>
      </c>
      <c r="H75" s="300">
        <f t="shared" si="3"/>
        <v>25</v>
      </c>
    </row>
    <row r="76" spans="1:8" x14ac:dyDescent="0.35">
      <c r="A76" s="300">
        <f t="shared" si="2"/>
        <v>26</v>
      </c>
      <c r="B76" s="303" t="s">
        <v>94</v>
      </c>
      <c r="C76" s="303"/>
      <c r="D76" s="303"/>
      <c r="E76" s="349">
        <v>40928.96333129039</v>
      </c>
      <c r="F76" s="23" t="s">
        <v>24</v>
      </c>
      <c r="G76" s="305" t="s">
        <v>669</v>
      </c>
      <c r="H76" s="300">
        <f t="shared" si="3"/>
        <v>26</v>
      </c>
    </row>
    <row r="77" spans="1:8" x14ac:dyDescent="0.35">
      <c r="A77" s="300">
        <f t="shared" si="2"/>
        <v>27</v>
      </c>
      <c r="B77" s="303" t="s">
        <v>96</v>
      </c>
      <c r="C77" s="303"/>
      <c r="D77" s="303"/>
      <c r="E77" s="349">
        <v>11725.325321785682</v>
      </c>
      <c r="F77" s="23" t="s">
        <v>24</v>
      </c>
      <c r="G77" s="305" t="s">
        <v>670</v>
      </c>
      <c r="H77" s="300">
        <f t="shared" si="3"/>
        <v>27</v>
      </c>
    </row>
    <row r="78" spans="1:8" x14ac:dyDescent="0.35">
      <c r="A78" s="300">
        <f t="shared" si="2"/>
        <v>28</v>
      </c>
      <c r="B78" s="303" t="s">
        <v>97</v>
      </c>
      <c r="C78" s="296"/>
      <c r="D78" s="296"/>
      <c r="E78" s="350">
        <f>SUM(E75:E77)</f>
        <v>100096.9510226859</v>
      </c>
      <c r="F78" s="23" t="s">
        <v>24</v>
      </c>
      <c r="G78" s="305" t="s">
        <v>98</v>
      </c>
      <c r="H78" s="300">
        <f t="shared" si="3"/>
        <v>28</v>
      </c>
    </row>
    <row r="79" spans="1:8" x14ac:dyDescent="0.35">
      <c r="A79" s="300">
        <f t="shared" si="2"/>
        <v>29</v>
      </c>
      <c r="B79" s="296"/>
      <c r="C79" s="296"/>
      <c r="D79" s="296"/>
      <c r="E79" s="351"/>
      <c r="F79" s="352"/>
      <c r="G79" s="305"/>
      <c r="H79" s="300">
        <f t="shared" si="3"/>
        <v>29</v>
      </c>
    </row>
    <row r="80" spans="1:8" x14ac:dyDescent="0.35">
      <c r="A80" s="300">
        <f t="shared" si="2"/>
        <v>30</v>
      </c>
      <c r="B80" s="303" t="s">
        <v>99</v>
      </c>
      <c r="C80" s="303"/>
      <c r="D80" s="303"/>
      <c r="E80" s="353">
        <v>0.10019140480198274</v>
      </c>
      <c r="F80" s="23"/>
      <c r="G80" s="305" t="s">
        <v>684</v>
      </c>
      <c r="H80" s="300">
        <f t="shared" si="3"/>
        <v>30</v>
      </c>
    </row>
    <row r="81" spans="1:8" x14ac:dyDescent="0.35">
      <c r="A81" s="300">
        <f t="shared" si="2"/>
        <v>31</v>
      </c>
      <c r="B81" s="296"/>
      <c r="C81" s="296"/>
      <c r="D81" s="296"/>
      <c r="E81" s="351"/>
      <c r="F81" s="352"/>
      <c r="G81" s="305"/>
      <c r="H81" s="300">
        <f t="shared" si="3"/>
        <v>31</v>
      </c>
    </row>
    <row r="82" spans="1:8" x14ac:dyDescent="0.35">
      <c r="A82" s="300">
        <f t="shared" si="2"/>
        <v>32</v>
      </c>
      <c r="B82" s="303" t="s">
        <v>100</v>
      </c>
      <c r="C82" s="296"/>
      <c r="D82" s="296"/>
      <c r="E82" s="553">
        <f>E78*E80</f>
        <v>10028.854139358164</v>
      </c>
      <c r="F82" s="23" t="s">
        <v>24</v>
      </c>
      <c r="G82" s="305" t="s">
        <v>101</v>
      </c>
      <c r="H82" s="300">
        <f t="shared" si="3"/>
        <v>32</v>
      </c>
    </row>
    <row r="83" spans="1:8" x14ac:dyDescent="0.35">
      <c r="A83" s="300">
        <f t="shared" si="2"/>
        <v>33</v>
      </c>
      <c r="B83" s="296"/>
      <c r="C83" s="296"/>
      <c r="D83" s="296"/>
      <c r="E83" s="351"/>
      <c r="F83" s="352"/>
      <c r="G83" s="305"/>
      <c r="H83" s="300">
        <f t="shared" si="3"/>
        <v>33</v>
      </c>
    </row>
    <row r="84" spans="1:8" x14ac:dyDescent="0.35">
      <c r="A84" s="300">
        <f t="shared" si="2"/>
        <v>34</v>
      </c>
      <c r="B84" s="303" t="s">
        <v>102</v>
      </c>
      <c r="C84" s="296"/>
      <c r="D84" s="296"/>
      <c r="E84" s="334">
        <f>E82/E51</f>
        <v>1.7630062696309585E-3</v>
      </c>
      <c r="F84" s="335"/>
      <c r="G84" s="305" t="s">
        <v>103</v>
      </c>
      <c r="H84" s="300">
        <f t="shared" si="3"/>
        <v>34</v>
      </c>
    </row>
    <row r="85" spans="1:8" x14ac:dyDescent="0.35">
      <c r="A85" s="300">
        <f t="shared" si="2"/>
        <v>35</v>
      </c>
      <c r="B85" s="303"/>
      <c r="C85" s="296"/>
      <c r="D85" s="296"/>
      <c r="E85" s="354"/>
      <c r="F85" s="335"/>
      <c r="G85" s="305"/>
      <c r="H85" s="300">
        <f t="shared" si="3"/>
        <v>35</v>
      </c>
    </row>
    <row r="86" spans="1:8" x14ac:dyDescent="0.35">
      <c r="A86" s="300">
        <f t="shared" si="2"/>
        <v>36</v>
      </c>
      <c r="B86" s="302" t="s">
        <v>104</v>
      </c>
      <c r="C86" s="355"/>
      <c r="D86" s="355"/>
      <c r="E86" s="731"/>
      <c r="F86" s="731"/>
      <c r="G86" s="731"/>
      <c r="H86" s="300">
        <f t="shared" si="3"/>
        <v>36</v>
      </c>
    </row>
    <row r="87" spans="1:8" x14ac:dyDescent="0.35">
      <c r="A87" s="300">
        <f t="shared" si="2"/>
        <v>37</v>
      </c>
      <c r="B87" s="303" t="s">
        <v>105</v>
      </c>
      <c r="C87" s="355"/>
      <c r="D87" s="355"/>
      <c r="E87" s="732">
        <v>32319.855416885912</v>
      </c>
      <c r="F87" s="23" t="s">
        <v>24</v>
      </c>
      <c r="G87" s="305" t="s">
        <v>685</v>
      </c>
      <c r="H87" s="300">
        <f t="shared" si="3"/>
        <v>37</v>
      </c>
    </row>
    <row r="88" spans="1:8" x14ac:dyDescent="0.35">
      <c r="A88" s="300">
        <f t="shared" si="2"/>
        <v>38</v>
      </c>
      <c r="B88" s="302"/>
      <c r="C88" s="355"/>
      <c r="D88" s="355"/>
      <c r="E88" s="733"/>
      <c r="F88" s="731"/>
      <c r="G88" s="731"/>
      <c r="H88" s="300">
        <f t="shared" si="3"/>
        <v>38</v>
      </c>
    </row>
    <row r="89" spans="1:8" x14ac:dyDescent="0.35">
      <c r="A89" s="300">
        <f t="shared" si="2"/>
        <v>39</v>
      </c>
      <c r="B89" s="303" t="s">
        <v>106</v>
      </c>
      <c r="C89" s="355"/>
      <c r="D89" s="355"/>
      <c r="E89" s="734">
        <v>81059.121812139405</v>
      </c>
      <c r="F89" s="23" t="s">
        <v>24</v>
      </c>
      <c r="G89" s="305" t="s">
        <v>686</v>
      </c>
      <c r="H89" s="300">
        <f t="shared" si="3"/>
        <v>39</v>
      </c>
    </row>
    <row r="90" spans="1:8" ht="18" x14ac:dyDescent="0.6">
      <c r="A90" s="300">
        <f t="shared" si="2"/>
        <v>40</v>
      </c>
      <c r="B90" s="355"/>
      <c r="C90" s="357"/>
      <c r="D90" s="357"/>
      <c r="E90" s="648"/>
      <c r="F90" s="358"/>
      <c r="G90" s="355"/>
      <c r="H90" s="300">
        <f t="shared" si="3"/>
        <v>40</v>
      </c>
    </row>
    <row r="91" spans="1:8" x14ac:dyDescent="0.35">
      <c r="A91" s="300">
        <f t="shared" si="2"/>
        <v>41</v>
      </c>
      <c r="B91" s="303" t="s">
        <v>107</v>
      </c>
      <c r="C91" s="357"/>
      <c r="D91" s="357"/>
      <c r="E91" s="735">
        <f>E87+E89</f>
        <v>113378.97722902532</v>
      </c>
      <c r="F91" s="23" t="s">
        <v>24</v>
      </c>
      <c r="G91" s="305" t="s">
        <v>108</v>
      </c>
      <c r="H91" s="300">
        <f t="shared" si="3"/>
        <v>41</v>
      </c>
    </row>
    <row r="92" spans="1:8" x14ac:dyDescent="0.35">
      <c r="A92" s="300">
        <f t="shared" si="2"/>
        <v>42</v>
      </c>
      <c r="B92" s="360"/>
      <c r="C92" s="357"/>
      <c r="D92" s="357"/>
      <c r="E92" s="650"/>
      <c r="F92" s="359"/>
      <c r="G92" s="361"/>
      <c r="H92" s="300">
        <f t="shared" si="3"/>
        <v>42</v>
      </c>
    </row>
    <row r="93" spans="1:8" x14ac:dyDescent="0.35">
      <c r="A93" s="300">
        <f t="shared" si="2"/>
        <v>43</v>
      </c>
      <c r="B93" s="303" t="s">
        <v>99</v>
      </c>
      <c r="C93" s="357"/>
      <c r="D93" s="357"/>
      <c r="E93" s="651">
        <f>E80</f>
        <v>0.10019140480198274</v>
      </c>
      <c r="F93" s="23"/>
      <c r="G93" s="305" t="s">
        <v>109</v>
      </c>
      <c r="H93" s="300">
        <f t="shared" si="3"/>
        <v>43</v>
      </c>
    </row>
    <row r="94" spans="1:8" x14ac:dyDescent="0.35">
      <c r="A94" s="300">
        <f t="shared" si="2"/>
        <v>44</v>
      </c>
      <c r="B94" s="355"/>
      <c r="C94" s="357"/>
      <c r="D94" s="357"/>
      <c r="E94" s="362"/>
      <c r="F94" s="363"/>
      <c r="G94" s="355"/>
      <c r="H94" s="300">
        <f t="shared" si="3"/>
        <v>44</v>
      </c>
    </row>
    <row r="95" spans="1:8" x14ac:dyDescent="0.35">
      <c r="A95" s="300">
        <f t="shared" si="2"/>
        <v>45</v>
      </c>
      <c r="B95" s="303" t="s">
        <v>110</v>
      </c>
      <c r="C95" s="357"/>
      <c r="D95" s="357"/>
      <c r="E95" s="736">
        <f>E91*E93</f>
        <v>11359.599003588059</v>
      </c>
      <c r="F95" s="23" t="s">
        <v>24</v>
      </c>
      <c r="G95" s="305" t="s">
        <v>111</v>
      </c>
      <c r="H95" s="300">
        <f t="shared" si="3"/>
        <v>45</v>
      </c>
    </row>
    <row r="96" spans="1:8" x14ac:dyDescent="0.35">
      <c r="A96" s="300">
        <f t="shared" si="2"/>
        <v>46</v>
      </c>
      <c r="B96" s="360"/>
      <c r="C96" s="357"/>
      <c r="D96" s="357"/>
      <c r="E96" s="366"/>
      <c r="F96" s="365"/>
      <c r="G96" s="361"/>
      <c r="H96" s="300">
        <f t="shared" si="3"/>
        <v>46</v>
      </c>
    </row>
    <row r="97" spans="1:9" x14ac:dyDescent="0.35">
      <c r="A97" s="300">
        <f t="shared" si="2"/>
        <v>47</v>
      </c>
      <c r="B97" s="303" t="s">
        <v>112</v>
      </c>
      <c r="C97" s="357"/>
      <c r="D97" s="357"/>
      <c r="E97" s="652">
        <v>16054.010181727583</v>
      </c>
      <c r="G97" s="305" t="s">
        <v>113</v>
      </c>
      <c r="H97" s="300">
        <f t="shared" si="3"/>
        <v>47</v>
      </c>
      <c r="I97" s="357"/>
    </row>
    <row r="98" spans="1:9" x14ac:dyDescent="0.35">
      <c r="A98" s="300">
        <f t="shared" si="2"/>
        <v>48</v>
      </c>
      <c r="B98" s="303"/>
      <c r="C98" s="357"/>
      <c r="D98" s="357"/>
      <c r="E98" s="212"/>
      <c r="F98" s="365"/>
      <c r="G98" s="305"/>
      <c r="H98" s="300">
        <f t="shared" si="3"/>
        <v>48</v>
      </c>
    </row>
    <row r="99" spans="1:9" x14ac:dyDescent="0.35">
      <c r="A99" s="300">
        <f t="shared" si="2"/>
        <v>49</v>
      </c>
      <c r="B99" s="303" t="s">
        <v>114</v>
      </c>
      <c r="C99" s="357"/>
      <c r="D99" s="357"/>
      <c r="E99" s="225">
        <f>E95+E97</f>
        <v>27413.609185315639</v>
      </c>
      <c r="F99" s="23" t="s">
        <v>24</v>
      </c>
      <c r="G99" s="305" t="s">
        <v>115</v>
      </c>
      <c r="H99" s="300">
        <f t="shared" si="3"/>
        <v>49</v>
      </c>
    </row>
    <row r="100" spans="1:9" x14ac:dyDescent="0.35">
      <c r="A100" s="300">
        <f t="shared" si="2"/>
        <v>50</v>
      </c>
      <c r="B100" s="355"/>
      <c r="C100" s="357"/>
      <c r="D100" s="357"/>
      <c r="E100" s="367"/>
      <c r="F100" s="355"/>
      <c r="G100" s="355"/>
      <c r="H100" s="300">
        <f t="shared" si="3"/>
        <v>50</v>
      </c>
    </row>
    <row r="101" spans="1:9" ht="16" thickBot="1" x14ac:dyDescent="0.4">
      <c r="A101" s="300">
        <f t="shared" si="2"/>
        <v>51</v>
      </c>
      <c r="B101" s="303" t="s">
        <v>116</v>
      </c>
      <c r="C101" s="357"/>
      <c r="D101" s="357"/>
      <c r="E101" s="368">
        <f>E99/E51</f>
        <v>4.8191312980864036E-3</v>
      </c>
      <c r="F101" s="369"/>
      <c r="G101" s="305" t="s">
        <v>117</v>
      </c>
      <c r="H101" s="300">
        <f t="shared" si="3"/>
        <v>51</v>
      </c>
    </row>
    <row r="102" spans="1:9" ht="16" thickTop="1" x14ac:dyDescent="0.35">
      <c r="A102" s="306"/>
    </row>
    <row r="103" spans="1:9" x14ac:dyDescent="0.35">
      <c r="A103" s="306"/>
    </row>
    <row r="104" spans="1:9" x14ac:dyDescent="0.35">
      <c r="A104" s="23" t="s">
        <v>24</v>
      </c>
      <c r="B104" s="296" t="str">
        <f>B39</f>
        <v>Items in BOLD have changed due to various FERC audit adj. compared to Appendix XII Cycle 5 filing per ER23-110 and Appendix XII Cycle 6 July Posting's cost adjustments.</v>
      </c>
    </row>
    <row r="105" spans="1:9" x14ac:dyDescent="0.35">
      <c r="A105" s="306"/>
    </row>
    <row r="106" spans="1:9" x14ac:dyDescent="0.35">
      <c r="A106" s="306"/>
    </row>
    <row r="107" spans="1:9" x14ac:dyDescent="0.35">
      <c r="A107" s="306"/>
    </row>
    <row r="108" spans="1:9" x14ac:dyDescent="0.35">
      <c r="A108" s="306"/>
    </row>
    <row r="109" spans="1:9" x14ac:dyDescent="0.35">
      <c r="A109" s="306"/>
    </row>
    <row r="110" spans="1:9" x14ac:dyDescent="0.35">
      <c r="A110" s="306"/>
    </row>
    <row r="111" spans="1:9" x14ac:dyDescent="0.35">
      <c r="A111" s="306"/>
    </row>
    <row r="112" spans="1:9" x14ac:dyDescent="0.35">
      <c r="A112" s="306"/>
    </row>
    <row r="113" spans="1:1" x14ac:dyDescent="0.35">
      <c r="A113" s="306"/>
    </row>
    <row r="114" spans="1:1" x14ac:dyDescent="0.35">
      <c r="A114" s="306"/>
    </row>
    <row r="115" spans="1:1" x14ac:dyDescent="0.35">
      <c r="A115" s="306"/>
    </row>
    <row r="116" spans="1:1" x14ac:dyDescent="0.35">
      <c r="A116" s="306"/>
    </row>
    <row r="117" spans="1:1" x14ac:dyDescent="0.35">
      <c r="A117" s="306"/>
    </row>
    <row r="118" spans="1:1" x14ac:dyDescent="0.35">
      <c r="A118" s="306"/>
    </row>
    <row r="119" spans="1:1" x14ac:dyDescent="0.35">
      <c r="A119" s="306"/>
    </row>
    <row r="120" spans="1:1" x14ac:dyDescent="0.35">
      <c r="A120" s="306"/>
    </row>
    <row r="121" spans="1:1" x14ac:dyDescent="0.35">
      <c r="A121" s="306"/>
    </row>
    <row r="122" spans="1:1" x14ac:dyDescent="0.35">
      <c r="A122" s="306"/>
    </row>
    <row r="123" spans="1:1" x14ac:dyDescent="0.35">
      <c r="A123" s="306"/>
    </row>
    <row r="124" spans="1:1" x14ac:dyDescent="0.35">
      <c r="A124" s="306"/>
    </row>
    <row r="125" spans="1:1" x14ac:dyDescent="0.35">
      <c r="A125" s="306"/>
    </row>
    <row r="126" spans="1:1" x14ac:dyDescent="0.35">
      <c r="A126" s="306"/>
    </row>
    <row r="127" spans="1:1" x14ac:dyDescent="0.35">
      <c r="A127" s="306"/>
    </row>
    <row r="128" spans="1:1" x14ac:dyDescent="0.35">
      <c r="A128" s="306"/>
    </row>
    <row r="129" spans="1:1" x14ac:dyDescent="0.35">
      <c r="A129" s="306"/>
    </row>
    <row r="130" spans="1:1" x14ac:dyDescent="0.35">
      <c r="A130" s="306"/>
    </row>
    <row r="131" spans="1:1" x14ac:dyDescent="0.35">
      <c r="A131" s="306"/>
    </row>
    <row r="132" spans="1:1" x14ac:dyDescent="0.35">
      <c r="A132" s="306"/>
    </row>
    <row r="133" spans="1:1" x14ac:dyDescent="0.35">
      <c r="A133" s="306"/>
    </row>
    <row r="134" spans="1:1" x14ac:dyDescent="0.35">
      <c r="A134" s="306"/>
    </row>
    <row r="135" spans="1:1" x14ac:dyDescent="0.35">
      <c r="A135" s="306"/>
    </row>
    <row r="136" spans="1:1" x14ac:dyDescent="0.35">
      <c r="A136" s="306"/>
    </row>
    <row r="137" spans="1:1" x14ac:dyDescent="0.35">
      <c r="A137" s="306"/>
    </row>
    <row r="138" spans="1:1" x14ac:dyDescent="0.35">
      <c r="A138" s="306"/>
    </row>
    <row r="139" spans="1:1" x14ac:dyDescent="0.35">
      <c r="A139" s="306"/>
    </row>
    <row r="140" spans="1:1" x14ac:dyDescent="0.35">
      <c r="A140" s="306"/>
    </row>
    <row r="141" spans="1:1" x14ac:dyDescent="0.35">
      <c r="A141" s="306"/>
    </row>
    <row r="142" spans="1:1" x14ac:dyDescent="0.35">
      <c r="A142" s="306"/>
    </row>
    <row r="143" spans="1:1" x14ac:dyDescent="0.35">
      <c r="A143" s="306"/>
    </row>
    <row r="144" spans="1:1" x14ac:dyDescent="0.35">
      <c r="A144" s="306"/>
    </row>
    <row r="145" spans="1:6" x14ac:dyDescent="0.35">
      <c r="A145" s="306"/>
    </row>
    <row r="146" spans="1:6" x14ac:dyDescent="0.35">
      <c r="A146" s="306"/>
    </row>
    <row r="147" spans="1:6" x14ac:dyDescent="0.35">
      <c r="A147" s="306"/>
    </row>
    <row r="148" spans="1:6" x14ac:dyDescent="0.35">
      <c r="A148" s="306"/>
    </row>
    <row r="149" spans="1:6" x14ac:dyDescent="0.35">
      <c r="A149" s="306"/>
    </row>
    <row r="150" spans="1:6" x14ac:dyDescent="0.35">
      <c r="A150" s="306"/>
    </row>
    <row r="151" spans="1:6" x14ac:dyDescent="0.35">
      <c r="A151" s="306"/>
    </row>
    <row r="152" spans="1:6" x14ac:dyDescent="0.35">
      <c r="A152" s="306"/>
    </row>
    <row r="153" spans="1:6" x14ac:dyDescent="0.35">
      <c r="A153" s="306"/>
    </row>
    <row r="154" spans="1:6" x14ac:dyDescent="0.35">
      <c r="A154" s="306"/>
    </row>
    <row r="155" spans="1:6" x14ac:dyDescent="0.35">
      <c r="A155" s="306"/>
    </row>
    <row r="156" spans="1:6" x14ac:dyDescent="0.35">
      <c r="A156" s="306"/>
      <c r="B156" s="722"/>
      <c r="C156" s="722"/>
      <c r="D156" s="722"/>
      <c r="E156" s="722"/>
      <c r="F156" s="722"/>
    </row>
    <row r="157" spans="1:6" x14ac:dyDescent="0.35">
      <c r="A157" s="306"/>
      <c r="B157" s="722"/>
      <c r="C157" s="722"/>
      <c r="D157" s="722"/>
      <c r="E157" s="722"/>
      <c r="F157" s="722"/>
    </row>
    <row r="162" spans="1:6" x14ac:dyDescent="0.35">
      <c r="A162" s="724"/>
      <c r="B162" s="722"/>
      <c r="C162" s="722"/>
      <c r="D162" s="722"/>
      <c r="E162" s="370"/>
      <c r="F162" s="370"/>
    </row>
  </sheetData>
  <mergeCells count="10">
    <mergeCell ref="B46:G46"/>
    <mergeCell ref="B3:G3"/>
    <mergeCell ref="B42:G42"/>
    <mergeCell ref="B43:G43"/>
    <mergeCell ref="B44:G44"/>
    <mergeCell ref="B45:G45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 SEC. 2 NON-DIRECT EXP WITH COST ADJ INCL. IN APPENDIX XII CYCLE 6 (ER24-175)</oddHeader>
    <oddFooter>&amp;L&amp;F&amp;CPage 6.&amp;P&amp;R&amp;A</oddFooter>
  </headerFooter>
  <rowBreaks count="1" manualBreakCount="1">
    <brk id="4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8CA3-D062-4BC1-93BB-AD46BC331054}">
  <sheetPr>
    <pageSetUpPr fitToPage="1"/>
  </sheetPr>
  <dimension ref="A1:T42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81640625" style="34" bestFit="1" customWidth="1"/>
    <col min="9" max="11" width="21.54296875" style="34" customWidth="1"/>
    <col min="12" max="12" width="2" style="34" bestFit="1" customWidth="1"/>
    <col min="13" max="13" width="21.54296875" style="34" customWidth="1"/>
    <col min="14" max="14" width="2" style="34" bestFit="1" customWidth="1"/>
    <col min="15" max="15" width="21.54296875" style="34" customWidth="1"/>
    <col min="16" max="16" width="2" style="34" bestFit="1" customWidth="1"/>
    <col min="17" max="17" width="5.1796875" style="33" customWidth="1"/>
    <col min="18" max="18" width="13.54296875" style="34" customWidth="1"/>
    <col min="19" max="19" width="12.54296875" style="34" customWidth="1"/>
    <col min="20" max="16384" width="9.1796875" style="34"/>
  </cols>
  <sheetData>
    <row r="1" spans="1:17" x14ac:dyDescent="0.35">
      <c r="I1" s="470"/>
    </row>
    <row r="2" spans="1:17" x14ac:dyDescent="0.35">
      <c r="B2" s="812" t="s">
        <v>14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</row>
    <row r="3" spans="1:17" x14ac:dyDescent="0.3">
      <c r="B3" s="805" t="s">
        <v>581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  <c r="Q3" s="805"/>
    </row>
    <row r="4" spans="1:17" x14ac:dyDescent="0.3">
      <c r="B4" s="805" t="s">
        <v>118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</row>
    <row r="5" spans="1:17" x14ac:dyDescent="0.3">
      <c r="B5" s="813" t="s">
        <v>471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x14ac:dyDescent="0.35">
      <c r="B6" s="814" t="s">
        <v>1</v>
      </c>
      <c r="C6" s="814"/>
      <c r="D6" s="814"/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4"/>
      <c r="P6" s="670"/>
      <c r="Q6" s="291"/>
    </row>
    <row r="7" spans="1:17" x14ac:dyDescent="0.35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470"/>
      <c r="M7" s="291"/>
      <c r="N7" s="291"/>
      <c r="O7" s="291"/>
      <c r="P7" s="291"/>
      <c r="Q7" s="291"/>
    </row>
    <row r="8" spans="1:17" x14ac:dyDescent="0.35">
      <c r="A8" s="33" t="s">
        <v>2</v>
      </c>
      <c r="B8" s="50"/>
      <c r="E8" s="40"/>
      <c r="F8" s="128"/>
      <c r="G8" s="128"/>
      <c r="Q8" s="33" t="s">
        <v>2</v>
      </c>
    </row>
    <row r="9" spans="1:17" x14ac:dyDescent="0.35">
      <c r="A9" s="33" t="s">
        <v>3</v>
      </c>
      <c r="B9" s="50"/>
      <c r="E9" s="40"/>
      <c r="F9" s="128"/>
      <c r="G9" s="128"/>
      <c r="Q9" s="33" t="s">
        <v>3</v>
      </c>
    </row>
    <row r="10" spans="1:17" x14ac:dyDescent="0.35">
      <c r="A10" s="33">
        <v>1</v>
      </c>
      <c r="E10" s="40"/>
      <c r="I10" s="243"/>
      <c r="J10" s="243"/>
      <c r="Q10" s="33">
        <v>1</v>
      </c>
    </row>
    <row r="11" spans="1:17" x14ac:dyDescent="0.35">
      <c r="A11" s="33">
        <f t="shared" ref="A11:A31" si="0">A10+1</f>
        <v>2</v>
      </c>
      <c r="C11" s="244" t="s">
        <v>119</v>
      </c>
      <c r="D11" s="244" t="s">
        <v>120</v>
      </c>
      <c r="E11" s="244" t="s">
        <v>121</v>
      </c>
      <c r="F11" s="244" t="s">
        <v>122</v>
      </c>
      <c r="G11" s="244" t="s">
        <v>123</v>
      </c>
      <c r="H11" s="244" t="s">
        <v>124</v>
      </c>
      <c r="I11" s="244" t="s">
        <v>125</v>
      </c>
      <c r="J11" s="244" t="s">
        <v>126</v>
      </c>
      <c r="K11" s="244" t="s">
        <v>127</v>
      </c>
      <c r="L11" s="683"/>
      <c r="M11" s="244" t="s">
        <v>128</v>
      </c>
      <c r="N11" s="244"/>
      <c r="O11" s="244" t="s">
        <v>129</v>
      </c>
      <c r="P11" s="244"/>
      <c r="Q11" s="33">
        <f t="shared" ref="Q11:Q31" si="1">Q10+1</f>
        <v>2</v>
      </c>
    </row>
    <row r="12" spans="1:17" x14ac:dyDescent="0.35">
      <c r="A12" s="33">
        <f t="shared" si="0"/>
        <v>3</v>
      </c>
      <c r="B12" s="40" t="s">
        <v>130</v>
      </c>
      <c r="C12" s="33"/>
      <c r="D12" s="33"/>
      <c r="E12" s="33"/>
      <c r="F12" s="33" t="str">
        <f>"= "&amp;F11&amp;"; Line "&amp;A31&amp;" / 12"</f>
        <v>= Col. 4; Line 22 / 12</v>
      </c>
      <c r="G12" s="33"/>
      <c r="H12" s="65" t="str">
        <f>"= Sum "&amp;E11&amp;" thru "&amp;G11</f>
        <v>= Sum Col. 3 thru Col. 5</v>
      </c>
      <c r="I12" s="65" t="str">
        <f>"= "&amp;D11&amp;" - "&amp;H11</f>
        <v>= Col. 2 - Col. 6</v>
      </c>
      <c r="J12" s="33"/>
      <c r="K12" s="33" t="str">
        <f>"See Footnote "&amp;A41</f>
        <v>See Footnote 6</v>
      </c>
      <c r="M12" s="33" t="str">
        <f>"See Footnote "&amp;A42</f>
        <v>See Footnote 7</v>
      </c>
      <c r="N12" s="33"/>
      <c r="O12" s="65" t="str">
        <f>"= "&amp;K11&amp;" + "&amp;M11</f>
        <v>= Col. 9 + Col. 10</v>
      </c>
      <c r="P12" s="65"/>
      <c r="Q12" s="33">
        <f t="shared" si="1"/>
        <v>3</v>
      </c>
    </row>
    <row r="13" spans="1:17" x14ac:dyDescent="0.35">
      <c r="A13" s="33">
        <f t="shared" si="0"/>
        <v>4</v>
      </c>
      <c r="B13" s="40"/>
      <c r="C13" s="33"/>
      <c r="D13" s="33"/>
      <c r="E13" s="33"/>
      <c r="F13" s="33"/>
      <c r="G13" s="33"/>
      <c r="H13" s="65"/>
      <c r="I13" s="65"/>
      <c r="J13" s="33"/>
      <c r="K13" s="33"/>
      <c r="M13" s="33"/>
      <c r="N13" s="33"/>
      <c r="O13" s="65"/>
      <c r="P13" s="65"/>
      <c r="Q13" s="33">
        <f t="shared" si="1"/>
        <v>4</v>
      </c>
    </row>
    <row r="14" spans="1:17" x14ac:dyDescent="0.35">
      <c r="A14" s="33">
        <f t="shared" si="0"/>
        <v>5</v>
      </c>
      <c r="C14" s="244"/>
      <c r="H14" s="291"/>
      <c r="K14" s="291" t="s">
        <v>131</v>
      </c>
      <c r="L14" s="470"/>
      <c r="O14" s="291" t="s">
        <v>131</v>
      </c>
      <c r="P14" s="291"/>
      <c r="Q14" s="33">
        <f t="shared" si="1"/>
        <v>5</v>
      </c>
    </row>
    <row r="15" spans="1:17" x14ac:dyDescent="0.35">
      <c r="A15" s="33">
        <f t="shared" si="0"/>
        <v>6</v>
      </c>
      <c r="C15" s="244"/>
      <c r="F15" s="291"/>
      <c r="G15" s="291"/>
      <c r="H15" s="291"/>
      <c r="I15" s="291" t="s">
        <v>132</v>
      </c>
      <c r="J15" s="291"/>
      <c r="K15" s="291" t="s">
        <v>133</v>
      </c>
      <c r="L15" s="470"/>
      <c r="O15" s="291" t="s">
        <v>133</v>
      </c>
      <c r="P15" s="291"/>
      <c r="Q15" s="33">
        <f t="shared" si="1"/>
        <v>6</v>
      </c>
    </row>
    <row r="16" spans="1:17" x14ac:dyDescent="0.35">
      <c r="A16" s="33">
        <f t="shared" si="0"/>
        <v>7</v>
      </c>
      <c r="C16" s="291"/>
      <c r="D16" s="291" t="s">
        <v>132</v>
      </c>
      <c r="E16" s="291" t="s">
        <v>132</v>
      </c>
      <c r="F16" s="291" t="s">
        <v>134</v>
      </c>
      <c r="G16" s="291"/>
      <c r="H16" s="291" t="s">
        <v>135</v>
      </c>
      <c r="I16" s="291" t="s">
        <v>133</v>
      </c>
      <c r="J16" s="291" t="s">
        <v>132</v>
      </c>
      <c r="K16" s="291" t="s">
        <v>136</v>
      </c>
      <c r="L16" s="470"/>
      <c r="O16" s="291" t="s">
        <v>136</v>
      </c>
      <c r="P16" s="291"/>
      <c r="Q16" s="33">
        <f t="shared" si="1"/>
        <v>7</v>
      </c>
    </row>
    <row r="17" spans="1:20" x14ac:dyDescent="0.35">
      <c r="A17" s="33">
        <f t="shared" si="0"/>
        <v>8</v>
      </c>
      <c r="C17" s="291"/>
      <c r="D17" s="291" t="s">
        <v>137</v>
      </c>
      <c r="E17" s="291" t="s">
        <v>137</v>
      </c>
      <c r="F17" s="291" t="s">
        <v>137</v>
      </c>
      <c r="G17" s="291" t="s">
        <v>138</v>
      </c>
      <c r="H17" s="291" t="s">
        <v>137</v>
      </c>
      <c r="I17" s="291" t="s">
        <v>136</v>
      </c>
      <c r="J17" s="291" t="s">
        <v>139</v>
      </c>
      <c r="K17" s="291" t="s">
        <v>140</v>
      </c>
      <c r="L17" s="470"/>
      <c r="M17" s="291"/>
      <c r="N17" s="291"/>
      <c r="O17" s="291" t="s">
        <v>140</v>
      </c>
      <c r="P17" s="291"/>
      <c r="Q17" s="33">
        <f t="shared" si="1"/>
        <v>8</v>
      </c>
    </row>
    <row r="18" spans="1:20" ht="18" x14ac:dyDescent="0.35">
      <c r="A18" s="33">
        <f t="shared" si="0"/>
        <v>9</v>
      </c>
      <c r="B18" s="245" t="s">
        <v>141</v>
      </c>
      <c r="C18" s="245" t="s">
        <v>142</v>
      </c>
      <c r="D18" s="128" t="s">
        <v>143</v>
      </c>
      <c r="E18" s="128" t="s">
        <v>144</v>
      </c>
      <c r="F18" s="128" t="s">
        <v>145</v>
      </c>
      <c r="G18" s="128" t="s">
        <v>146</v>
      </c>
      <c r="H18" s="128" t="s">
        <v>147</v>
      </c>
      <c r="I18" s="128" t="s">
        <v>140</v>
      </c>
      <c r="J18" s="128" t="s">
        <v>148</v>
      </c>
      <c r="K18" s="128" t="s">
        <v>149</v>
      </c>
      <c r="L18" s="120"/>
      <c r="M18" s="128" t="s">
        <v>139</v>
      </c>
      <c r="N18" s="128"/>
      <c r="O18" s="128" t="s">
        <v>150</v>
      </c>
      <c r="P18" s="128"/>
      <c r="Q18" s="33">
        <f t="shared" si="1"/>
        <v>9</v>
      </c>
    </row>
    <row r="19" spans="1:20" x14ac:dyDescent="0.35">
      <c r="A19" s="33">
        <f t="shared" si="0"/>
        <v>10</v>
      </c>
      <c r="B19" s="91" t="s">
        <v>151</v>
      </c>
      <c r="C19" s="246" t="str">
        <f>RIGHT(B5,4)</f>
        <v>2021</v>
      </c>
      <c r="D19" s="30">
        <f>'Pg3 Rev App XII C5'!C40</f>
        <v>73.465206061394085</v>
      </c>
      <c r="E19" s="30">
        <v>67.537999393376069</v>
      </c>
      <c r="F19" s="30">
        <v>3.0828589590791466</v>
      </c>
      <c r="G19" s="30">
        <v>0</v>
      </c>
      <c r="H19" s="212">
        <f>SUM(E19:G19)</f>
        <v>70.620858352455215</v>
      </c>
      <c r="I19" s="57">
        <f>D19-H19</f>
        <v>2.8443477089388693</v>
      </c>
      <c r="J19" s="247">
        <v>2.8E-3</v>
      </c>
      <c r="K19" s="492">
        <f>I19</f>
        <v>2.8443477089388693</v>
      </c>
      <c r="L19" s="684"/>
      <c r="M19" s="653">
        <f>(I19/2)*J19</f>
        <v>3.9820867925144171E-3</v>
      </c>
      <c r="N19" s="653"/>
      <c r="O19" s="248">
        <f t="shared" ref="O19:O30" si="2">K19+M19</f>
        <v>2.8483297957313836</v>
      </c>
      <c r="P19" s="248"/>
      <c r="Q19" s="33">
        <f t="shared" si="1"/>
        <v>10</v>
      </c>
      <c r="R19" s="32"/>
    </row>
    <row r="20" spans="1:20" x14ac:dyDescent="0.35">
      <c r="A20" s="33">
        <f t="shared" si="0"/>
        <v>11</v>
      </c>
      <c r="B20" s="91" t="s">
        <v>152</v>
      </c>
      <c r="C20" s="246" t="str">
        <f>C19</f>
        <v>2021</v>
      </c>
      <c r="D20" s="481">
        <f>$D$19</f>
        <v>73.465206061394085</v>
      </c>
      <c r="E20" s="111">
        <f>$E$19</f>
        <v>67.537999393376069</v>
      </c>
      <c r="F20" s="111">
        <f>$F$19</f>
        <v>3.0828589590791466</v>
      </c>
      <c r="G20" s="111">
        <f>$G$19</f>
        <v>0</v>
      </c>
      <c r="H20" s="174">
        <f>SUM(E20:G20)</f>
        <v>70.620858352455215</v>
      </c>
      <c r="I20" s="111">
        <f t="shared" ref="I20:I30" si="3">D20-H20</f>
        <v>2.8443477089388693</v>
      </c>
      <c r="J20" s="247">
        <v>2.5000000000000001E-3</v>
      </c>
      <c r="K20" s="251">
        <f t="shared" ref="K20:K30" si="4">O19+I20</f>
        <v>5.6926775046702529</v>
      </c>
      <c r="L20" s="685" t="s">
        <v>24</v>
      </c>
      <c r="M20" s="654">
        <f t="shared" ref="M20:M30" si="5">(O19+K20)/2*J20</f>
        <v>1.0676259125502045E-2</v>
      </c>
      <c r="N20" s="654"/>
      <c r="O20" s="252">
        <f t="shared" si="2"/>
        <v>5.7033537637957545</v>
      </c>
      <c r="P20" s="685" t="s">
        <v>24</v>
      </c>
      <c r="Q20" s="33">
        <f t="shared" si="1"/>
        <v>11</v>
      </c>
      <c r="R20" s="127"/>
    </row>
    <row r="21" spans="1:20" x14ac:dyDescent="0.35">
      <c r="A21" s="33">
        <f t="shared" si="0"/>
        <v>12</v>
      </c>
      <c r="B21" s="91" t="s">
        <v>153</v>
      </c>
      <c r="C21" s="246" t="str">
        <f>C19</f>
        <v>2021</v>
      </c>
      <c r="D21" s="481">
        <f t="shared" ref="D21:D30" si="6">$D$19</f>
        <v>73.465206061394085</v>
      </c>
      <c r="E21" s="111">
        <f t="shared" ref="E21:E30" si="7">$E$19</f>
        <v>67.537999393376069</v>
      </c>
      <c r="F21" s="111">
        <f t="shared" ref="F21:F30" si="8">$F$19</f>
        <v>3.0828589590791466</v>
      </c>
      <c r="G21" s="111">
        <f t="shared" ref="G21:G30" si="9">$G$19</f>
        <v>0</v>
      </c>
      <c r="H21" s="174">
        <f t="shared" ref="H21:H29" si="10">SUM(E21:G21)</f>
        <v>70.620858352455215</v>
      </c>
      <c r="I21" s="111">
        <f t="shared" si="3"/>
        <v>2.8443477089388693</v>
      </c>
      <c r="J21" s="247">
        <v>2.8E-3</v>
      </c>
      <c r="K21" s="251">
        <f t="shared" si="4"/>
        <v>8.547701472734623</v>
      </c>
      <c r="L21" s="685" t="s">
        <v>24</v>
      </c>
      <c r="M21" s="654">
        <f t="shared" si="5"/>
        <v>1.9951477331142529E-2</v>
      </c>
      <c r="N21" s="654"/>
      <c r="O21" s="252">
        <f t="shared" si="2"/>
        <v>8.5676529500657654</v>
      </c>
      <c r="P21" s="685" t="s">
        <v>24</v>
      </c>
      <c r="Q21" s="33">
        <f t="shared" si="1"/>
        <v>12</v>
      </c>
      <c r="R21" s="127"/>
    </row>
    <row r="22" spans="1:20" x14ac:dyDescent="0.35">
      <c r="A22" s="33">
        <f t="shared" si="0"/>
        <v>13</v>
      </c>
      <c r="B22" s="91" t="s">
        <v>154</v>
      </c>
      <c r="C22" s="246" t="str">
        <f>C19</f>
        <v>2021</v>
      </c>
      <c r="D22" s="481">
        <f t="shared" si="6"/>
        <v>73.465206061394085</v>
      </c>
      <c r="E22" s="111">
        <f t="shared" si="7"/>
        <v>67.537999393376069</v>
      </c>
      <c r="F22" s="111">
        <f t="shared" si="8"/>
        <v>3.0828589590791466</v>
      </c>
      <c r="G22" s="111">
        <f t="shared" si="9"/>
        <v>0</v>
      </c>
      <c r="H22" s="174">
        <f t="shared" si="10"/>
        <v>70.620858352455215</v>
      </c>
      <c r="I22" s="111">
        <f>D22-H22</f>
        <v>2.8443477089388693</v>
      </c>
      <c r="J22" s="247">
        <v>2.7000000000000001E-3</v>
      </c>
      <c r="K22" s="493">
        <f t="shared" si="4"/>
        <v>11.412000659004635</v>
      </c>
      <c r="L22" s="32"/>
      <c r="M22" s="654">
        <f t="shared" si="5"/>
        <v>2.6972532372245041E-2</v>
      </c>
      <c r="N22" s="654"/>
      <c r="O22" s="249">
        <f t="shared" si="2"/>
        <v>11.43897319137688</v>
      </c>
      <c r="P22" s="249"/>
      <c r="Q22" s="33">
        <f t="shared" si="1"/>
        <v>13</v>
      </c>
      <c r="R22" s="127"/>
      <c r="T22" s="250"/>
    </row>
    <row r="23" spans="1:20" x14ac:dyDescent="0.35">
      <c r="A23" s="33">
        <f t="shared" si="0"/>
        <v>14</v>
      </c>
      <c r="B23" s="91" t="s">
        <v>155</v>
      </c>
      <c r="C23" s="246" t="str">
        <f>C19</f>
        <v>2021</v>
      </c>
      <c r="D23" s="481">
        <f t="shared" si="6"/>
        <v>73.465206061394085</v>
      </c>
      <c r="E23" s="111">
        <f t="shared" si="7"/>
        <v>67.537999393376069</v>
      </c>
      <c r="F23" s="111">
        <f t="shared" si="8"/>
        <v>3.0828589590791466</v>
      </c>
      <c r="G23" s="111">
        <f t="shared" si="9"/>
        <v>0</v>
      </c>
      <c r="H23" s="174">
        <f t="shared" si="10"/>
        <v>70.620858352455215</v>
      </c>
      <c r="I23" s="111">
        <f t="shared" si="3"/>
        <v>2.8443477089388693</v>
      </c>
      <c r="J23" s="247">
        <v>2.8E-3</v>
      </c>
      <c r="K23" s="493">
        <f t="shared" si="4"/>
        <v>14.283320900315749</v>
      </c>
      <c r="M23" s="654">
        <f t="shared" si="5"/>
        <v>3.6011211728369678E-2</v>
      </c>
      <c r="N23" s="654"/>
      <c r="O23" s="249">
        <f t="shared" si="2"/>
        <v>14.319332112044119</v>
      </c>
      <c r="Q23" s="33">
        <f t="shared" si="1"/>
        <v>14</v>
      </c>
      <c r="R23" s="127"/>
    </row>
    <row r="24" spans="1:20" x14ac:dyDescent="0.35">
      <c r="A24" s="33">
        <f t="shared" si="0"/>
        <v>15</v>
      </c>
      <c r="B24" s="91" t="s">
        <v>156</v>
      </c>
      <c r="C24" s="246" t="str">
        <f>C19</f>
        <v>2021</v>
      </c>
      <c r="D24" s="481">
        <f t="shared" si="6"/>
        <v>73.465206061394085</v>
      </c>
      <c r="E24" s="111">
        <f t="shared" si="7"/>
        <v>67.537999393376069</v>
      </c>
      <c r="F24" s="111">
        <f t="shared" si="8"/>
        <v>3.0828589590791466</v>
      </c>
      <c r="G24" s="111">
        <f t="shared" si="9"/>
        <v>0</v>
      </c>
      <c r="H24" s="174">
        <f t="shared" si="10"/>
        <v>70.620858352455215</v>
      </c>
      <c r="I24" s="111">
        <f t="shared" si="3"/>
        <v>2.8443477089388693</v>
      </c>
      <c r="J24" s="247">
        <v>2.7000000000000001E-3</v>
      </c>
      <c r="K24" s="251">
        <f t="shared" si="4"/>
        <v>17.163679820982988</v>
      </c>
      <c r="L24" s="685" t="s">
        <v>24</v>
      </c>
      <c r="M24" s="654">
        <f t="shared" si="5"/>
        <v>4.2502066109586595E-2</v>
      </c>
      <c r="N24" s="654"/>
      <c r="O24" s="252">
        <f t="shared" si="2"/>
        <v>17.206181887092576</v>
      </c>
      <c r="P24" s="685" t="s">
        <v>24</v>
      </c>
      <c r="Q24" s="33">
        <f t="shared" si="1"/>
        <v>15</v>
      </c>
      <c r="R24" s="127"/>
    </row>
    <row r="25" spans="1:20" x14ac:dyDescent="0.35">
      <c r="A25" s="33">
        <f t="shared" si="0"/>
        <v>16</v>
      </c>
      <c r="B25" s="91" t="s">
        <v>157</v>
      </c>
      <c r="C25" s="246" t="str">
        <f>C19</f>
        <v>2021</v>
      </c>
      <c r="D25" s="481">
        <f t="shared" si="6"/>
        <v>73.465206061394085</v>
      </c>
      <c r="E25" s="111">
        <f t="shared" si="7"/>
        <v>67.537999393376069</v>
      </c>
      <c r="F25" s="111">
        <f t="shared" si="8"/>
        <v>3.0828589590791466</v>
      </c>
      <c r="G25" s="111">
        <f t="shared" si="9"/>
        <v>0</v>
      </c>
      <c r="H25" s="174">
        <f t="shared" si="10"/>
        <v>70.620858352455215</v>
      </c>
      <c r="I25" s="111">
        <f t="shared" si="3"/>
        <v>2.8443477089388693</v>
      </c>
      <c r="J25" s="247">
        <v>2.8E-3</v>
      </c>
      <c r="K25" s="251">
        <f t="shared" si="4"/>
        <v>20.050529596031446</v>
      </c>
      <c r="L25" s="685" t="s">
        <v>24</v>
      </c>
      <c r="M25" s="665">
        <f t="shared" si="5"/>
        <v>5.2159396076373633E-2</v>
      </c>
      <c r="N25" s="685" t="s">
        <v>24</v>
      </c>
      <c r="O25" s="252">
        <f t="shared" si="2"/>
        <v>20.102688992107819</v>
      </c>
      <c r="P25" s="685" t="s">
        <v>24</v>
      </c>
      <c r="Q25" s="33">
        <f t="shared" si="1"/>
        <v>16</v>
      </c>
      <c r="R25" s="127"/>
    </row>
    <row r="26" spans="1:20" x14ac:dyDescent="0.35">
      <c r="A26" s="33">
        <f t="shared" si="0"/>
        <v>17</v>
      </c>
      <c r="B26" s="91" t="s">
        <v>158</v>
      </c>
      <c r="C26" s="246" t="str">
        <f>C19</f>
        <v>2021</v>
      </c>
      <c r="D26" s="481">
        <f t="shared" si="6"/>
        <v>73.465206061394085</v>
      </c>
      <c r="E26" s="111">
        <f t="shared" si="7"/>
        <v>67.537999393376069</v>
      </c>
      <c r="F26" s="111">
        <f t="shared" si="8"/>
        <v>3.0828589590791466</v>
      </c>
      <c r="G26" s="111">
        <f t="shared" si="9"/>
        <v>0</v>
      </c>
      <c r="H26" s="174">
        <f t="shared" si="10"/>
        <v>70.620858352455215</v>
      </c>
      <c r="I26" s="111">
        <f t="shared" si="3"/>
        <v>2.8443477089388693</v>
      </c>
      <c r="J26" s="247">
        <v>2.8E-3</v>
      </c>
      <c r="K26" s="251">
        <f t="shared" si="4"/>
        <v>22.947036701046688</v>
      </c>
      <c r="L26" s="685" t="s">
        <v>24</v>
      </c>
      <c r="M26" s="654">
        <f t="shared" si="5"/>
        <v>6.0269615970416308E-2</v>
      </c>
      <c r="O26" s="252">
        <f t="shared" si="2"/>
        <v>23.007306317017104</v>
      </c>
      <c r="P26" s="685" t="s">
        <v>24</v>
      </c>
      <c r="Q26" s="33">
        <f t="shared" si="1"/>
        <v>17</v>
      </c>
      <c r="R26" s="127"/>
    </row>
    <row r="27" spans="1:20" x14ac:dyDescent="0.35">
      <c r="A27" s="33">
        <f t="shared" si="0"/>
        <v>18</v>
      </c>
      <c r="B27" s="91" t="s">
        <v>159</v>
      </c>
      <c r="C27" s="246" t="str">
        <f>C19</f>
        <v>2021</v>
      </c>
      <c r="D27" s="481">
        <f t="shared" si="6"/>
        <v>73.465206061394085</v>
      </c>
      <c r="E27" s="111">
        <f t="shared" si="7"/>
        <v>67.537999393376069</v>
      </c>
      <c r="F27" s="111">
        <f t="shared" si="8"/>
        <v>3.0828589590791466</v>
      </c>
      <c r="G27" s="111">
        <f t="shared" si="9"/>
        <v>0</v>
      </c>
      <c r="H27" s="174">
        <f t="shared" si="10"/>
        <v>70.620858352455215</v>
      </c>
      <c r="I27" s="111">
        <f t="shared" si="3"/>
        <v>2.8443477089388693</v>
      </c>
      <c r="J27" s="247">
        <v>2.7000000000000001E-3</v>
      </c>
      <c r="K27" s="251">
        <f t="shared" si="4"/>
        <v>25.851654025955973</v>
      </c>
      <c r="L27" s="685" t="s">
        <v>24</v>
      </c>
      <c r="M27" s="654">
        <f t="shared" si="5"/>
        <v>6.5959596463013664E-2</v>
      </c>
      <c r="N27" s="638"/>
      <c r="O27" s="252">
        <f t="shared" si="2"/>
        <v>25.917613622418987</v>
      </c>
      <c r="P27" s="685" t="s">
        <v>24</v>
      </c>
      <c r="Q27" s="33">
        <f t="shared" si="1"/>
        <v>18</v>
      </c>
      <c r="R27" s="127"/>
    </row>
    <row r="28" spans="1:20" x14ac:dyDescent="0.35">
      <c r="A28" s="33">
        <f t="shared" si="0"/>
        <v>19</v>
      </c>
      <c r="B28" s="91" t="s">
        <v>160</v>
      </c>
      <c r="C28" s="246" t="str">
        <f>C19</f>
        <v>2021</v>
      </c>
      <c r="D28" s="481">
        <f t="shared" si="6"/>
        <v>73.465206061394085</v>
      </c>
      <c r="E28" s="111">
        <f t="shared" si="7"/>
        <v>67.537999393376069</v>
      </c>
      <c r="F28" s="111">
        <f t="shared" si="8"/>
        <v>3.0828589590791466</v>
      </c>
      <c r="G28" s="111">
        <f t="shared" si="9"/>
        <v>0</v>
      </c>
      <c r="H28" s="174">
        <f t="shared" si="10"/>
        <v>70.620858352455215</v>
      </c>
      <c r="I28" s="111">
        <f t="shared" si="3"/>
        <v>2.8443477089388693</v>
      </c>
      <c r="J28" s="247">
        <v>2.8E-3</v>
      </c>
      <c r="K28" s="251">
        <f t="shared" si="4"/>
        <v>28.761961331357856</v>
      </c>
      <c r="L28" s="685" t="s">
        <v>24</v>
      </c>
      <c r="M28" s="654">
        <f t="shared" si="5"/>
        <v>7.6551404935287573E-2</v>
      </c>
      <c r="N28" s="654"/>
      <c r="O28" s="252">
        <f t="shared" si="2"/>
        <v>28.838512736293143</v>
      </c>
      <c r="P28" s="685" t="s">
        <v>24</v>
      </c>
      <c r="Q28" s="33">
        <f t="shared" si="1"/>
        <v>19</v>
      </c>
      <c r="R28" s="127"/>
    </row>
    <row r="29" spans="1:20" x14ac:dyDescent="0.35">
      <c r="A29" s="33">
        <f t="shared" si="0"/>
        <v>20</v>
      </c>
      <c r="B29" s="91" t="s">
        <v>161</v>
      </c>
      <c r="C29" s="246" t="str">
        <f>C19</f>
        <v>2021</v>
      </c>
      <c r="D29" s="481">
        <f t="shared" si="6"/>
        <v>73.465206061394085</v>
      </c>
      <c r="E29" s="111">
        <f t="shared" si="7"/>
        <v>67.537999393376069</v>
      </c>
      <c r="F29" s="111">
        <f t="shared" si="8"/>
        <v>3.0828589590791466</v>
      </c>
      <c r="G29" s="111">
        <f t="shared" si="9"/>
        <v>0</v>
      </c>
      <c r="H29" s="174">
        <f t="shared" si="10"/>
        <v>70.620858352455215</v>
      </c>
      <c r="I29" s="111">
        <f t="shared" si="3"/>
        <v>2.8443477089388693</v>
      </c>
      <c r="J29" s="247">
        <v>2.7000000000000001E-3</v>
      </c>
      <c r="K29" s="251">
        <f t="shared" si="4"/>
        <v>31.682860445232013</v>
      </c>
      <c r="L29" s="685" t="s">
        <v>24</v>
      </c>
      <c r="M29" s="654">
        <f t="shared" si="5"/>
        <v>8.170385379505897E-2</v>
      </c>
      <c r="N29" s="654"/>
      <c r="O29" s="252">
        <f t="shared" si="2"/>
        <v>31.764564299027072</v>
      </c>
      <c r="P29" s="685" t="s">
        <v>24</v>
      </c>
      <c r="Q29" s="33">
        <f t="shared" si="1"/>
        <v>20</v>
      </c>
      <c r="R29" s="127"/>
    </row>
    <row r="30" spans="1:20" x14ac:dyDescent="0.35">
      <c r="A30" s="33">
        <f t="shared" si="0"/>
        <v>21</v>
      </c>
      <c r="B30" s="528" t="s">
        <v>162</v>
      </c>
      <c r="C30" s="529" t="str">
        <f>C19</f>
        <v>2021</v>
      </c>
      <c r="D30" s="481">
        <f t="shared" si="6"/>
        <v>73.465206061394085</v>
      </c>
      <c r="E30" s="111">
        <f t="shared" si="7"/>
        <v>67.537999393376069</v>
      </c>
      <c r="F30" s="111">
        <f t="shared" si="8"/>
        <v>3.0828589590791466</v>
      </c>
      <c r="G30" s="111">
        <f t="shared" si="9"/>
        <v>0</v>
      </c>
      <c r="H30" s="527">
        <f>SUM(E30:G30)</f>
        <v>70.620858352455215</v>
      </c>
      <c r="I30" s="516">
        <f t="shared" si="3"/>
        <v>2.8443477089388693</v>
      </c>
      <c r="J30" s="530">
        <v>2.8E-3</v>
      </c>
      <c r="K30" s="531">
        <f t="shared" si="4"/>
        <v>34.608912007965941</v>
      </c>
      <c r="L30" s="685" t="s">
        <v>24</v>
      </c>
      <c r="M30" s="655">
        <f t="shared" si="5"/>
        <v>9.2922866829790216E-2</v>
      </c>
      <c r="N30" s="655"/>
      <c r="O30" s="532">
        <f t="shared" si="2"/>
        <v>34.701834874795729</v>
      </c>
      <c r="P30" s="685" t="s">
        <v>24</v>
      </c>
      <c r="Q30" s="33">
        <f t="shared" si="1"/>
        <v>21</v>
      </c>
      <c r="R30" s="127"/>
    </row>
    <row r="31" spans="1:20" ht="16" thickBot="1" x14ac:dyDescent="0.4">
      <c r="A31" s="33">
        <f t="shared" si="0"/>
        <v>22</v>
      </c>
      <c r="D31" s="254">
        <f t="shared" ref="D31:I31" si="11">SUM(D19:D30)</f>
        <v>881.58247273672885</v>
      </c>
      <c r="E31" s="255">
        <f t="shared" si="11"/>
        <v>810.45599272051265</v>
      </c>
      <c r="F31" s="255">
        <f t="shared" si="11"/>
        <v>36.99430750894976</v>
      </c>
      <c r="G31" s="255">
        <f t="shared" si="11"/>
        <v>0</v>
      </c>
      <c r="H31" s="255">
        <f t="shared" si="11"/>
        <v>847.45030022946264</v>
      </c>
      <c r="I31" s="254">
        <f t="shared" si="11"/>
        <v>34.132172507266432</v>
      </c>
      <c r="J31" s="569"/>
      <c r="K31" s="638"/>
      <c r="L31" s="685"/>
      <c r="M31" s="664">
        <f>SUM(M19:M30)</f>
        <v>0.56966236752930066</v>
      </c>
      <c r="N31" s="666"/>
      <c r="O31" s="638"/>
      <c r="P31" s="638"/>
      <c r="Q31" s="33">
        <f t="shared" si="1"/>
        <v>22</v>
      </c>
    </row>
    <row r="32" spans="1:20" ht="16" thickTop="1" x14ac:dyDescent="0.35">
      <c r="D32" s="638" t="s">
        <v>24</v>
      </c>
      <c r="E32" s="256"/>
      <c r="F32" s="256"/>
      <c r="G32" s="256"/>
      <c r="H32" s="256"/>
      <c r="I32" s="638" t="s">
        <v>24</v>
      </c>
      <c r="J32" s="256"/>
      <c r="K32" s="256"/>
      <c r="L32" s="256"/>
      <c r="M32" s="638" t="s">
        <v>24</v>
      </c>
      <c r="N32" s="256"/>
      <c r="O32" s="256"/>
      <c r="P32" s="256"/>
    </row>
    <row r="33" spans="1:16" x14ac:dyDescent="0.35">
      <c r="D33" s="638"/>
      <c r="E33" s="256"/>
      <c r="F33" s="256"/>
      <c r="G33" s="256"/>
      <c r="H33" s="256"/>
      <c r="I33" s="638"/>
      <c r="J33" s="256"/>
      <c r="K33" s="256"/>
      <c r="L33" s="256"/>
      <c r="M33" s="638"/>
      <c r="N33" s="256"/>
      <c r="O33" s="256"/>
      <c r="P33" s="256"/>
    </row>
    <row r="34" spans="1:16" x14ac:dyDescent="0.35">
      <c r="A34" s="23" t="s">
        <v>24</v>
      </c>
      <c r="B34" s="296" t="str">
        <f>'Pg3 Rev App XII C5'!B56</f>
        <v>Items in BOLD have changed to correct the over-allocation of "Duplicate Charges (Company Energy Use)" Credit in FERC Account no. 929.</v>
      </c>
      <c r="F34" s="257"/>
      <c r="G34" s="257"/>
    </row>
    <row r="35" spans="1:16" ht="18" x14ac:dyDescent="0.35">
      <c r="A35" s="258">
        <v>1</v>
      </c>
      <c r="B35" s="34" t="s">
        <v>163</v>
      </c>
      <c r="F35" s="257"/>
      <c r="G35" s="257"/>
    </row>
    <row r="36" spans="1:16" ht="18" x14ac:dyDescent="0.35">
      <c r="A36" s="258">
        <v>2</v>
      </c>
      <c r="B36" s="34" t="s">
        <v>164</v>
      </c>
    </row>
    <row r="37" spans="1:16" ht="18" x14ac:dyDescent="0.35">
      <c r="A37" s="258">
        <v>3</v>
      </c>
      <c r="B37" s="34" t="s">
        <v>165</v>
      </c>
    </row>
    <row r="38" spans="1:16" ht="18" x14ac:dyDescent="0.35">
      <c r="A38" s="258">
        <v>4</v>
      </c>
      <c r="B38" s="34" t="s">
        <v>166</v>
      </c>
    </row>
    <row r="39" spans="1:16" ht="18" x14ac:dyDescent="0.35">
      <c r="A39" s="258"/>
      <c r="B39" s="34" t="s">
        <v>167</v>
      </c>
    </row>
    <row r="40" spans="1:16" ht="18" x14ac:dyDescent="0.35">
      <c r="A40" s="258">
        <v>5</v>
      </c>
      <c r="B40" s="34" t="s">
        <v>168</v>
      </c>
      <c r="C40" s="470"/>
    </row>
    <row r="41" spans="1:16" ht="18" x14ac:dyDescent="0.35">
      <c r="A41" s="258">
        <v>6</v>
      </c>
      <c r="B41" s="34" t="s">
        <v>169</v>
      </c>
    </row>
    <row r="42" spans="1:16" ht="18" x14ac:dyDescent="0.35">
      <c r="A42" s="258">
        <v>7</v>
      </c>
      <c r="B42" s="34" t="s">
        <v>170</v>
      </c>
    </row>
  </sheetData>
  <mergeCells count="5">
    <mergeCell ref="B2:Q2"/>
    <mergeCell ref="B3:Q3"/>
    <mergeCell ref="B4:Q4"/>
    <mergeCell ref="B5:Q5"/>
    <mergeCell ref="B6:O6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Roman,Bold"&amp;6REVISED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S43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81640625" style="34" bestFit="1" customWidth="1"/>
    <col min="9" max="11" width="21.54296875" style="34" customWidth="1"/>
    <col min="12" max="12" width="2" style="34" bestFit="1" customWidth="1"/>
    <col min="13" max="14" width="21.54296875" style="34" customWidth="1"/>
    <col min="15" max="15" width="2" style="34" bestFit="1" customWidth="1"/>
    <col min="16" max="16" width="5.1796875" style="33" customWidth="1"/>
    <col min="17" max="17" width="13.54296875" style="34" customWidth="1"/>
    <col min="18" max="18" width="12.54296875" style="34" customWidth="1"/>
    <col min="19" max="16384" width="9.1796875" style="34"/>
  </cols>
  <sheetData>
    <row r="1" spans="1:16" x14ac:dyDescent="0.35">
      <c r="A1" s="519" t="s">
        <v>698</v>
      </c>
    </row>
    <row r="2" spans="1:16" x14ac:dyDescent="0.35">
      <c r="I2" s="470"/>
    </row>
    <row r="3" spans="1:16" x14ac:dyDescent="0.35">
      <c r="B3" s="812" t="s">
        <v>14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</row>
    <row r="4" spans="1:16" x14ac:dyDescent="0.3">
      <c r="B4" s="805" t="s">
        <v>581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</row>
    <row r="5" spans="1:16" x14ac:dyDescent="0.3">
      <c r="B5" s="805" t="s">
        <v>118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</row>
    <row r="6" spans="1:16" x14ac:dyDescent="0.3">
      <c r="B6" s="813" t="s">
        <v>471</v>
      </c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</row>
    <row r="7" spans="1:16" x14ac:dyDescent="0.35">
      <c r="B7" s="814" t="s">
        <v>1</v>
      </c>
      <c r="C7" s="814"/>
      <c r="D7" s="814"/>
      <c r="E7" s="814"/>
      <c r="F7" s="814"/>
      <c r="G7" s="814"/>
      <c r="H7" s="814"/>
      <c r="I7" s="814"/>
      <c r="J7" s="814"/>
      <c r="K7" s="814"/>
      <c r="L7" s="814"/>
      <c r="M7" s="814"/>
      <c r="N7" s="814"/>
      <c r="O7" s="670"/>
      <c r="P7" s="291"/>
    </row>
    <row r="8" spans="1:16" x14ac:dyDescent="0.35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</row>
    <row r="9" spans="1:16" x14ac:dyDescent="0.35">
      <c r="A9" s="33" t="s">
        <v>2</v>
      </c>
      <c r="B9" s="50"/>
      <c r="E9" s="40"/>
      <c r="F9" s="128"/>
      <c r="G9" s="128"/>
      <c r="P9" s="33" t="s">
        <v>2</v>
      </c>
    </row>
    <row r="10" spans="1:16" x14ac:dyDescent="0.35">
      <c r="A10" s="33" t="s">
        <v>3</v>
      </c>
      <c r="B10" s="50"/>
      <c r="E10" s="40"/>
      <c r="F10" s="128"/>
      <c r="G10" s="128"/>
      <c r="P10" s="33" t="s">
        <v>3</v>
      </c>
    </row>
    <row r="11" spans="1:16" x14ac:dyDescent="0.35">
      <c r="A11" s="33">
        <v>1</v>
      </c>
      <c r="E11" s="40"/>
      <c r="I11" s="243"/>
      <c r="J11" s="243"/>
      <c r="P11" s="33">
        <v>1</v>
      </c>
    </row>
    <row r="12" spans="1:16" x14ac:dyDescent="0.35">
      <c r="A12" s="33">
        <f t="shared" ref="A12:A32" si="0">A11+1</f>
        <v>2</v>
      </c>
      <c r="C12" s="244" t="s">
        <v>119</v>
      </c>
      <c r="D12" s="244" t="s">
        <v>120</v>
      </c>
      <c r="E12" s="244" t="s">
        <v>121</v>
      </c>
      <c r="F12" s="244" t="s">
        <v>122</v>
      </c>
      <c r="G12" s="244" t="s">
        <v>123</v>
      </c>
      <c r="H12" s="244" t="s">
        <v>124</v>
      </c>
      <c r="I12" s="244" t="s">
        <v>125</v>
      </c>
      <c r="J12" s="244" t="s">
        <v>126</v>
      </c>
      <c r="K12" s="244" t="s">
        <v>127</v>
      </c>
      <c r="L12" s="244"/>
      <c r="M12" s="244" t="s">
        <v>128</v>
      </c>
      <c r="N12" s="244" t="s">
        <v>129</v>
      </c>
      <c r="O12" s="244"/>
      <c r="P12" s="33">
        <f t="shared" ref="P12:P32" si="1">P11+1</f>
        <v>2</v>
      </c>
    </row>
    <row r="13" spans="1:16" x14ac:dyDescent="0.35">
      <c r="A13" s="33">
        <f t="shared" si="0"/>
        <v>3</v>
      </c>
      <c r="B13" s="40" t="s">
        <v>130</v>
      </c>
      <c r="C13" s="33"/>
      <c r="D13" s="33"/>
      <c r="E13" s="33"/>
      <c r="F13" s="33" t="str">
        <f>"= "&amp;F12&amp;"; Line "&amp;A32&amp;" / 12"</f>
        <v>= Col. 4; Line 22 / 12</v>
      </c>
      <c r="G13" s="33"/>
      <c r="H13" s="65" t="str">
        <f>"= Sum "&amp;E12&amp;" thru "&amp;G12</f>
        <v>= Sum Col. 3 thru Col. 5</v>
      </c>
      <c r="I13" s="65" t="str">
        <f>"= "&amp;D12&amp;" - "&amp;H12</f>
        <v>= Col. 2 - Col. 6</v>
      </c>
      <c r="J13" s="33"/>
      <c r="K13" s="33" t="str">
        <f>"See Footnote "&amp;A42</f>
        <v>See Footnote 6</v>
      </c>
      <c r="L13" s="33"/>
      <c r="M13" s="33" t="str">
        <f>"See Footnote "&amp;A43</f>
        <v>See Footnote 7</v>
      </c>
      <c r="N13" s="65" t="str">
        <f>"= "&amp;K12&amp;" + "&amp;M12</f>
        <v>= Col. 9 + Col. 10</v>
      </c>
      <c r="O13" s="65"/>
      <c r="P13" s="33">
        <f t="shared" si="1"/>
        <v>3</v>
      </c>
    </row>
    <row r="14" spans="1:16" x14ac:dyDescent="0.35">
      <c r="A14" s="33">
        <f t="shared" si="0"/>
        <v>4</v>
      </c>
      <c r="B14" s="40"/>
      <c r="C14" s="33"/>
      <c r="D14" s="33"/>
      <c r="E14" s="33"/>
      <c r="F14" s="33"/>
      <c r="G14" s="33"/>
      <c r="H14" s="65"/>
      <c r="I14" s="65"/>
      <c r="J14" s="33"/>
      <c r="K14" s="33"/>
      <c r="L14" s="33"/>
      <c r="M14" s="33"/>
      <c r="N14" s="65"/>
      <c r="O14" s="65"/>
      <c r="P14" s="33">
        <f t="shared" si="1"/>
        <v>4</v>
      </c>
    </row>
    <row r="15" spans="1:16" x14ac:dyDescent="0.35">
      <c r="A15" s="33">
        <f t="shared" si="0"/>
        <v>5</v>
      </c>
      <c r="C15" s="244"/>
      <c r="H15" s="291"/>
      <c r="K15" s="291" t="s">
        <v>131</v>
      </c>
      <c r="L15" s="291"/>
      <c r="N15" s="291" t="s">
        <v>131</v>
      </c>
      <c r="O15" s="291"/>
      <c r="P15" s="33">
        <f t="shared" si="1"/>
        <v>5</v>
      </c>
    </row>
    <row r="16" spans="1:16" x14ac:dyDescent="0.35">
      <c r="A16" s="33">
        <f t="shared" si="0"/>
        <v>6</v>
      </c>
      <c r="C16" s="244"/>
      <c r="F16" s="291"/>
      <c r="G16" s="291"/>
      <c r="H16" s="291"/>
      <c r="I16" s="291" t="s">
        <v>132</v>
      </c>
      <c r="J16" s="291"/>
      <c r="K16" s="291" t="s">
        <v>133</v>
      </c>
      <c r="L16" s="291"/>
      <c r="N16" s="291" t="s">
        <v>133</v>
      </c>
      <c r="O16" s="291"/>
      <c r="P16" s="33">
        <f t="shared" si="1"/>
        <v>6</v>
      </c>
    </row>
    <row r="17" spans="1:19" x14ac:dyDescent="0.35">
      <c r="A17" s="33">
        <f t="shared" si="0"/>
        <v>7</v>
      </c>
      <c r="C17" s="291"/>
      <c r="D17" s="291" t="s">
        <v>132</v>
      </c>
      <c r="E17" s="291" t="s">
        <v>132</v>
      </c>
      <c r="F17" s="291" t="s">
        <v>134</v>
      </c>
      <c r="G17" s="291"/>
      <c r="H17" s="291" t="s">
        <v>135</v>
      </c>
      <c r="I17" s="291" t="s">
        <v>133</v>
      </c>
      <c r="J17" s="291" t="s">
        <v>132</v>
      </c>
      <c r="K17" s="291" t="s">
        <v>136</v>
      </c>
      <c r="L17" s="291"/>
      <c r="N17" s="291" t="s">
        <v>136</v>
      </c>
      <c r="O17" s="291"/>
      <c r="P17" s="33">
        <f t="shared" si="1"/>
        <v>7</v>
      </c>
    </row>
    <row r="18" spans="1:19" x14ac:dyDescent="0.35">
      <c r="A18" s="33">
        <f t="shared" si="0"/>
        <v>8</v>
      </c>
      <c r="C18" s="291"/>
      <c r="D18" s="291" t="s">
        <v>137</v>
      </c>
      <c r="E18" s="291" t="s">
        <v>137</v>
      </c>
      <c r="F18" s="291" t="s">
        <v>137</v>
      </c>
      <c r="G18" s="291" t="s">
        <v>138</v>
      </c>
      <c r="H18" s="291" t="s">
        <v>137</v>
      </c>
      <c r="I18" s="291" t="s">
        <v>136</v>
      </c>
      <c r="J18" s="291" t="s">
        <v>139</v>
      </c>
      <c r="K18" s="291" t="s">
        <v>140</v>
      </c>
      <c r="L18" s="291"/>
      <c r="M18" s="291"/>
      <c r="N18" s="291" t="s">
        <v>140</v>
      </c>
      <c r="O18" s="291"/>
      <c r="P18" s="33">
        <f t="shared" si="1"/>
        <v>8</v>
      </c>
    </row>
    <row r="19" spans="1:19" ht="18" x14ac:dyDescent="0.35">
      <c r="A19" s="33">
        <f t="shared" si="0"/>
        <v>9</v>
      </c>
      <c r="B19" s="245" t="s">
        <v>141</v>
      </c>
      <c r="C19" s="245" t="s">
        <v>142</v>
      </c>
      <c r="D19" s="128" t="s">
        <v>143</v>
      </c>
      <c r="E19" s="128" t="s">
        <v>144</v>
      </c>
      <c r="F19" s="128" t="s">
        <v>145</v>
      </c>
      <c r="G19" s="128" t="s">
        <v>146</v>
      </c>
      <c r="H19" s="128" t="s">
        <v>147</v>
      </c>
      <c r="I19" s="128" t="s">
        <v>140</v>
      </c>
      <c r="J19" s="128" t="s">
        <v>148</v>
      </c>
      <c r="K19" s="128" t="s">
        <v>149</v>
      </c>
      <c r="L19" s="128"/>
      <c r="M19" s="128" t="s">
        <v>139</v>
      </c>
      <c r="N19" s="128" t="s">
        <v>150</v>
      </c>
      <c r="O19" s="128"/>
      <c r="P19" s="33">
        <f t="shared" si="1"/>
        <v>9</v>
      </c>
    </row>
    <row r="20" spans="1:19" x14ac:dyDescent="0.35">
      <c r="A20" s="33">
        <f t="shared" si="0"/>
        <v>10</v>
      </c>
      <c r="B20" s="91" t="s">
        <v>151</v>
      </c>
      <c r="C20" s="246" t="str">
        <f>RIGHT(B6,4)</f>
        <v>2021</v>
      </c>
      <c r="D20" s="30">
        <v>73.329317420013041</v>
      </c>
      <c r="E20" s="30">
        <v>67.537999393376069</v>
      </c>
      <c r="F20" s="30">
        <v>3.0828589590791466</v>
      </c>
      <c r="G20" s="30">
        <v>0</v>
      </c>
      <c r="H20" s="212">
        <f>SUM(E20:G20)</f>
        <v>70.620858352455215</v>
      </c>
      <c r="I20" s="57">
        <f>D20-H20</f>
        <v>2.7084590675578255</v>
      </c>
      <c r="J20" s="247">
        <v>2.8E-3</v>
      </c>
      <c r="K20" s="492">
        <f>I20</f>
        <v>2.7084590675578255</v>
      </c>
      <c r="L20" s="492"/>
      <c r="M20" s="653">
        <f>(I20/2)*J20</f>
        <v>3.7918426945809558E-3</v>
      </c>
      <c r="N20" s="248">
        <f t="shared" ref="N20:N31" si="2">K20+M20</f>
        <v>2.7122509102524064</v>
      </c>
      <c r="O20" s="294"/>
      <c r="P20" s="33">
        <f t="shared" si="1"/>
        <v>10</v>
      </c>
      <c r="Q20" s="32"/>
    </row>
    <row r="21" spans="1:19" x14ac:dyDescent="0.35">
      <c r="A21" s="33">
        <f t="shared" si="0"/>
        <v>11</v>
      </c>
      <c r="B21" s="91" t="s">
        <v>152</v>
      </c>
      <c r="C21" s="246" t="str">
        <f>C20</f>
        <v>2021</v>
      </c>
      <c r="D21" s="481">
        <f>$D$20</f>
        <v>73.329317420013041</v>
      </c>
      <c r="E21" s="111">
        <f>$E$20</f>
        <v>67.537999393376069</v>
      </c>
      <c r="F21" s="111">
        <f>$F$20</f>
        <v>3.0828589590791466</v>
      </c>
      <c r="G21" s="111">
        <f>$G$20</f>
        <v>0</v>
      </c>
      <c r="H21" s="174">
        <f>SUM(E21:G21)</f>
        <v>70.620858352455215</v>
      </c>
      <c r="I21" s="111">
        <f t="shared" ref="I21:I31" si="3">D21-H21</f>
        <v>2.7084590675578255</v>
      </c>
      <c r="J21" s="247">
        <v>2.5000000000000001E-3</v>
      </c>
      <c r="K21" s="493">
        <f t="shared" ref="K21:K31" si="4">N20+I21</f>
        <v>5.4207099778102315</v>
      </c>
      <c r="L21" s="493"/>
      <c r="M21" s="654">
        <f t="shared" ref="M21:M31" si="5">(N20+K21)/2*J21</f>
        <v>1.0166201110078297E-2</v>
      </c>
      <c r="N21" s="249">
        <f t="shared" si="2"/>
        <v>5.4308761789203102</v>
      </c>
      <c r="O21" s="252"/>
      <c r="P21" s="33">
        <f t="shared" si="1"/>
        <v>11</v>
      </c>
      <c r="Q21" s="127"/>
    </row>
    <row r="22" spans="1:19" x14ac:dyDescent="0.35">
      <c r="A22" s="33">
        <f t="shared" si="0"/>
        <v>12</v>
      </c>
      <c r="B22" s="91" t="s">
        <v>153</v>
      </c>
      <c r="C22" s="246" t="str">
        <f>C20</f>
        <v>2021</v>
      </c>
      <c r="D22" s="481">
        <f t="shared" ref="D22:D31" si="6">$D$20</f>
        <v>73.329317420013041</v>
      </c>
      <c r="E22" s="111">
        <f t="shared" ref="E22:E31" si="7">$E$20</f>
        <v>67.537999393376069</v>
      </c>
      <c r="F22" s="111">
        <f t="shared" ref="F22:F31" si="8">$F$20</f>
        <v>3.0828589590791466</v>
      </c>
      <c r="G22" s="111">
        <f t="shared" ref="G22:G31" si="9">$G$20</f>
        <v>0</v>
      </c>
      <c r="H22" s="174">
        <f t="shared" ref="H22:H30" si="10">SUM(E22:G22)</f>
        <v>70.620858352455215</v>
      </c>
      <c r="I22" s="111">
        <f t="shared" si="3"/>
        <v>2.7084590675578255</v>
      </c>
      <c r="J22" s="247">
        <v>2.8E-3</v>
      </c>
      <c r="K22" s="493">
        <f t="shared" si="4"/>
        <v>8.1393352464781366</v>
      </c>
      <c r="L22" s="493"/>
      <c r="M22" s="654">
        <f t="shared" si="5"/>
        <v>1.8998295995557826E-2</v>
      </c>
      <c r="N22" s="249">
        <f t="shared" si="2"/>
        <v>8.1583335424736951</v>
      </c>
      <c r="O22" s="252"/>
      <c r="P22" s="33">
        <f t="shared" si="1"/>
        <v>12</v>
      </c>
      <c r="Q22" s="127"/>
    </row>
    <row r="23" spans="1:19" x14ac:dyDescent="0.35">
      <c r="A23" s="33">
        <f t="shared" si="0"/>
        <v>13</v>
      </c>
      <c r="B23" s="91" t="s">
        <v>154</v>
      </c>
      <c r="C23" s="246" t="str">
        <f>C20</f>
        <v>2021</v>
      </c>
      <c r="D23" s="481">
        <f t="shared" si="6"/>
        <v>73.329317420013041</v>
      </c>
      <c r="E23" s="111">
        <f t="shared" si="7"/>
        <v>67.537999393376069</v>
      </c>
      <c r="F23" s="111">
        <f t="shared" si="8"/>
        <v>3.0828589590791466</v>
      </c>
      <c r="G23" s="111">
        <f t="shared" si="9"/>
        <v>0</v>
      </c>
      <c r="H23" s="174">
        <f t="shared" si="10"/>
        <v>70.620858352455215</v>
      </c>
      <c r="I23" s="111">
        <f>D23-H23</f>
        <v>2.7084590675578255</v>
      </c>
      <c r="J23" s="247">
        <v>2.7000000000000001E-3</v>
      </c>
      <c r="K23" s="493">
        <f t="shared" si="4"/>
        <v>10.866792610031521</v>
      </c>
      <c r="L23" s="493"/>
      <c r="M23" s="654">
        <f t="shared" si="5"/>
        <v>2.5683920305882044E-2</v>
      </c>
      <c r="N23" s="249">
        <f t="shared" si="2"/>
        <v>10.892476530337403</v>
      </c>
      <c r="O23" s="252"/>
      <c r="P23" s="33">
        <f t="shared" si="1"/>
        <v>13</v>
      </c>
      <c r="Q23" s="127"/>
      <c r="S23" s="250"/>
    </row>
    <row r="24" spans="1:19" x14ac:dyDescent="0.35">
      <c r="A24" s="33">
        <f t="shared" si="0"/>
        <v>14</v>
      </c>
      <c r="B24" s="91" t="s">
        <v>155</v>
      </c>
      <c r="C24" s="246" t="str">
        <f>C20</f>
        <v>2021</v>
      </c>
      <c r="D24" s="481">
        <f t="shared" si="6"/>
        <v>73.329317420013041</v>
      </c>
      <c r="E24" s="111">
        <f t="shared" si="7"/>
        <v>67.537999393376069</v>
      </c>
      <c r="F24" s="111">
        <f t="shared" si="8"/>
        <v>3.0828589590791466</v>
      </c>
      <c r="G24" s="111">
        <f t="shared" si="9"/>
        <v>0</v>
      </c>
      <c r="H24" s="174">
        <f t="shared" si="10"/>
        <v>70.620858352455215</v>
      </c>
      <c r="I24" s="111">
        <f t="shared" si="3"/>
        <v>2.7084590675578255</v>
      </c>
      <c r="J24" s="247">
        <v>2.8E-3</v>
      </c>
      <c r="K24" s="251">
        <f t="shared" si="4"/>
        <v>13.600935597895228</v>
      </c>
      <c r="L24" s="638" t="s">
        <v>24</v>
      </c>
      <c r="M24" s="654">
        <f t="shared" si="5"/>
        <v>3.4290776979525685E-2</v>
      </c>
      <c r="N24" s="252">
        <f t="shared" si="2"/>
        <v>13.635226374874755</v>
      </c>
      <c r="O24" s="638" t="s">
        <v>24</v>
      </c>
      <c r="P24" s="33">
        <f t="shared" si="1"/>
        <v>14</v>
      </c>
      <c r="Q24" s="127"/>
    </row>
    <row r="25" spans="1:19" x14ac:dyDescent="0.35">
      <c r="A25" s="33">
        <f t="shared" si="0"/>
        <v>15</v>
      </c>
      <c r="B25" s="91" t="s">
        <v>156</v>
      </c>
      <c r="C25" s="246" t="str">
        <f>C20</f>
        <v>2021</v>
      </c>
      <c r="D25" s="481">
        <f t="shared" si="6"/>
        <v>73.329317420013041</v>
      </c>
      <c r="E25" s="111">
        <f t="shared" si="7"/>
        <v>67.537999393376069</v>
      </c>
      <c r="F25" s="111">
        <f t="shared" si="8"/>
        <v>3.0828589590791466</v>
      </c>
      <c r="G25" s="111">
        <f t="shared" si="9"/>
        <v>0</v>
      </c>
      <c r="H25" s="174">
        <f t="shared" si="10"/>
        <v>70.620858352455215</v>
      </c>
      <c r="I25" s="111">
        <f t="shared" si="3"/>
        <v>2.7084590675578255</v>
      </c>
      <c r="J25" s="247">
        <v>2.7000000000000001E-3</v>
      </c>
      <c r="K25" s="493">
        <f t="shared" si="4"/>
        <v>16.34368544243258</v>
      </c>
      <c r="L25" s="251"/>
      <c r="M25" s="654">
        <f t="shared" si="5"/>
        <v>4.0471530953364906E-2</v>
      </c>
      <c r="N25" s="249">
        <f t="shared" si="2"/>
        <v>16.384156973385945</v>
      </c>
      <c r="O25" s="252"/>
      <c r="P25" s="33">
        <f t="shared" si="1"/>
        <v>15</v>
      </c>
      <c r="Q25" s="127"/>
    </row>
    <row r="26" spans="1:19" x14ac:dyDescent="0.35">
      <c r="A26" s="33">
        <f t="shared" si="0"/>
        <v>16</v>
      </c>
      <c r="B26" s="91" t="s">
        <v>157</v>
      </c>
      <c r="C26" s="246" t="str">
        <f>C20</f>
        <v>2021</v>
      </c>
      <c r="D26" s="481">
        <f t="shared" si="6"/>
        <v>73.329317420013041</v>
      </c>
      <c r="E26" s="111">
        <f t="shared" si="7"/>
        <v>67.537999393376069</v>
      </c>
      <c r="F26" s="111">
        <f t="shared" si="8"/>
        <v>3.0828589590791466</v>
      </c>
      <c r="G26" s="111">
        <f t="shared" si="9"/>
        <v>0</v>
      </c>
      <c r="H26" s="174">
        <f t="shared" si="10"/>
        <v>70.620858352455215</v>
      </c>
      <c r="I26" s="111">
        <f t="shared" si="3"/>
        <v>2.7084590675578255</v>
      </c>
      <c r="J26" s="247">
        <v>2.8E-3</v>
      </c>
      <c r="K26" s="493">
        <f t="shared" si="4"/>
        <v>19.092616040943771</v>
      </c>
      <c r="L26" s="251"/>
      <c r="M26" s="654">
        <f t="shared" si="5"/>
        <v>4.96674822200616E-2</v>
      </c>
      <c r="N26" s="249">
        <f t="shared" si="2"/>
        <v>19.142283523163833</v>
      </c>
      <c r="O26" s="252"/>
      <c r="P26" s="33">
        <f t="shared" si="1"/>
        <v>16</v>
      </c>
      <c r="Q26" s="127"/>
    </row>
    <row r="27" spans="1:19" x14ac:dyDescent="0.35">
      <c r="A27" s="33">
        <f t="shared" si="0"/>
        <v>17</v>
      </c>
      <c r="B27" s="91" t="s">
        <v>158</v>
      </c>
      <c r="C27" s="246" t="str">
        <f>C20</f>
        <v>2021</v>
      </c>
      <c r="D27" s="481">
        <f t="shared" si="6"/>
        <v>73.329317420013041</v>
      </c>
      <c r="E27" s="111">
        <f t="shared" si="7"/>
        <v>67.537999393376069</v>
      </c>
      <c r="F27" s="111">
        <f t="shared" si="8"/>
        <v>3.0828589590791466</v>
      </c>
      <c r="G27" s="111">
        <f t="shared" si="9"/>
        <v>0</v>
      </c>
      <c r="H27" s="174">
        <f t="shared" si="10"/>
        <v>70.620858352455215</v>
      </c>
      <c r="I27" s="111">
        <f t="shared" si="3"/>
        <v>2.7084590675578255</v>
      </c>
      <c r="J27" s="247">
        <v>2.8E-3</v>
      </c>
      <c r="K27" s="251">
        <f t="shared" si="4"/>
        <v>21.850742590721659</v>
      </c>
      <c r="L27" s="638" t="s">
        <v>24</v>
      </c>
      <c r="M27" s="654">
        <f t="shared" si="5"/>
        <v>5.7390236559439686E-2</v>
      </c>
      <c r="N27" s="252">
        <f t="shared" si="2"/>
        <v>21.908132827281097</v>
      </c>
      <c r="O27" s="638" t="s">
        <v>24</v>
      </c>
      <c r="P27" s="33">
        <f t="shared" si="1"/>
        <v>17</v>
      </c>
      <c r="Q27" s="127"/>
    </row>
    <row r="28" spans="1:19" x14ac:dyDescent="0.35">
      <c r="A28" s="33">
        <f t="shared" si="0"/>
        <v>18</v>
      </c>
      <c r="B28" s="91" t="s">
        <v>159</v>
      </c>
      <c r="C28" s="246" t="str">
        <f>C20</f>
        <v>2021</v>
      </c>
      <c r="D28" s="481">
        <f t="shared" si="6"/>
        <v>73.329317420013041</v>
      </c>
      <c r="E28" s="111">
        <f t="shared" si="7"/>
        <v>67.537999393376069</v>
      </c>
      <c r="F28" s="111">
        <f t="shared" si="8"/>
        <v>3.0828589590791466</v>
      </c>
      <c r="G28" s="111">
        <f t="shared" si="9"/>
        <v>0</v>
      </c>
      <c r="H28" s="174">
        <f t="shared" si="10"/>
        <v>70.620858352455215</v>
      </c>
      <c r="I28" s="111">
        <f t="shared" si="3"/>
        <v>2.7084590675578255</v>
      </c>
      <c r="J28" s="247">
        <v>2.7000000000000001E-3</v>
      </c>
      <c r="K28" s="251">
        <f t="shared" si="4"/>
        <v>24.616591894838923</v>
      </c>
      <c r="L28" s="638" t="s">
        <v>24</v>
      </c>
      <c r="M28" s="654">
        <f t="shared" si="5"/>
        <v>6.2808378374862028E-2</v>
      </c>
      <c r="N28" s="252">
        <f t="shared" si="2"/>
        <v>24.679400273213783</v>
      </c>
      <c r="O28" s="638" t="s">
        <v>24</v>
      </c>
      <c r="P28" s="33">
        <f t="shared" si="1"/>
        <v>18</v>
      </c>
      <c r="Q28" s="127"/>
    </row>
    <row r="29" spans="1:19" x14ac:dyDescent="0.35">
      <c r="A29" s="33">
        <f t="shared" si="0"/>
        <v>19</v>
      </c>
      <c r="B29" s="91" t="s">
        <v>160</v>
      </c>
      <c r="C29" s="246" t="str">
        <f>C20</f>
        <v>2021</v>
      </c>
      <c r="D29" s="481">
        <f t="shared" si="6"/>
        <v>73.329317420013041</v>
      </c>
      <c r="E29" s="111">
        <f t="shared" si="7"/>
        <v>67.537999393376069</v>
      </c>
      <c r="F29" s="111">
        <f t="shared" si="8"/>
        <v>3.0828589590791466</v>
      </c>
      <c r="G29" s="111">
        <f t="shared" si="9"/>
        <v>0</v>
      </c>
      <c r="H29" s="174">
        <f t="shared" si="10"/>
        <v>70.620858352455215</v>
      </c>
      <c r="I29" s="111">
        <f t="shared" si="3"/>
        <v>2.7084590675578255</v>
      </c>
      <c r="J29" s="247">
        <v>2.8E-3</v>
      </c>
      <c r="K29" s="493">
        <f t="shared" si="4"/>
        <v>27.387859340771609</v>
      </c>
      <c r="L29" s="251"/>
      <c r="M29" s="654">
        <f t="shared" si="5"/>
        <v>7.2894163459579553E-2</v>
      </c>
      <c r="N29" s="249">
        <f t="shared" si="2"/>
        <v>27.460753504231189</v>
      </c>
      <c r="O29" s="252"/>
      <c r="P29" s="33">
        <f t="shared" si="1"/>
        <v>19</v>
      </c>
      <c r="Q29" s="127"/>
    </row>
    <row r="30" spans="1:19" x14ac:dyDescent="0.35">
      <c r="A30" s="33">
        <f t="shared" si="0"/>
        <v>20</v>
      </c>
      <c r="B30" s="91" t="s">
        <v>161</v>
      </c>
      <c r="C30" s="246" t="str">
        <f>C20</f>
        <v>2021</v>
      </c>
      <c r="D30" s="481">
        <f t="shared" si="6"/>
        <v>73.329317420013041</v>
      </c>
      <c r="E30" s="111">
        <f t="shared" si="7"/>
        <v>67.537999393376069</v>
      </c>
      <c r="F30" s="111">
        <f t="shared" si="8"/>
        <v>3.0828589590791466</v>
      </c>
      <c r="G30" s="111">
        <f t="shared" si="9"/>
        <v>0</v>
      </c>
      <c r="H30" s="174">
        <f t="shared" si="10"/>
        <v>70.620858352455215</v>
      </c>
      <c r="I30" s="111">
        <f t="shared" si="3"/>
        <v>2.7084590675578255</v>
      </c>
      <c r="J30" s="247">
        <v>2.7000000000000001E-3</v>
      </c>
      <c r="K30" s="251">
        <f t="shared" si="4"/>
        <v>30.169212571789014</v>
      </c>
      <c r="L30" s="638" t="s">
        <v>24</v>
      </c>
      <c r="M30" s="654">
        <f t="shared" si="5"/>
        <v>7.7800454202627281E-2</v>
      </c>
      <c r="N30" s="249">
        <f t="shared" si="2"/>
        <v>30.247013025991642</v>
      </c>
      <c r="O30" s="252"/>
      <c r="P30" s="33">
        <f t="shared" si="1"/>
        <v>20</v>
      </c>
      <c r="Q30" s="127"/>
    </row>
    <row r="31" spans="1:19" x14ac:dyDescent="0.35">
      <c r="A31" s="33">
        <f t="shared" si="0"/>
        <v>21</v>
      </c>
      <c r="B31" s="528" t="s">
        <v>162</v>
      </c>
      <c r="C31" s="529" t="str">
        <f>C20</f>
        <v>2021</v>
      </c>
      <c r="D31" s="481">
        <f t="shared" si="6"/>
        <v>73.329317420013041</v>
      </c>
      <c r="E31" s="111">
        <f t="shared" si="7"/>
        <v>67.537999393376069</v>
      </c>
      <c r="F31" s="111">
        <f t="shared" si="8"/>
        <v>3.0828589590791466</v>
      </c>
      <c r="G31" s="111">
        <f t="shared" si="9"/>
        <v>0</v>
      </c>
      <c r="H31" s="527">
        <f>SUM(E31:G31)</f>
        <v>70.620858352455215</v>
      </c>
      <c r="I31" s="516">
        <f t="shared" si="3"/>
        <v>2.7084590675578255</v>
      </c>
      <c r="J31" s="770">
        <v>2.8E-3</v>
      </c>
      <c r="K31" s="531">
        <f t="shared" si="4"/>
        <v>32.955472093549467</v>
      </c>
      <c r="L31" s="768" t="s">
        <v>24</v>
      </c>
      <c r="M31" s="655">
        <f t="shared" si="5"/>
        <v>8.8483479167357548E-2</v>
      </c>
      <c r="N31" s="532">
        <f t="shared" si="2"/>
        <v>33.043955572716825</v>
      </c>
      <c r="O31" s="638" t="s">
        <v>24</v>
      </c>
      <c r="P31" s="33">
        <f t="shared" si="1"/>
        <v>21</v>
      </c>
      <c r="Q31" s="127"/>
    </row>
    <row r="32" spans="1:19" ht="16" thickBot="1" x14ac:dyDescent="0.4">
      <c r="A32" s="33">
        <f t="shared" si="0"/>
        <v>22</v>
      </c>
      <c r="D32" s="254">
        <f t="shared" ref="D32:I32" si="11">SUM(D20:D31)</f>
        <v>879.95180904015626</v>
      </c>
      <c r="E32" s="255">
        <f t="shared" si="11"/>
        <v>810.45599272051265</v>
      </c>
      <c r="F32" s="255">
        <f t="shared" si="11"/>
        <v>36.99430750894976</v>
      </c>
      <c r="G32" s="255">
        <f t="shared" si="11"/>
        <v>0</v>
      </c>
      <c r="H32" s="255">
        <f t="shared" si="11"/>
        <v>847.45030022946264</v>
      </c>
      <c r="I32" s="254">
        <f t="shared" si="11"/>
        <v>32.501508810693906</v>
      </c>
      <c r="J32" s="769"/>
      <c r="L32" s="638"/>
      <c r="M32" s="664">
        <f>SUM(M20:M31)</f>
        <v>0.54244676202291742</v>
      </c>
      <c r="O32" s="638"/>
      <c r="P32" s="33">
        <f t="shared" si="1"/>
        <v>22</v>
      </c>
    </row>
    <row r="33" spans="1:15" ht="16" thickTop="1" x14ac:dyDescent="0.35">
      <c r="D33" s="638" t="s">
        <v>24</v>
      </c>
      <c r="E33" s="256"/>
      <c r="F33" s="256"/>
      <c r="G33" s="256"/>
      <c r="H33" s="256"/>
      <c r="I33" s="638" t="s">
        <v>24</v>
      </c>
      <c r="J33" s="256"/>
      <c r="K33" s="256"/>
      <c r="L33" s="256"/>
      <c r="M33" s="638"/>
      <c r="N33" s="256"/>
      <c r="O33" s="256"/>
    </row>
    <row r="34" spans="1:15" x14ac:dyDescent="0.35">
      <c r="D34" s="638"/>
      <c r="E34" s="256"/>
      <c r="F34" s="256"/>
      <c r="G34" s="256"/>
      <c r="H34" s="256"/>
      <c r="I34" s="638"/>
      <c r="J34" s="256"/>
      <c r="K34" s="256"/>
      <c r="L34" s="256"/>
      <c r="M34" s="638"/>
      <c r="N34" s="256"/>
      <c r="O34" s="256"/>
    </row>
    <row r="35" spans="1:15" x14ac:dyDescent="0.35">
      <c r="A35" s="23" t="s">
        <v>24</v>
      </c>
      <c r="B35" s="21" t="s">
        <v>649</v>
      </c>
      <c r="F35" s="257"/>
      <c r="G35" s="257"/>
    </row>
    <row r="36" spans="1:15" ht="18" x14ac:dyDescent="0.35">
      <c r="A36" s="258">
        <v>1</v>
      </c>
      <c r="B36" s="34" t="s">
        <v>163</v>
      </c>
      <c r="F36" s="257"/>
      <c r="G36" s="257"/>
    </row>
    <row r="37" spans="1:15" ht="18" x14ac:dyDescent="0.35">
      <c r="A37" s="258">
        <v>2</v>
      </c>
      <c r="B37" s="34" t="s">
        <v>164</v>
      </c>
    </row>
    <row r="38" spans="1:15" ht="18" x14ac:dyDescent="0.35">
      <c r="A38" s="258">
        <v>3</v>
      </c>
      <c r="B38" s="34" t="s">
        <v>165</v>
      </c>
    </row>
    <row r="39" spans="1:15" ht="18" x14ac:dyDescent="0.35">
      <c r="A39" s="258">
        <v>4</v>
      </c>
      <c r="B39" s="34" t="s">
        <v>166</v>
      </c>
    </row>
    <row r="40" spans="1:15" ht="18" x14ac:dyDescent="0.35">
      <c r="A40" s="258"/>
      <c r="B40" s="34" t="s">
        <v>167</v>
      </c>
    </row>
    <row r="41" spans="1:15" ht="18" x14ac:dyDescent="0.35">
      <c r="A41" s="258">
        <v>5</v>
      </c>
      <c r="B41" s="34" t="s">
        <v>168</v>
      </c>
      <c r="C41" s="470"/>
    </row>
    <row r="42" spans="1:15" ht="18" x14ac:dyDescent="0.35">
      <c r="A42" s="258">
        <v>6</v>
      </c>
      <c r="B42" s="34" t="s">
        <v>169</v>
      </c>
    </row>
    <row r="43" spans="1:15" ht="18" x14ac:dyDescent="0.35">
      <c r="A43" s="258">
        <v>7</v>
      </c>
      <c r="B43" s="34" t="s">
        <v>170</v>
      </c>
    </row>
  </sheetData>
  <mergeCells count="5">
    <mergeCell ref="B7:N7"/>
    <mergeCell ref="B6:P6"/>
    <mergeCell ref="B3:P3"/>
    <mergeCell ref="B4:P4"/>
    <mergeCell ref="B5:P5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Roman,Bold"&amp;6AS FILED SEC. 4 TU WITH COST ADJ INCL. IN APPENDIX XII CYCLE 6 (ER24-175)</oddHeader>
    <oddFooter>&amp;L&amp;F&amp;CPage 7.1&amp;R&amp;A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0CA2-8056-49CF-912B-9A013B818B7E}">
  <sheetPr>
    <pageSetUpPr fitToPage="1"/>
  </sheetPr>
  <dimension ref="A1:J76"/>
  <sheetViews>
    <sheetView zoomScale="80" zoomScaleNormal="80" workbookViewId="0"/>
  </sheetViews>
  <sheetFormatPr defaultColWidth="8.81640625" defaultRowHeight="15.5" x14ac:dyDescent="0.35"/>
  <cols>
    <col min="1" max="1" width="5.1796875" style="33" bestFit="1" customWidth="1"/>
    <col min="2" max="2" width="80.54296875" style="34" customWidth="1"/>
    <col min="3" max="3" width="21.179687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47.54296875" style="34" customWidth="1"/>
    <col min="8" max="8" width="5.1796875" style="34" customWidth="1"/>
    <col min="9" max="9" width="8.81640625" style="34"/>
    <col min="10" max="10" width="20.453125" style="34" bestFit="1" customWidth="1"/>
    <col min="11" max="16384" width="8.81640625" style="34"/>
  </cols>
  <sheetData>
    <row r="1" spans="1:8" x14ac:dyDescent="0.35">
      <c r="G1" s="33"/>
      <c r="H1" s="33"/>
    </row>
    <row r="2" spans="1:8" x14ac:dyDescent="0.35">
      <c r="B2" s="812" t="s">
        <v>14</v>
      </c>
      <c r="C2" s="812"/>
      <c r="D2" s="812"/>
      <c r="E2" s="812"/>
      <c r="F2" s="812"/>
      <c r="G2" s="812"/>
      <c r="H2" s="33"/>
    </row>
    <row r="3" spans="1:8" x14ac:dyDescent="0.35">
      <c r="B3" s="812" t="s">
        <v>171</v>
      </c>
      <c r="C3" s="812"/>
      <c r="D3" s="812"/>
      <c r="E3" s="812"/>
      <c r="F3" s="812"/>
      <c r="G3" s="812"/>
      <c r="H3" s="33"/>
    </row>
    <row r="4" spans="1:8" x14ac:dyDescent="0.35">
      <c r="B4" s="812" t="s">
        <v>172</v>
      </c>
      <c r="C4" s="812"/>
      <c r="D4" s="812"/>
      <c r="E4" s="812"/>
      <c r="F4" s="812"/>
      <c r="G4" s="812"/>
      <c r="H4" s="33"/>
    </row>
    <row r="5" spans="1:8" x14ac:dyDescent="0.35">
      <c r="B5" s="815" t="s">
        <v>476</v>
      </c>
      <c r="C5" s="815"/>
      <c r="D5" s="815"/>
      <c r="E5" s="815"/>
      <c r="F5" s="815"/>
      <c r="G5" s="815"/>
      <c r="H5" s="33"/>
    </row>
    <row r="6" spans="1:8" x14ac:dyDescent="0.35">
      <c r="B6" s="814" t="s">
        <v>1</v>
      </c>
      <c r="C6" s="816"/>
      <c r="D6" s="816"/>
      <c r="E6" s="816"/>
      <c r="F6" s="816"/>
      <c r="G6" s="816"/>
      <c r="H6" s="33"/>
    </row>
    <row r="7" spans="1:8" x14ac:dyDescent="0.35">
      <c r="B7" s="33"/>
      <c r="C7" s="33"/>
      <c r="D7" s="33"/>
      <c r="E7" s="36"/>
      <c r="F7" s="36"/>
      <c r="G7" s="33"/>
      <c r="H7" s="33"/>
    </row>
    <row r="8" spans="1:8" x14ac:dyDescent="0.35">
      <c r="A8" s="33" t="s">
        <v>2</v>
      </c>
      <c r="B8" s="291"/>
      <c r="C8" s="33" t="s">
        <v>173</v>
      </c>
      <c r="D8" s="291"/>
      <c r="E8" s="37"/>
      <c r="F8" s="37"/>
      <c r="G8" s="33"/>
      <c r="H8" s="33" t="s">
        <v>2</v>
      </c>
    </row>
    <row r="9" spans="1:8" x14ac:dyDescent="0.35">
      <c r="A9" s="33" t="s">
        <v>3</v>
      </c>
      <c r="C9" s="520" t="s">
        <v>174</v>
      </c>
      <c r="D9" s="291"/>
      <c r="E9" s="521" t="s">
        <v>5</v>
      </c>
      <c r="F9" s="37"/>
      <c r="G9" s="520" t="s">
        <v>6</v>
      </c>
      <c r="H9" s="33" t="s">
        <v>3</v>
      </c>
    </row>
    <row r="10" spans="1:8" x14ac:dyDescent="0.35">
      <c r="C10" s="291"/>
      <c r="D10" s="291"/>
      <c r="E10" s="37"/>
      <c r="F10" s="37"/>
      <c r="G10" s="33"/>
      <c r="H10" s="33"/>
    </row>
    <row r="11" spans="1:8" x14ac:dyDescent="0.35">
      <c r="A11" s="33">
        <v>1</v>
      </c>
      <c r="B11" s="259" t="s">
        <v>175</v>
      </c>
      <c r="C11" s="291"/>
      <c r="D11" s="291"/>
      <c r="E11" s="37"/>
      <c r="F11" s="37"/>
      <c r="G11" s="33"/>
      <c r="H11" s="33">
        <f>A11</f>
        <v>1</v>
      </c>
    </row>
    <row r="12" spans="1:8" x14ac:dyDescent="0.35">
      <c r="A12" s="33">
        <f>+A11+1</f>
        <v>2</v>
      </c>
      <c r="B12" s="221" t="s">
        <v>176</v>
      </c>
      <c r="C12" s="291"/>
      <c r="D12" s="291"/>
      <c r="E12" s="39">
        <v>0</v>
      </c>
      <c r="F12" s="37"/>
      <c r="G12" s="33" t="s">
        <v>584</v>
      </c>
      <c r="H12" s="33">
        <f>H11+1</f>
        <v>2</v>
      </c>
    </row>
    <row r="13" spans="1:8" x14ac:dyDescent="0.35">
      <c r="A13" s="33">
        <f t="shared" ref="A13:A71" si="0">+A12+1</f>
        <v>3</v>
      </c>
      <c r="C13" s="291"/>
      <c r="D13" s="291"/>
      <c r="E13" s="37"/>
      <c r="F13" s="37"/>
      <c r="G13" s="33"/>
      <c r="H13" s="33">
        <f t="shared" ref="H13:H71" si="1">H12+1</f>
        <v>3</v>
      </c>
    </row>
    <row r="14" spans="1:8" x14ac:dyDescent="0.35">
      <c r="A14" s="33">
        <f t="shared" si="0"/>
        <v>4</v>
      </c>
      <c r="B14" s="259" t="s">
        <v>177</v>
      </c>
      <c r="G14" s="33"/>
      <c r="H14" s="33">
        <f t="shared" si="1"/>
        <v>4</v>
      </c>
    </row>
    <row r="15" spans="1:8" x14ac:dyDescent="0.35">
      <c r="A15" s="33">
        <f t="shared" si="0"/>
        <v>5</v>
      </c>
      <c r="B15" s="17" t="s">
        <v>178</v>
      </c>
      <c r="C15" s="33"/>
      <c r="E15" s="39">
        <v>109950.11891999999</v>
      </c>
      <c r="G15" s="33" t="s">
        <v>179</v>
      </c>
      <c r="H15" s="33">
        <f t="shared" si="1"/>
        <v>5</v>
      </c>
    </row>
    <row r="16" spans="1:8" x14ac:dyDescent="0.35">
      <c r="A16" s="33">
        <f t="shared" si="0"/>
        <v>6</v>
      </c>
      <c r="B16" s="22" t="s">
        <v>180</v>
      </c>
      <c r="E16" s="41"/>
      <c r="G16" s="33"/>
      <c r="H16" s="33">
        <f t="shared" si="1"/>
        <v>6</v>
      </c>
    </row>
    <row r="17" spans="1:10" x14ac:dyDescent="0.35">
      <c r="A17" s="33">
        <f t="shared" si="0"/>
        <v>7</v>
      </c>
      <c r="B17" s="17" t="s">
        <v>181</v>
      </c>
      <c r="C17" s="33"/>
      <c r="E17" s="42">
        <v>-3844.3684500000004</v>
      </c>
      <c r="G17" s="33" t="s">
        <v>567</v>
      </c>
      <c r="H17" s="33">
        <f t="shared" si="1"/>
        <v>7</v>
      </c>
    </row>
    <row r="18" spans="1:10" x14ac:dyDescent="0.35">
      <c r="A18" s="33">
        <f t="shared" si="0"/>
        <v>8</v>
      </c>
      <c r="B18" s="17" t="s">
        <v>183</v>
      </c>
      <c r="E18" s="42">
        <v>-1815.5599299999999</v>
      </c>
      <c r="G18" s="33" t="s">
        <v>568</v>
      </c>
      <c r="H18" s="33">
        <f t="shared" si="1"/>
        <v>8</v>
      </c>
    </row>
    <row r="19" spans="1:10" x14ac:dyDescent="0.35">
      <c r="A19" s="33">
        <f t="shared" si="0"/>
        <v>9</v>
      </c>
      <c r="B19" s="221" t="s">
        <v>185</v>
      </c>
      <c r="E19" s="42">
        <v>-8258.6720000000005</v>
      </c>
      <c r="G19" s="33" t="s">
        <v>182</v>
      </c>
      <c r="H19" s="33">
        <f t="shared" si="1"/>
        <v>9</v>
      </c>
    </row>
    <row r="20" spans="1:10" x14ac:dyDescent="0.35">
      <c r="A20" s="33">
        <f t="shared" si="0"/>
        <v>10</v>
      </c>
      <c r="B20" s="221" t="s">
        <v>582</v>
      </c>
      <c r="E20" s="42">
        <v>-10149.41</v>
      </c>
      <c r="G20" s="33" t="s">
        <v>184</v>
      </c>
      <c r="H20" s="33">
        <f t="shared" si="1"/>
        <v>10</v>
      </c>
    </row>
    <row r="21" spans="1:10" x14ac:dyDescent="0.35">
      <c r="A21" s="33">
        <f t="shared" si="0"/>
        <v>11</v>
      </c>
      <c r="B21" s="17" t="s">
        <v>187</v>
      </c>
      <c r="E21" s="42">
        <v>0</v>
      </c>
      <c r="G21" s="33" t="s">
        <v>186</v>
      </c>
      <c r="H21" s="33">
        <f t="shared" si="1"/>
        <v>11</v>
      </c>
    </row>
    <row r="22" spans="1:10" x14ac:dyDescent="0.35">
      <c r="A22" s="33">
        <f t="shared" si="0"/>
        <v>12</v>
      </c>
      <c r="B22" s="17" t="s">
        <v>188</v>
      </c>
      <c r="E22" s="42">
        <v>-3708.41851</v>
      </c>
      <c r="G22" s="33" t="s">
        <v>569</v>
      </c>
      <c r="H22" s="33">
        <f t="shared" si="1"/>
        <v>12</v>
      </c>
    </row>
    <row r="23" spans="1:10" x14ac:dyDescent="0.35">
      <c r="A23" s="33">
        <f t="shared" si="0"/>
        <v>13</v>
      </c>
      <c r="B23" s="221" t="s">
        <v>189</v>
      </c>
      <c r="E23" s="42">
        <v>-19573.862000000001</v>
      </c>
      <c r="G23" s="33" t="s">
        <v>570</v>
      </c>
      <c r="H23" s="33">
        <f t="shared" si="1"/>
        <v>13</v>
      </c>
    </row>
    <row r="24" spans="1:10" x14ac:dyDescent="0.35">
      <c r="A24" s="33">
        <f t="shared" si="0"/>
        <v>14</v>
      </c>
      <c r="B24" s="221" t="s">
        <v>190</v>
      </c>
      <c r="E24" s="42">
        <v>-24432.907999999999</v>
      </c>
      <c r="G24" s="33" t="s">
        <v>571</v>
      </c>
      <c r="H24" s="33">
        <f t="shared" si="1"/>
        <v>14</v>
      </c>
    </row>
    <row r="25" spans="1:10" x14ac:dyDescent="0.35">
      <c r="A25" s="33">
        <f t="shared" si="0"/>
        <v>15</v>
      </c>
      <c r="B25" s="221" t="s">
        <v>191</v>
      </c>
      <c r="E25" s="42">
        <v>-423.899</v>
      </c>
      <c r="G25" s="33" t="s">
        <v>585</v>
      </c>
      <c r="H25" s="33">
        <f t="shared" si="1"/>
        <v>15</v>
      </c>
    </row>
    <row r="26" spans="1:10" x14ac:dyDescent="0.35">
      <c r="A26" s="33">
        <f t="shared" si="0"/>
        <v>16</v>
      </c>
      <c r="B26" s="17" t="s">
        <v>192</v>
      </c>
      <c r="E26" s="43">
        <v>-105.63984000000001</v>
      </c>
      <c r="G26" s="33" t="s">
        <v>472</v>
      </c>
      <c r="H26" s="33">
        <f t="shared" si="1"/>
        <v>16</v>
      </c>
    </row>
    <row r="27" spans="1:10" ht="16" thickBot="1" x14ac:dyDescent="0.4">
      <c r="A27" s="33">
        <f t="shared" si="0"/>
        <v>17</v>
      </c>
      <c r="B27" s="17" t="s">
        <v>193</v>
      </c>
      <c r="E27" s="59">
        <f>SUM(E15:E26)</f>
        <v>37637.381189999978</v>
      </c>
      <c r="G27" s="28" t="s">
        <v>572</v>
      </c>
      <c r="H27" s="33">
        <f t="shared" si="1"/>
        <v>17</v>
      </c>
    </row>
    <row r="28" spans="1:10" ht="16" thickTop="1" x14ac:dyDescent="0.35">
      <c r="A28" s="33">
        <f t="shared" si="0"/>
        <v>18</v>
      </c>
      <c r="E28" s="32"/>
      <c r="H28" s="33">
        <f t="shared" si="1"/>
        <v>18</v>
      </c>
    </row>
    <row r="29" spans="1:10" x14ac:dyDescent="0.35">
      <c r="A29" s="33">
        <f t="shared" si="0"/>
        <v>19</v>
      </c>
      <c r="B29" s="260" t="s">
        <v>194</v>
      </c>
      <c r="E29" s="44"/>
      <c r="G29" s="33"/>
      <c r="H29" s="33">
        <f t="shared" si="1"/>
        <v>19</v>
      </c>
    </row>
    <row r="30" spans="1:10" x14ac:dyDescent="0.35">
      <c r="A30" s="33">
        <f t="shared" si="0"/>
        <v>20</v>
      </c>
      <c r="B30" s="22" t="s">
        <v>195</v>
      </c>
      <c r="C30" s="33"/>
      <c r="E30" s="39">
        <v>656998.86427999998</v>
      </c>
      <c r="G30" s="33" t="s">
        <v>573</v>
      </c>
      <c r="H30" s="33">
        <f t="shared" si="1"/>
        <v>20</v>
      </c>
    </row>
    <row r="31" spans="1:10" x14ac:dyDescent="0.35">
      <c r="A31" s="33">
        <f t="shared" si="0"/>
        <v>21</v>
      </c>
      <c r="B31" s="22" t="s">
        <v>196</v>
      </c>
      <c r="E31" s="44" t="s">
        <v>197</v>
      </c>
      <c r="G31" s="33"/>
      <c r="H31" s="33">
        <f t="shared" si="1"/>
        <v>21</v>
      </c>
    </row>
    <row r="32" spans="1:10" x14ac:dyDescent="0.35">
      <c r="A32" s="33">
        <f t="shared" si="0"/>
        <v>22</v>
      </c>
      <c r="B32" s="40" t="s">
        <v>198</v>
      </c>
      <c r="E32" s="42">
        <v>-5025.3662400000003</v>
      </c>
      <c r="G32" s="33" t="s">
        <v>606</v>
      </c>
      <c r="H32" s="33">
        <f t="shared" si="1"/>
        <v>22</v>
      </c>
      <c r="I32" s="261"/>
      <c r="J32" s="46"/>
    </row>
    <row r="33" spans="1:10" ht="31" x14ac:dyDescent="0.35">
      <c r="A33" s="33">
        <f t="shared" si="0"/>
        <v>23</v>
      </c>
      <c r="B33" s="40" t="s">
        <v>199</v>
      </c>
      <c r="E33" s="42">
        <v>-13176.468442261001</v>
      </c>
      <c r="G33" s="45" t="s">
        <v>611</v>
      </c>
      <c r="H33" s="33">
        <f t="shared" si="1"/>
        <v>23</v>
      </c>
      <c r="I33" s="261"/>
      <c r="J33" s="46"/>
    </row>
    <row r="34" spans="1:10" x14ac:dyDescent="0.35">
      <c r="A34" s="33">
        <f t="shared" si="0"/>
        <v>24</v>
      </c>
      <c r="B34" s="40" t="s">
        <v>200</v>
      </c>
      <c r="E34" s="42">
        <v>0</v>
      </c>
      <c r="G34" s="33" t="s">
        <v>591</v>
      </c>
      <c r="H34" s="33">
        <f t="shared" si="1"/>
        <v>24</v>
      </c>
    </row>
    <row r="35" spans="1:10" x14ac:dyDescent="0.35">
      <c r="A35" s="33">
        <f t="shared" si="0"/>
        <v>25</v>
      </c>
      <c r="B35" s="40" t="s">
        <v>201</v>
      </c>
      <c r="E35" s="42">
        <v>-617.17561999999998</v>
      </c>
      <c r="G35" s="33" t="s">
        <v>592</v>
      </c>
      <c r="H35" s="33">
        <f t="shared" si="1"/>
        <v>25</v>
      </c>
      <c r="J35" s="46"/>
    </row>
    <row r="36" spans="1:10" x14ac:dyDescent="0.35">
      <c r="A36" s="33">
        <f t="shared" si="0"/>
        <v>26</v>
      </c>
      <c r="B36" s="40" t="s">
        <v>583</v>
      </c>
      <c r="E36" s="42">
        <v>-22235.548999999999</v>
      </c>
      <c r="G36" s="33" t="s">
        <v>607</v>
      </c>
      <c r="H36" s="33">
        <f t="shared" si="1"/>
        <v>26</v>
      </c>
      <c r="J36" s="46"/>
    </row>
    <row r="37" spans="1:10" x14ac:dyDescent="0.35">
      <c r="A37" s="33">
        <f t="shared" si="0"/>
        <v>27</v>
      </c>
      <c r="B37" s="40" t="s">
        <v>202</v>
      </c>
      <c r="E37" s="42">
        <v>0</v>
      </c>
      <c r="G37" s="456" t="s">
        <v>474</v>
      </c>
      <c r="H37" s="33">
        <f t="shared" si="1"/>
        <v>27</v>
      </c>
      <c r="J37" s="46"/>
    </row>
    <row r="38" spans="1:10" x14ac:dyDescent="0.35">
      <c r="A38" s="33">
        <f t="shared" si="0"/>
        <v>28</v>
      </c>
      <c r="B38" s="40" t="s">
        <v>203</v>
      </c>
      <c r="E38" s="42">
        <v>-66.134640000000005</v>
      </c>
      <c r="G38" s="45" t="s">
        <v>608</v>
      </c>
      <c r="H38" s="33">
        <f t="shared" si="1"/>
        <v>28</v>
      </c>
      <c r="I38" s="261"/>
    </row>
    <row r="39" spans="1:10" x14ac:dyDescent="0.35">
      <c r="A39" s="33">
        <f t="shared" si="0"/>
        <v>29</v>
      </c>
      <c r="B39" s="40" t="s">
        <v>204</v>
      </c>
      <c r="E39" s="42">
        <v>-128579.84063999999</v>
      </c>
      <c r="G39" s="33" t="s">
        <v>594</v>
      </c>
      <c r="H39" s="33">
        <f t="shared" si="1"/>
        <v>29</v>
      </c>
      <c r="I39" s="261"/>
      <c r="J39" s="46"/>
    </row>
    <row r="40" spans="1:10" x14ac:dyDescent="0.35">
      <c r="A40" s="33">
        <f t="shared" si="0"/>
        <v>30</v>
      </c>
      <c r="B40" s="40" t="s">
        <v>205</v>
      </c>
      <c r="E40" s="42">
        <v>-25.724845446</v>
      </c>
      <c r="G40" s="45" t="s">
        <v>609</v>
      </c>
      <c r="H40" s="33">
        <f t="shared" si="1"/>
        <v>30</v>
      </c>
    </row>
    <row r="41" spans="1:10" x14ac:dyDescent="0.35">
      <c r="A41" s="33">
        <f t="shared" si="0"/>
        <v>31</v>
      </c>
      <c r="B41" s="40" t="s">
        <v>206</v>
      </c>
      <c r="E41" s="42">
        <v>-964.92977000000019</v>
      </c>
      <c r="G41" s="45" t="s">
        <v>610</v>
      </c>
      <c r="H41" s="33">
        <f t="shared" si="1"/>
        <v>31</v>
      </c>
    </row>
    <row r="42" spans="1:10" ht="31" x14ac:dyDescent="0.35">
      <c r="A42" s="33">
        <f t="shared" si="0"/>
        <v>32</v>
      </c>
      <c r="B42" s="40" t="s">
        <v>207</v>
      </c>
      <c r="E42" s="42">
        <v>-9748.0802954320006</v>
      </c>
      <c r="G42" s="45" t="s">
        <v>596</v>
      </c>
      <c r="H42" s="33">
        <f t="shared" si="1"/>
        <v>32</v>
      </c>
    </row>
    <row r="43" spans="1:10" x14ac:dyDescent="0.35">
      <c r="A43" s="33">
        <f t="shared" si="0"/>
        <v>33</v>
      </c>
      <c r="B43" s="34" t="s">
        <v>651</v>
      </c>
      <c r="E43" s="42">
        <v>12176.99337</v>
      </c>
      <c r="G43" s="45" t="s">
        <v>638</v>
      </c>
      <c r="H43" s="33">
        <f t="shared" si="1"/>
        <v>33</v>
      </c>
      <c r="J43" s="657"/>
    </row>
    <row r="44" spans="1:10" x14ac:dyDescent="0.35">
      <c r="A44" s="33">
        <f t="shared" si="0"/>
        <v>34</v>
      </c>
      <c r="B44" s="17" t="s">
        <v>652</v>
      </c>
      <c r="E44" s="42">
        <v>530</v>
      </c>
      <c r="G44" s="45" t="s">
        <v>700</v>
      </c>
      <c r="H44" s="33">
        <f t="shared" si="1"/>
        <v>34</v>
      </c>
      <c r="J44" s="657"/>
    </row>
    <row r="45" spans="1:10" x14ac:dyDescent="0.35">
      <c r="A45" s="33">
        <f t="shared" si="0"/>
        <v>35</v>
      </c>
      <c r="B45" s="470" t="s">
        <v>650</v>
      </c>
      <c r="E45" s="517">
        <f>-'Pg8.2 Rev AH-3'!N30</f>
        <v>3059.17454</v>
      </c>
      <c r="F45" s="23" t="s">
        <v>24</v>
      </c>
      <c r="G45" s="45" t="s">
        <v>696</v>
      </c>
      <c r="H45" s="33">
        <f t="shared" si="1"/>
        <v>35</v>
      </c>
      <c r="J45" s="657"/>
    </row>
    <row r="46" spans="1:10" x14ac:dyDescent="0.35">
      <c r="A46" s="33">
        <f t="shared" si="0"/>
        <v>36</v>
      </c>
      <c r="B46" s="22" t="s">
        <v>209</v>
      </c>
      <c r="E46" s="48">
        <f>SUM(E30:E45)</f>
        <v>492325.762696861</v>
      </c>
      <c r="F46" s="23" t="s">
        <v>24</v>
      </c>
      <c r="G46" s="33" t="s">
        <v>653</v>
      </c>
      <c r="H46" s="33">
        <f t="shared" si="1"/>
        <v>36</v>
      </c>
      <c r="J46" s="47"/>
    </row>
    <row r="47" spans="1:10" x14ac:dyDescent="0.35">
      <c r="A47" s="33">
        <f t="shared" si="0"/>
        <v>37</v>
      </c>
      <c r="B47" s="22" t="s">
        <v>210</v>
      </c>
      <c r="E47" s="570">
        <v>-8615.7170000000006</v>
      </c>
      <c r="G47" s="33" t="s">
        <v>211</v>
      </c>
      <c r="H47" s="33">
        <f t="shared" si="1"/>
        <v>37</v>
      </c>
      <c r="J47" s="280"/>
    </row>
    <row r="48" spans="1:10" x14ac:dyDescent="0.35">
      <c r="A48" s="33">
        <f t="shared" si="0"/>
        <v>38</v>
      </c>
      <c r="B48" s="22" t="s">
        <v>212</v>
      </c>
      <c r="E48" s="48">
        <f>SUM(E46:E47)</f>
        <v>483710.04569686099</v>
      </c>
      <c r="F48" s="23" t="s">
        <v>24</v>
      </c>
      <c r="G48" s="33" t="s">
        <v>654</v>
      </c>
      <c r="H48" s="33">
        <f t="shared" si="1"/>
        <v>38</v>
      </c>
    </row>
    <row r="49" spans="1:10" x14ac:dyDescent="0.35">
      <c r="A49" s="33">
        <f t="shared" si="0"/>
        <v>39</v>
      </c>
      <c r="B49" s="17" t="s">
        <v>213</v>
      </c>
      <c r="E49" s="571">
        <v>0.10978650001623282</v>
      </c>
      <c r="G49" s="28" t="s">
        <v>214</v>
      </c>
      <c r="H49" s="33">
        <f t="shared" si="1"/>
        <v>39</v>
      </c>
    </row>
    <row r="50" spans="1:10" x14ac:dyDescent="0.35">
      <c r="A50" s="33">
        <f t="shared" si="0"/>
        <v>40</v>
      </c>
      <c r="B50" s="22" t="s">
        <v>215</v>
      </c>
      <c r="E50" s="49">
        <f>E48*E49</f>
        <v>53104.832939750406</v>
      </c>
      <c r="F50" s="23" t="s">
        <v>24</v>
      </c>
      <c r="G50" s="33" t="s">
        <v>655</v>
      </c>
      <c r="H50" s="33">
        <f t="shared" si="1"/>
        <v>40</v>
      </c>
    </row>
    <row r="51" spans="1:10" x14ac:dyDescent="0.35">
      <c r="A51" s="33">
        <f t="shared" si="0"/>
        <v>41</v>
      </c>
      <c r="B51" s="34" t="s">
        <v>216</v>
      </c>
      <c r="E51" s="656">
        <f>E71*(-E47)</f>
        <v>3396.2445102204388</v>
      </c>
      <c r="G51" s="33" t="s">
        <v>656</v>
      </c>
      <c r="H51" s="33">
        <f t="shared" si="1"/>
        <v>41</v>
      </c>
    </row>
    <row r="52" spans="1:10" ht="16" thickBot="1" x14ac:dyDescent="0.4">
      <c r="A52" s="33">
        <f t="shared" si="0"/>
        <v>42</v>
      </c>
      <c r="B52" s="40" t="s">
        <v>217</v>
      </c>
      <c r="E52" s="262">
        <f>E51+E50</f>
        <v>56501.077449970842</v>
      </c>
      <c r="F52" s="23" t="s">
        <v>24</v>
      </c>
      <c r="G52" s="33" t="s">
        <v>661</v>
      </c>
      <c r="H52" s="33">
        <f t="shared" si="1"/>
        <v>42</v>
      </c>
      <c r="I52" s="40"/>
      <c r="J52" s="47"/>
    </row>
    <row r="53" spans="1:10" ht="16" thickTop="1" x14ac:dyDescent="0.35">
      <c r="A53" s="33">
        <f t="shared" si="0"/>
        <v>43</v>
      </c>
      <c r="B53" s="50"/>
      <c r="E53" s="51"/>
      <c r="G53" s="33"/>
      <c r="H53" s="33">
        <f t="shared" si="1"/>
        <v>43</v>
      </c>
    </row>
    <row r="54" spans="1:10" x14ac:dyDescent="0.35">
      <c r="A54" s="33">
        <f t="shared" si="0"/>
        <v>44</v>
      </c>
      <c r="B54" s="24" t="s">
        <v>218</v>
      </c>
      <c r="E54" s="52"/>
      <c r="G54" s="33"/>
      <c r="H54" s="33">
        <f t="shared" si="1"/>
        <v>44</v>
      </c>
    </row>
    <row r="55" spans="1:10" x14ac:dyDescent="0.35">
      <c r="A55" s="33">
        <f t="shared" si="0"/>
        <v>45</v>
      </c>
      <c r="B55" s="22" t="s">
        <v>219</v>
      </c>
      <c r="E55" s="29">
        <v>7118163.5102730775</v>
      </c>
      <c r="G55" s="33" t="s">
        <v>220</v>
      </c>
      <c r="H55" s="33">
        <f t="shared" si="1"/>
        <v>45</v>
      </c>
    </row>
    <row r="56" spans="1:10" x14ac:dyDescent="0.35">
      <c r="A56" s="33">
        <f t="shared" si="0"/>
        <v>46</v>
      </c>
      <c r="B56" s="22" t="s">
        <v>221</v>
      </c>
      <c r="E56" s="53">
        <v>0</v>
      </c>
      <c r="G56" s="33" t="s">
        <v>222</v>
      </c>
      <c r="H56" s="33">
        <f t="shared" si="1"/>
        <v>46</v>
      </c>
    </row>
    <row r="57" spans="1:10" x14ac:dyDescent="0.35">
      <c r="A57" s="33">
        <f t="shared" si="0"/>
        <v>47</v>
      </c>
      <c r="B57" s="22" t="s">
        <v>223</v>
      </c>
      <c r="E57" s="54">
        <v>55216.642539430133</v>
      </c>
      <c r="G57" s="55" t="s">
        <v>224</v>
      </c>
      <c r="H57" s="33">
        <f t="shared" si="1"/>
        <v>47</v>
      </c>
    </row>
    <row r="58" spans="1:10" x14ac:dyDescent="0.35">
      <c r="A58" s="33">
        <f t="shared" si="0"/>
        <v>48</v>
      </c>
      <c r="B58" s="22" t="s">
        <v>225</v>
      </c>
      <c r="E58" s="572">
        <v>149891.84237701603</v>
      </c>
      <c r="G58" s="55" t="s">
        <v>226</v>
      </c>
      <c r="H58" s="33">
        <f t="shared" si="1"/>
        <v>48</v>
      </c>
    </row>
    <row r="59" spans="1:10" ht="16" thickBot="1" x14ac:dyDescent="0.4">
      <c r="A59" s="33">
        <f t="shared" si="0"/>
        <v>49</v>
      </c>
      <c r="B59" s="22" t="s">
        <v>227</v>
      </c>
      <c r="E59" s="56">
        <f>SUM(E55:E58)</f>
        <v>7323271.9951895243</v>
      </c>
      <c r="G59" s="33" t="s">
        <v>657</v>
      </c>
      <c r="H59" s="33">
        <f t="shared" si="1"/>
        <v>49</v>
      </c>
      <c r="I59" s="40"/>
    </row>
    <row r="60" spans="1:10" ht="16" thickTop="1" x14ac:dyDescent="0.35">
      <c r="A60" s="33">
        <f t="shared" si="0"/>
        <v>50</v>
      </c>
      <c r="B60" s="50"/>
      <c r="E60" s="32"/>
      <c r="G60" s="33"/>
      <c r="H60" s="33">
        <f t="shared" si="1"/>
        <v>50</v>
      </c>
    </row>
    <row r="61" spans="1:10" x14ac:dyDescent="0.35">
      <c r="A61" s="33">
        <f t="shared" si="0"/>
        <v>51</v>
      </c>
      <c r="B61" s="22" t="s">
        <v>228</v>
      </c>
      <c r="E61" s="57">
        <f>E55</f>
        <v>7118163.5102730775</v>
      </c>
      <c r="G61" s="58" t="s">
        <v>658</v>
      </c>
      <c r="H61" s="33">
        <f t="shared" si="1"/>
        <v>51</v>
      </c>
    </row>
    <row r="62" spans="1:10" x14ac:dyDescent="0.35">
      <c r="A62" s="33">
        <f t="shared" si="0"/>
        <v>52</v>
      </c>
      <c r="B62" s="22" t="s">
        <v>229</v>
      </c>
      <c r="E62" s="30">
        <v>566170.85559615376</v>
      </c>
      <c r="G62" s="55" t="s">
        <v>230</v>
      </c>
      <c r="H62" s="33">
        <f t="shared" si="1"/>
        <v>52</v>
      </c>
    </row>
    <row r="63" spans="1:10" x14ac:dyDescent="0.35">
      <c r="A63" s="33">
        <f t="shared" si="0"/>
        <v>53</v>
      </c>
      <c r="B63" s="22" t="s">
        <v>231</v>
      </c>
      <c r="E63" s="53">
        <v>0</v>
      </c>
      <c r="G63" s="33" t="s">
        <v>222</v>
      </c>
      <c r="H63" s="33">
        <f t="shared" si="1"/>
        <v>53</v>
      </c>
    </row>
    <row r="64" spans="1:10" x14ac:dyDescent="0.35">
      <c r="A64" s="33">
        <f t="shared" si="0"/>
        <v>54</v>
      </c>
      <c r="B64" s="22" t="s">
        <v>232</v>
      </c>
      <c r="E64" s="30">
        <v>542691.86144307698</v>
      </c>
      <c r="G64" s="55" t="s">
        <v>233</v>
      </c>
      <c r="H64" s="33">
        <f t="shared" si="1"/>
        <v>54</v>
      </c>
    </row>
    <row r="65" spans="1:9" x14ac:dyDescent="0.35">
      <c r="A65" s="33">
        <f t="shared" si="0"/>
        <v>55</v>
      </c>
      <c r="B65" s="22" t="s">
        <v>234</v>
      </c>
      <c r="E65" s="30">
        <v>8482668.700170001</v>
      </c>
      <c r="G65" s="55" t="s">
        <v>235</v>
      </c>
      <c r="H65" s="33">
        <f t="shared" si="1"/>
        <v>55</v>
      </c>
    </row>
    <row r="66" spans="1:9" x14ac:dyDescent="0.35">
      <c r="A66" s="33">
        <f t="shared" si="0"/>
        <v>56</v>
      </c>
      <c r="B66" s="40" t="s">
        <v>221</v>
      </c>
      <c r="E66" s="53">
        <v>0</v>
      </c>
      <c r="G66" s="33" t="s">
        <v>222</v>
      </c>
      <c r="H66" s="33">
        <f t="shared" si="1"/>
        <v>56</v>
      </c>
    </row>
    <row r="67" spans="1:9" x14ac:dyDescent="0.35">
      <c r="A67" s="33">
        <f t="shared" si="0"/>
        <v>57</v>
      </c>
      <c r="B67" s="22" t="s">
        <v>236</v>
      </c>
      <c r="E67" s="30">
        <v>502945.64934</v>
      </c>
      <c r="G67" s="55" t="s">
        <v>237</v>
      </c>
      <c r="H67" s="33">
        <f t="shared" si="1"/>
        <v>57</v>
      </c>
    </row>
    <row r="68" spans="1:9" x14ac:dyDescent="0.35">
      <c r="A68" s="33">
        <f t="shared" si="0"/>
        <v>58</v>
      </c>
      <c r="B68" s="22" t="s">
        <v>238</v>
      </c>
      <c r="E68" s="573">
        <v>1365303.0414017509</v>
      </c>
      <c r="G68" s="55" t="s">
        <v>239</v>
      </c>
      <c r="H68" s="33">
        <f t="shared" si="1"/>
        <v>58</v>
      </c>
    </row>
    <row r="69" spans="1:9" ht="16" thickBot="1" x14ac:dyDescent="0.4">
      <c r="A69" s="33">
        <f t="shared" si="0"/>
        <v>59</v>
      </c>
      <c r="B69" s="22" t="s">
        <v>240</v>
      </c>
      <c r="E69" s="59">
        <f>SUM(E61:E68)</f>
        <v>18577943.618224062</v>
      </c>
      <c r="G69" s="33" t="s">
        <v>659</v>
      </c>
      <c r="H69" s="33">
        <f t="shared" si="1"/>
        <v>59</v>
      </c>
      <c r="I69" s="40"/>
    </row>
    <row r="70" spans="1:9" ht="16" thickTop="1" x14ac:dyDescent="0.35">
      <c r="A70" s="33">
        <f t="shared" si="0"/>
        <v>60</v>
      </c>
      <c r="E70" s="60"/>
      <c r="G70" s="33"/>
      <c r="H70" s="33">
        <f t="shared" si="1"/>
        <v>60</v>
      </c>
    </row>
    <row r="71" spans="1:9" ht="19" thickBot="1" x14ac:dyDescent="0.4">
      <c r="A71" s="33">
        <f t="shared" si="0"/>
        <v>61</v>
      </c>
      <c r="B71" s="22" t="s">
        <v>241</v>
      </c>
      <c r="E71" s="61">
        <f>E59/E69</f>
        <v>0.39419174402089097</v>
      </c>
      <c r="G71" s="33" t="s">
        <v>660</v>
      </c>
      <c r="H71" s="33">
        <f t="shared" si="1"/>
        <v>61</v>
      </c>
      <c r="I71" s="40"/>
    </row>
    <row r="72" spans="1:9" ht="16" thickTop="1" x14ac:dyDescent="0.35">
      <c r="B72" s="40" t="s">
        <v>197</v>
      </c>
      <c r="E72" s="62"/>
      <c r="G72" s="33"/>
      <c r="H72" s="33"/>
    </row>
    <row r="73" spans="1:9" x14ac:dyDescent="0.35">
      <c r="B73" s="40"/>
      <c r="E73" s="62"/>
      <c r="G73" s="33"/>
      <c r="H73" s="33"/>
    </row>
    <row r="74" spans="1:9" x14ac:dyDescent="0.35">
      <c r="A74" s="23" t="s">
        <v>24</v>
      </c>
      <c r="B74" s="460" t="str">
        <f>'Pg7 Rev Sec.4-TU'!B34</f>
        <v>Items in BOLD have changed to correct the over-allocation of "Duplicate Charges (Company Energy Use)" Credit in FERC Account no. 929.</v>
      </c>
      <c r="E74" s="62"/>
      <c r="F74" s="62"/>
      <c r="G74" s="33"/>
      <c r="H74" s="33"/>
    </row>
    <row r="75" spans="1:9" ht="18" x14ac:dyDescent="0.35">
      <c r="A75" s="64">
        <v>1</v>
      </c>
      <c r="B75" s="22" t="s">
        <v>242</v>
      </c>
      <c r="H75" s="33"/>
    </row>
    <row r="76" spans="1:9" x14ac:dyDescent="0.35">
      <c r="B76" s="40"/>
      <c r="E76" s="60"/>
      <c r="F76" s="60"/>
      <c r="G76" s="33"/>
      <c r="H76" s="33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3a3a0556e2a07f679fa10fc3f4ab9ce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3a0fa221147707eaa3da16d0478548a6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C0081-8B62-47D4-907B-C57C8FAF7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d3533485-01ac-4c85-a144-d07c02817ce0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6fc4548d-ff52-42f9-a254-3bffe5157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Pg1 App XII C5 Cost Adj</vt:lpstr>
      <vt:lpstr>Pg2 App XII C5 Comparison</vt:lpstr>
      <vt:lpstr>Pg3 Rev App XII C5</vt:lpstr>
      <vt:lpstr>Pg4 As Filed App XII C5 FERC</vt:lpstr>
      <vt:lpstr>Pg5 Rev Sec.2-Non-Dir Exp</vt:lpstr>
      <vt:lpstr>Pg6 As Filed-Non-Dir Exp FERC</vt:lpstr>
      <vt:lpstr>Pg7 Rev Sec.4-TU</vt:lpstr>
      <vt:lpstr>Pg7.1 As Filed Sec.4-TU FERC </vt:lpstr>
      <vt:lpstr>Pg8 Rev Stmt AH</vt:lpstr>
      <vt:lpstr>Pg8.1 As Filed Stmt AH FERC Adj</vt:lpstr>
      <vt:lpstr>Pg8.2 Rev AH-3</vt:lpstr>
      <vt:lpstr>Pg8.3 As Filed AH-3 FERC Adj</vt:lpstr>
      <vt:lpstr>Pg9 Rev Stmt AL </vt:lpstr>
      <vt:lpstr>Pg9.1 As Filed Stmt AL FERC Adj</vt:lpstr>
      <vt:lpstr>Pg10 Rev Stmt AV</vt:lpstr>
      <vt:lpstr>Pg11 As Filed Stmt AV FERC Adj</vt:lpstr>
      <vt:lpstr>Pg12 Rev AV-4</vt:lpstr>
      <vt:lpstr>Pg13 As Filed AV 4 FERC Adj</vt:lpstr>
      <vt:lpstr>Pg14 Appendix XII C5 Int Calc</vt:lpstr>
      <vt:lpstr>'Pg11 As Filed Stmt AV FERC Adj'!Print_Area</vt:lpstr>
      <vt:lpstr>'Pg13 As Filed AV 4 FERC Adj'!Print_Area</vt:lpstr>
      <vt:lpstr>'Pg4 As Filed App XII C5 FERC'!Print_Area</vt:lpstr>
      <vt:lpstr>'Pg6 As Filed-Non-Dir Exp FERC'!Print_Area</vt:lpstr>
      <vt:lpstr>'Pg7.1 As Filed Sec.4-TU FERC '!Print_Area</vt:lpstr>
      <vt:lpstr>'Pg8.1 As Filed Stmt AH FERC Adj'!Print_Area</vt:lpstr>
      <vt:lpstr>'Pg8.3 As Filed AH-3 FERC Adj'!Print_Area</vt:lpstr>
      <vt:lpstr>'Pg9.1 As Filed Stmt AL FERC Adj'!Print_Area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2024-04-25T23:15:45Z</cp:lastPrinted>
  <dcterms:created xsi:type="dcterms:W3CDTF">2021-03-15T22:51:55Z</dcterms:created>
  <dcterms:modified xsi:type="dcterms:W3CDTF">2024-09-05T20:00:48Z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0x01010020AF033832634A47ACBF5D0BC7D2D682</vt:lpwstr>
  </property>
  <property fmtid="{D5CDD505-2E9C-101B-9397-08002B2CF9AE}" pid="3" name="MediaServiceImageTags">
    <vt:lpwstr/>
  </property>
</Properties>
</file>